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trlProps/ctrlProp1.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8.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9.xml" ContentType="application/vnd.openxmlformats-officedocument.drawing+xml"/>
  <Override PartName="/xl/comments14.xml" ContentType="application/vnd.openxmlformats-officedocument.spreadsheetml.comments+xml"/>
  <Override PartName="/xl/drawings/drawing10.xml" ContentType="application/vnd.openxmlformats-officedocument.drawing+xml"/>
  <Override PartName="/xl/comments15.xml" ContentType="application/vnd.openxmlformats-officedocument.spreadsheetml.comments+xml"/>
  <Override PartName="/xl/drawings/drawing11.xml" ContentType="application/vnd.openxmlformats-officedocument.drawing+xml"/>
  <Override PartName="/xl/comments16.xml" ContentType="application/vnd.openxmlformats-officedocument.spreadsheetml.comments+xml"/>
  <Override PartName="/xl/drawings/drawing12.xml" ContentType="application/vnd.openxmlformats-officedocument.drawing+xml"/>
  <Override PartName="/xl/comments17.xml" ContentType="application/vnd.openxmlformats-officedocument.spreadsheetml.comments+xml"/>
  <Override PartName="/xl/drawings/drawing13.xml" ContentType="application/vnd.openxmlformats-officedocument.drawing+xml"/>
  <Override PartName="/xl/comments18.xml" ContentType="application/vnd.openxmlformats-officedocument.spreadsheetml.comments+xml"/>
  <Override PartName="/xl/drawings/drawing14.xml" ContentType="application/vnd.openxmlformats-officedocument.drawing+xml"/>
  <Override PartName="/xl/comments19.xml" ContentType="application/vnd.openxmlformats-officedocument.spreadsheetml.comments+xml"/>
  <Override PartName="/xl/drawings/drawing15.xml" ContentType="application/vnd.openxmlformats-officedocument.drawing+xml"/>
  <Override PartName="/xl/comments20.xml" ContentType="application/vnd.openxmlformats-officedocument.spreadsheetml.comments+xml"/>
  <Override PartName="/xl/drawings/drawing16.xml" ContentType="application/vnd.openxmlformats-officedocument.drawing+xml"/>
  <Override PartName="/xl/comments21.xml" ContentType="application/vnd.openxmlformats-officedocument.spreadsheetml.comments+xml"/>
  <Override PartName="/xl/drawings/drawing17.xml" ContentType="application/vnd.openxmlformats-officedocument.drawing+xml"/>
  <Override PartName="/xl/comments22.xml" ContentType="application/vnd.openxmlformats-officedocument.spreadsheetml.comments+xml"/>
  <Override PartName="/xl/drawings/drawing18.xml" ContentType="application/vnd.openxmlformats-officedocument.drawing+xml"/>
  <Override PartName="/xl/comments23.xml" ContentType="application/vnd.openxmlformats-officedocument.spreadsheetml.comments+xml"/>
  <Override PartName="/xl/drawings/drawing19.xml" ContentType="application/vnd.openxmlformats-officedocument.drawing+xml"/>
  <Override PartName="/xl/comments2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codeName="ThisWorkbook"/>
  <mc:AlternateContent xmlns:mc="http://schemas.openxmlformats.org/markup-compatibility/2006">
    <mc:Choice Requires="x15">
      <x15ac:absPath xmlns:x15ac="http://schemas.microsoft.com/office/spreadsheetml/2010/11/ac" url="C:\Users\chemminger\Box Sync\MQSUN+\Terms of reference\Component 1 (SMS)\089 Resource Mobilisation TA\Deliverables\Final Deliverables\Spanish translations\"/>
    </mc:Choice>
  </mc:AlternateContent>
  <xr:revisionPtr revIDLastSave="0" documentId="8_{047FE5CC-F5A6-4507-A013-4D57A3F7D20A}" xr6:coauthVersionLast="46" xr6:coauthVersionMax="46" xr10:uidLastSave="{00000000-0000-0000-0000-000000000000}"/>
  <bookViews>
    <workbookView xWindow="-108" yWindow="-108" windowWidth="23256" windowHeight="12576" firstSheet="34" xr2:uid="{00000000-000D-0000-FFFF-FFFF00000000}"/>
  </bookViews>
  <sheets>
    <sheet name="Portada" sheetId="20" r:id="rId1"/>
    <sheet name="Índice" sheetId="21" r:id="rId2"/>
    <sheet name="Presentaciones" sheetId="50" r:id="rId3"/>
    <sheet name="Acerca de" sheetId="47" r:id="rId4"/>
    <sheet name="Tablero" sheetId="33" r:id="rId5"/>
    <sheet name="Data" sheetId="48" state="hidden" r:id="rId6"/>
    <sheet name="Charts" sheetId="49" state="hidden" r:id="rId7"/>
    <sheet name="Suposiciones" sheetId="8" r:id="rId8"/>
    <sheet name="Time_Series" sheetId="10" state="hidden" r:id="rId9"/>
    <sheet name="Basic_Setup" sheetId="13" r:id="rId10"/>
    <sheet name="Financial Req" sheetId="62" r:id="rId11"/>
    <sheet name="Government1" sheetId="52" r:id="rId12"/>
    <sheet name="Government2" sheetId="53" r:id="rId13"/>
    <sheet name="Government3" sheetId="54" r:id="rId14"/>
    <sheet name="Government4" sheetId="55" r:id="rId15"/>
    <sheet name="Government5" sheetId="56" r:id="rId16"/>
    <sheet name="Government6" sheetId="57" r:id="rId17"/>
    <sheet name="Government7" sheetId="58" r:id="rId18"/>
    <sheet name="Government8" sheetId="59" r:id="rId19"/>
    <sheet name="Government9" sheetId="60" r:id="rId20"/>
    <sheet name="Government10" sheetId="61" r:id="rId21"/>
    <sheet name="Partner1" sheetId="14" r:id="rId22"/>
    <sheet name="Partner2" sheetId="37" r:id="rId23"/>
    <sheet name="Partner3" sheetId="38" r:id="rId24"/>
    <sheet name="Partner4" sheetId="40" r:id="rId25"/>
    <sheet name="Partner5" sheetId="41" r:id="rId26"/>
    <sheet name="Partner6" sheetId="42" r:id="rId27"/>
    <sheet name="Partner7" sheetId="43" r:id="rId28"/>
    <sheet name="Partner8" sheetId="44" r:id="rId29"/>
    <sheet name="Partner9" sheetId="45" r:id="rId30"/>
    <sheet name="Partner10" sheetId="46" r:id="rId31"/>
    <sheet name="Outputs" sheetId="7" r:id="rId32"/>
    <sheet name="Summary_Govt_Contributions" sheetId="63" r:id="rId33"/>
    <sheet name="Summary_Partner_Contributions" sheetId="15" r:id="rId34"/>
    <sheet name="Summary_Available_Funds" sheetId="16" r:id="rId35"/>
    <sheet name="Summary_Financial_Gaps" sheetId="17" r:id="rId36"/>
    <sheet name="Financial_Gap_Details" sheetId="19" r:id="rId37"/>
    <sheet name="Lu_Ssc" sheetId="11" state="hidden" r:id="rId38"/>
    <sheet name="Ts_Lu" sheetId="12" state="hidden" r:id="rId39"/>
    <sheet name="Chks_Ssc" sheetId="5" state="hidden" r:id="rId40"/>
    <sheet name="Variables_Lu" sheetId="51" state="hidden" r:id="rId41"/>
  </sheets>
  <definedNames>
    <definedName name="BA_Err_Chks" hidden="1">#REF!</definedName>
    <definedName name="BA_Iss_Reg_Tbl">#REF!</definedName>
    <definedName name="BA_Sens_Chks" hidden="1">#REF!</definedName>
    <definedName name="CA_Iss_Reg_Comments">#REF!</definedName>
    <definedName name="CA_Iss_Reg_Date">#REF!</definedName>
    <definedName name="CA_Iss_Reg_Description">#REF!</definedName>
    <definedName name="CA_Iss_Reg_Location">#REF!</definedName>
    <definedName name="CA_Iss_Reg_Number">#REF!</definedName>
    <definedName name="CA_Iss_Reg_Reporter">#REF!</definedName>
    <definedName name="CA_Iss_Reg_Resolution_Steps">#REF!</definedName>
    <definedName name="CA_Iss_Reg_Resolved_By">#REF!</definedName>
    <definedName name="CA_Iss_Reg_Sheet">#REF!</definedName>
    <definedName name="CA_Iss_Reg_Status">#REF!</definedName>
    <definedName name="CA_Iss_Reg_Type">#REF!</definedName>
    <definedName name="CA_Iss_Reg_Version">#REF!</definedName>
    <definedName name="CB_Err_Chks_Show_Msg">#REF!</definedName>
    <definedName name="charts">Charts!$B$2:$B$7</definedName>
    <definedName name="Country">Basic_Setup!$G$8</definedName>
    <definedName name="CURR_INT_ABBR">Basic_Setup!$G$19</definedName>
    <definedName name="CURR_INT_NAME">Basic_Setup!$F$19</definedName>
    <definedName name="CURR_LCU_ABBR">Basic_Setup!$G$20</definedName>
    <definedName name="CURR_LCU_NAME">Basic_Setup!$F$20</definedName>
    <definedName name="DD_Ts_Denom">Time_Series!$I$14</definedName>
    <definedName name="DD_Ts_Fin_Yr_End_Mth">Time_Series!$H$9</definedName>
    <definedName name="Err_Chk_1_Hdg" hidden="1">"Calculaton Mismatch between total by strategic objective and total by contributing partner"</definedName>
    <definedName name="Err_Chk_2_Hdg" hidden="1">"Mismatch between Goverment planned contributions by strategic objective vs.by government body."</definedName>
    <definedName name="Err_Chks_Msg">#REF!</definedName>
    <definedName name="Err_Chks_Ttl_Areas">#REF!</definedName>
    <definedName name="EXCHANGE_RATE">Basic_Setup!$G$22</definedName>
    <definedName name="Government1">Basic_Setup!$G$129</definedName>
    <definedName name="Government10">Basic_Setup!$G$138</definedName>
    <definedName name="Government2">Basic_Setup!$G$130</definedName>
    <definedName name="Government3">Basic_Setup!$G$131</definedName>
    <definedName name="Government4">Basic_Setup!$G$132</definedName>
    <definedName name="Government5">Basic_Setup!$G$133</definedName>
    <definedName name="Government6">Basic_Setup!$G$134</definedName>
    <definedName name="Government7">Basic_Setup!$G$135</definedName>
    <definedName name="Government8">Basic_Setup!$G$136</definedName>
    <definedName name="Government9">Basic_Setup!$G$137</definedName>
    <definedName name="HL_Err_Chk">#REF!</definedName>
    <definedName name="HL_Err_Chk_1" localSheetId="32" hidden="1">Summary_Govt_Contributions!$I$230</definedName>
    <definedName name="HL_Home">Índice!$B$1</definedName>
    <definedName name="HL_Iss_1405" localSheetId="32" hidden="1">Summary_Govt_Contributions!$I$183</definedName>
    <definedName name="HL_Iss_1405" hidden="1">Summary_Partner_Contributions!$I$183</definedName>
    <definedName name="HL_Issues_Changes_Version_Control">#REF!</definedName>
    <definedName name="HL_Mod_Ass">Basic_Setup!$B$29</definedName>
    <definedName name="HL_Mod_Out">Summary_Partner_Contributions!$B$14</definedName>
    <definedName name="HL_Mod_Out_A">Summary_Available_Funds!$B$64</definedName>
    <definedName name="HL_Mod_Out_Sum">Financial_Gap_Details!$B$161</definedName>
    <definedName name="HL_Mod_Out_Sum_A">Summary_Financial_Gaps!$B$12</definedName>
    <definedName name="HL_Sheet_Main" hidden="1">Portada!$A$1</definedName>
    <definedName name="HL_Sheet_Main_10" hidden="1">Lu_Ssc!$A$1</definedName>
    <definedName name="HL_Sheet_Main_11" hidden="1">Ts_Lu!$A$1</definedName>
    <definedName name="HL_Sheet_Main_12" localSheetId="4" hidden="1">Tablero!$A$1</definedName>
    <definedName name="HL_Sheet_Main_12" hidden="1">Basic_Setup!$A$1</definedName>
    <definedName name="HL_Sheet_Main_13" localSheetId="10" hidden="1">'Financial Req'!$A$1</definedName>
    <definedName name="HL_Sheet_Main_13" localSheetId="11" hidden="1">Government1!$A$1</definedName>
    <definedName name="HL_Sheet_Main_13" localSheetId="30" hidden="1">Partner10!$A$1</definedName>
    <definedName name="HL_Sheet_Main_13" localSheetId="22" hidden="1">Partner2!$A$1</definedName>
    <definedName name="HL_Sheet_Main_13" localSheetId="23" hidden="1">Partner3!$A$1</definedName>
    <definedName name="HL_Sheet_Main_13" localSheetId="24" hidden="1">Partner4!$A$1</definedName>
    <definedName name="HL_Sheet_Main_13" localSheetId="25" hidden="1">Partner5!$A$1</definedName>
    <definedName name="HL_Sheet_Main_13" localSheetId="26" hidden="1">Partner6!$A$1</definedName>
    <definedName name="HL_Sheet_Main_13" localSheetId="27" hidden="1">Partner7!$A$1</definedName>
    <definedName name="HL_Sheet_Main_13" localSheetId="28" hidden="1">Partner8!$A$1</definedName>
    <definedName name="HL_Sheet_Main_13" localSheetId="29" hidden="1">Partner9!$A$1</definedName>
    <definedName name="HL_Sheet_Main_13" hidden="1">Partner1!$A$1</definedName>
    <definedName name="HL_Sheet_Main_14" localSheetId="32" hidden="1">Summary_Govt_Contributions!$A$1</definedName>
    <definedName name="HL_Sheet_Main_14" hidden="1">Summary_Partner_Contributions!$A$1</definedName>
    <definedName name="HL_Sheet_Main_15" hidden="1">Summary_Available_Funds!$A$1</definedName>
    <definedName name="HL_Sheet_Main_16" hidden="1">Summary_Financial_Gaps!$A$1</definedName>
    <definedName name="HL_Sheet_Main_17" hidden="1">Government2!$A$1</definedName>
    <definedName name="HL_Sheet_Main_18" hidden="1">Financial_Gap_Details!$A$1</definedName>
    <definedName name="HL_Sheet_Main_19" hidden="1">Índice!$A$1</definedName>
    <definedName name="HL_Sheet_Main_2" hidden="1">Suposiciones!$A$1</definedName>
    <definedName name="HL_Sheet_Main_20" hidden="1">#REF!</definedName>
    <definedName name="HL_Sheet_Main_21" hidden="1">'Acerca de'!$A$1</definedName>
    <definedName name="HL_Sheet_Main_22" hidden="1">Government3!$A$1</definedName>
    <definedName name="HL_Sheet_Main_23" hidden="1">Government4!$A$1</definedName>
    <definedName name="HL_Sheet_Main_24" hidden="1">Government5!$A$1</definedName>
    <definedName name="HL_Sheet_Main_25" hidden="1">Government6!$A$1</definedName>
    <definedName name="HL_Sheet_Main_26" hidden="1">Government7!$A$1</definedName>
    <definedName name="HL_Sheet_Main_27" hidden="1">Government8!$A$1</definedName>
    <definedName name="HL_Sheet_Main_28" hidden="1">Government9!$A$1</definedName>
    <definedName name="HL_Sheet_Main_29" hidden="1">Government10!$A$1</definedName>
    <definedName name="HL_Sheet_Main_3" hidden="1">Outputs!$A$1</definedName>
    <definedName name="HL_Sheet_Main_4" hidden="1">#REF!</definedName>
    <definedName name="HL_Sheet_Main_5" hidden="1">Chks_Ssc!$A$1</definedName>
    <definedName name="HL_Sheet_Main_6" hidden="1">#REF!</definedName>
    <definedName name="HL_Sheet_Main_7" hidden="1">Presentaciones!$A$1</definedName>
    <definedName name="HL_Sheet_Main_8" hidden="1">Variables_Lu!$A$1</definedName>
    <definedName name="HL_Sheet_Main_9" hidden="1">Time_Series!$A$1</definedName>
    <definedName name="HL_TOC_1">#REF!</definedName>
    <definedName name="HL_TOC_10">Partner1!$B$14</definedName>
    <definedName name="HL_TOC_11">Summary_Partner_Contributions!$B$14</definedName>
    <definedName name="HL_TOC_12">Summary_Available_Funds!$B$64</definedName>
    <definedName name="HL_TOC_13">Summary_Financial_Gaps!$B$12</definedName>
    <definedName name="HL_TOC_15">Financial_Gap_Details!$B$161</definedName>
    <definedName name="HL_TOC_7">Time_Series!$B$6</definedName>
    <definedName name="HL_TOC_8">Ts_Lu!$B$6</definedName>
    <definedName name="HL_TOC_9">Basic_Setup!$B$29</definedName>
    <definedName name="left1">INDEX(charts,Data!$M$8)</definedName>
    <definedName name="left2">INDEX(charts,Data!$M$9)</definedName>
    <definedName name="left3">INDEX(charts,Data!$M$10)</definedName>
    <definedName name="Lu_Governance">Variables_Lu!$D$13</definedName>
    <definedName name="Lu_Nutrition_Result_Type">Variables_Lu!$D$11:$D$13</definedName>
    <definedName name="Lu_Nutrition_Sensitive">Variables_Lu!$D$12</definedName>
    <definedName name="Lu_Nutrition_Specific">Variables_Lu!$D$11</definedName>
    <definedName name="LU_Ts_Denom">Ts_Lu!$D$76:$D$79</definedName>
    <definedName name="LU_Ts_Denom_Conv">Ts_Lu!$D$84:$D$87</definedName>
    <definedName name="LU_Ts_Mth_Days">Ts_Lu!$D$11:$D$41</definedName>
    <definedName name="LU_Ts_Mth_Names">Ts_Lu!$D$46:$D$57</definedName>
    <definedName name="MdoLsk" hidden="1">"XuEsxGD3R7u02rioiW4z1baCzoRug+IGopNj5IqL8q2pvj8ZF9Xu8kb7PsbL4lEw"</definedName>
    <definedName name="MdoLuin" hidden="1">"1405"</definedName>
    <definedName name="MdoStgs" hidden="1">"{CFE4ED08-BC3F-46B2-8910-B99DAFD06C1E}"</definedName>
    <definedName name="mid.chart">INDEX(charts,Data!$M$6)</definedName>
    <definedName name="Model_Name">Portada!$C$27</definedName>
    <definedName name="MODMC1" hidden="1">Time_Series!$5:$15</definedName>
    <definedName name="MODMC10" hidden="1">Summary_Available_Funds!$5:$10</definedName>
    <definedName name="MODMC11" hidden="1">Summary_Financial_Gaps!$11:$23</definedName>
    <definedName name="MODMC12" hidden="1">Summary_Financial_Gaps!$5:$10</definedName>
    <definedName name="MODMC14" hidden="1">Financial_Gap_Details!$5:$315</definedName>
    <definedName name="MODMC2" hidden="1">Ts_Lu!$5:$87</definedName>
    <definedName name="MODMC4" localSheetId="4" hidden="1">Tablero!$10:$44</definedName>
    <definedName name="MODMC4" hidden="1">Basic_Setup!$5:$104</definedName>
    <definedName name="MODMC5" localSheetId="10" hidden="1">'Financial Req'!$11:$48</definedName>
    <definedName name="MODMC5" localSheetId="11" hidden="1">Government1!$11:$48</definedName>
    <definedName name="MODMC5" localSheetId="20" hidden="1">Government10!$11:$48</definedName>
    <definedName name="MODMC5" localSheetId="12" hidden="1">Government2!$11:$48</definedName>
    <definedName name="MODMC5" localSheetId="13" hidden="1">Government3!$11:$48</definedName>
    <definedName name="MODMC5" localSheetId="14" hidden="1">Government4!$11:$48</definedName>
    <definedName name="MODMC5" localSheetId="15" hidden="1">Government5!$11:$48</definedName>
    <definedName name="MODMC5" localSheetId="16" hidden="1">Government6!$11:$48</definedName>
    <definedName name="MODMC5" localSheetId="17" hidden="1">Government7!$11:$48</definedName>
    <definedName name="MODMC5" localSheetId="18" hidden="1">Government8!$11:$48</definedName>
    <definedName name="MODMC5" localSheetId="19" hidden="1">Government9!$11:$48</definedName>
    <definedName name="MODMC5" localSheetId="30" hidden="1">Partner10!$11:$48</definedName>
    <definedName name="MODMC5" localSheetId="22" hidden="1">Partner2!$11:$48</definedName>
    <definedName name="MODMC5" localSheetId="23" hidden="1">Partner3!$11:$48</definedName>
    <definedName name="MODMC5" localSheetId="24" hidden="1">Partner4!$11:$48</definedName>
    <definedName name="MODMC5" localSheetId="25" hidden="1">Partner5!$11:$48</definedName>
    <definedName name="MODMC5" localSheetId="26" hidden="1">Partner6!$11:$48</definedName>
    <definedName name="MODMC5" localSheetId="27" hidden="1">Partner7!$11:$48</definedName>
    <definedName name="MODMC5" localSheetId="28" hidden="1">Partner8!$11:$48</definedName>
    <definedName name="MODMC5" localSheetId="29" hidden="1">Partner9!$11:$48</definedName>
    <definedName name="MODMC5" hidden="1">Partner1!$11:$48</definedName>
    <definedName name="MODMC6" localSheetId="10" hidden="1">'Financial Req'!$5:$10</definedName>
    <definedName name="MODMC6" localSheetId="11" hidden="1">Government1!$5:$10</definedName>
    <definedName name="MODMC6" localSheetId="20" hidden="1">Government10!$5:$10</definedName>
    <definedName name="MODMC6" localSheetId="12" hidden="1">Government2!$5:$10</definedName>
    <definedName name="MODMC6" localSheetId="13" hidden="1">Government3!$5:$10</definedName>
    <definedName name="MODMC6" localSheetId="14" hidden="1">Government4!$5:$10</definedName>
    <definedName name="MODMC6" localSheetId="15" hidden="1">Government5!$5:$10</definedName>
    <definedName name="MODMC6" localSheetId="16" hidden="1">Government6!$5:$10</definedName>
    <definedName name="MODMC6" localSheetId="17" hidden="1">Government7!$5:$10</definedName>
    <definedName name="MODMC6" localSheetId="18" hidden="1">Government8!$5:$10</definedName>
    <definedName name="MODMC6" localSheetId="19" hidden="1">Government9!$5:$10</definedName>
    <definedName name="MODMC6" localSheetId="30" hidden="1">Partner10!$5:$10</definedName>
    <definedName name="MODMC6" localSheetId="22" hidden="1">Partner2!$5:$10</definedName>
    <definedName name="MODMC6" localSheetId="23" hidden="1">Partner3!$5:$10</definedName>
    <definedName name="MODMC6" localSheetId="24" hidden="1">Partner4!$5:$10</definedName>
    <definedName name="MODMC6" localSheetId="25" hidden="1">Partner5!$5:$10</definedName>
    <definedName name="MODMC6" localSheetId="26" hidden="1">Partner6!$5:$10</definedName>
    <definedName name="MODMC6" localSheetId="27" hidden="1">Partner7!$5:$10</definedName>
    <definedName name="MODMC6" localSheetId="28" hidden="1">Partner8!$5:$10</definedName>
    <definedName name="MODMC6" localSheetId="29" hidden="1">Partner9!$5:$10</definedName>
    <definedName name="MODMC6" hidden="1">Partner1!$5:$10</definedName>
    <definedName name="MODMC7" localSheetId="32" hidden="1">Summary_Govt_Contributions!$11:$29</definedName>
    <definedName name="MODMC7" hidden="1">Summary_Partner_Contributions!$11:$44</definedName>
    <definedName name="MODMC8" localSheetId="32" hidden="1">Summary_Govt_Contributions!$5:$10</definedName>
    <definedName name="MODMC8" hidden="1">Summary_Partner_Contributions!$5:$10</definedName>
    <definedName name="MODMC9" hidden="1">Summary_Available_Funds!$11:$64</definedName>
    <definedName name="Partner1">Basic_Setup!$G$108</definedName>
    <definedName name="Partner10">Basic_Setup!$G$117</definedName>
    <definedName name="Partner2">Basic_Setup!$G$109</definedName>
    <definedName name="Partner3">Basic_Setup!$G$110</definedName>
    <definedName name="Partner4">Basic_Setup!$G$111</definedName>
    <definedName name="Partner5">Basic_Setup!$G$112</definedName>
    <definedName name="Partner6">Basic_Setup!$G$113</definedName>
    <definedName name="Partner7">Basic_Setup!$G$114</definedName>
    <definedName name="Partner8">Basic_Setup!$G$115</definedName>
    <definedName name="Partner9">Basic_Setup!$G$116</definedName>
    <definedName name="_xlnm.Print_Area" localSheetId="3">'Acerca de'!$B$1:$X$304</definedName>
    <definedName name="_xlnm.Print_Area" localSheetId="9">Basic_Setup!$B$1:$Q$54</definedName>
    <definedName name="_xlnm.Print_Area" localSheetId="39">Chks_Ssc!$B$1:$N$30</definedName>
    <definedName name="_xlnm.Print_Area" localSheetId="10">'Financial Req'!$B$1:$Q$77</definedName>
    <definedName name="_xlnm.Print_Area" localSheetId="36">Financial_Gap_Details!$B$1:$AB$470</definedName>
    <definedName name="_xlnm.Print_Area" localSheetId="11">Government1!$B$1:$Q$77</definedName>
    <definedName name="_xlnm.Print_Area" localSheetId="20">Government10!$B$1:$Q$77</definedName>
    <definedName name="_xlnm.Print_Area" localSheetId="12">Government2!$B$1:$Q$77</definedName>
    <definedName name="_xlnm.Print_Area" localSheetId="13">Government3!$B$1:$Q$77</definedName>
    <definedName name="_xlnm.Print_Area" localSheetId="14">Government4!$B$1:$Q$77</definedName>
    <definedName name="_xlnm.Print_Area" localSheetId="15">Government5!$B$1:$Q$77</definedName>
    <definedName name="_xlnm.Print_Area" localSheetId="16">Government6!$B$1:$Q$77</definedName>
    <definedName name="_xlnm.Print_Area" localSheetId="17">Government7!$B$1:$Q$77</definedName>
    <definedName name="_xlnm.Print_Area" localSheetId="18">Government8!$B$1:$Q$77</definedName>
    <definedName name="_xlnm.Print_Area" localSheetId="19">Government9!$B$1:$Q$77</definedName>
    <definedName name="_xlnm.Print_Area" localSheetId="1">Índice!$B$1:$P$40</definedName>
    <definedName name="_xlnm.Print_Area" localSheetId="37">Lu_Ssc!$B$1:$N$30</definedName>
    <definedName name="_xlnm.Print_Area" localSheetId="31">Outputs!$B$1:$N$39</definedName>
    <definedName name="_xlnm.Print_Area" localSheetId="21">Partner1!$B$1:$Q$77</definedName>
    <definedName name="_xlnm.Print_Area" localSheetId="30">Partner10!$B$1:$Q$77</definedName>
    <definedName name="_xlnm.Print_Area" localSheetId="22">Partner2!$B$1:$Q$77</definedName>
    <definedName name="_xlnm.Print_Area" localSheetId="23">Partner3!$B$1:$Q$77</definedName>
    <definedName name="_xlnm.Print_Area" localSheetId="24">Partner4!$B$1:$Q$77</definedName>
    <definedName name="_xlnm.Print_Area" localSheetId="25">Partner5!$B$1:$Q$77</definedName>
    <definedName name="_xlnm.Print_Area" localSheetId="26">Partner6!$B$1:$Q$77</definedName>
    <definedName name="_xlnm.Print_Area" localSheetId="27">Partner7!$B$1:$Q$77</definedName>
    <definedName name="_xlnm.Print_Area" localSheetId="28">Partner8!$B$1:$Q$77</definedName>
    <definedName name="_xlnm.Print_Area" localSheetId="29">Partner9!$B$1:$Q$77</definedName>
    <definedName name="_xlnm.Print_Area" localSheetId="0">Portada!$B$1:$O$33</definedName>
    <definedName name="_xlnm.Print_Area" localSheetId="2">Presentaciones!$B$1:$N$31</definedName>
    <definedName name="_xlnm.Print_Area" localSheetId="34">Summary_Available_Funds!$B$1:$Q$64</definedName>
    <definedName name="_xlnm.Print_Area" localSheetId="35">Summary_Financial_Gaps!$B$1:$Q$36</definedName>
    <definedName name="_xlnm.Print_Area" localSheetId="32">Summary_Govt_Contributions!$B$1:$Q$30</definedName>
    <definedName name="_xlnm.Print_Area" localSheetId="33">Summary_Partner_Contributions!$B$1:$Q$45</definedName>
    <definedName name="_xlnm.Print_Area" localSheetId="7">Suposiciones!$B$1:$N$26</definedName>
    <definedName name="_xlnm.Print_Area" localSheetId="8">Time_Series!$B$1:$Q$15</definedName>
    <definedName name="_xlnm.Print_Area" localSheetId="38">Ts_Lu!$B$1:$G$87</definedName>
    <definedName name="_xlnm.Print_Area" localSheetId="40">Variables_Lu!$B$1:$G$33</definedName>
    <definedName name="_xlnm.Print_Titles" localSheetId="3">'Acerca de'!$1:$4</definedName>
    <definedName name="_xlnm.Print_Titles" localSheetId="9">Basic_Setup!$1:$4</definedName>
    <definedName name="_xlnm.Print_Titles" localSheetId="10">'Financial Req'!$1:$10</definedName>
    <definedName name="_xlnm.Print_Titles" localSheetId="36">Financial_Gap_Details!$1:$4</definedName>
    <definedName name="_xlnm.Print_Titles" localSheetId="11">Government1!$1:$10</definedName>
    <definedName name="_xlnm.Print_Titles" localSheetId="20">Government10!$1:$10</definedName>
    <definedName name="_xlnm.Print_Titles" localSheetId="12">Government2!$1:$10</definedName>
    <definedName name="_xlnm.Print_Titles" localSheetId="13">Government3!$1:$10</definedName>
    <definedName name="_xlnm.Print_Titles" localSheetId="14">Government4!$1:$10</definedName>
    <definedName name="_xlnm.Print_Titles" localSheetId="15">Government5!$1:$10</definedName>
    <definedName name="_xlnm.Print_Titles" localSheetId="16">Government6!$1:$10</definedName>
    <definedName name="_xlnm.Print_Titles" localSheetId="17">Government7!$1:$10</definedName>
    <definedName name="_xlnm.Print_Titles" localSheetId="18">Government8!$1:$10</definedName>
    <definedName name="_xlnm.Print_Titles" localSheetId="19">Government9!$1:$10</definedName>
    <definedName name="_xlnm.Print_Titles" localSheetId="1">Índice!$1:$4</definedName>
    <definedName name="_xlnm.Print_Titles" localSheetId="21">Partner1!$1:$10</definedName>
    <definedName name="_xlnm.Print_Titles" localSheetId="30">Partner10!$1:$10</definedName>
    <definedName name="_xlnm.Print_Titles" localSheetId="22">Partner2!$1:$10</definedName>
    <definedName name="_xlnm.Print_Titles" localSheetId="23">Partner3!$1:$10</definedName>
    <definedName name="_xlnm.Print_Titles" localSheetId="24">Partner4!$1:$10</definedName>
    <definedName name="_xlnm.Print_Titles" localSheetId="25">Partner5!$1:$10</definedName>
    <definedName name="_xlnm.Print_Titles" localSheetId="26">Partner6!$1:$10</definedName>
    <definedName name="_xlnm.Print_Titles" localSheetId="27">Partner7!$1:$10</definedName>
    <definedName name="_xlnm.Print_Titles" localSheetId="28">Partner8!$1:$10</definedName>
    <definedName name="_xlnm.Print_Titles" localSheetId="29">Partner9!$1:$10</definedName>
    <definedName name="_xlnm.Print_Titles" localSheetId="34">Summary_Available_Funds!$1:$10</definedName>
    <definedName name="_xlnm.Print_Titles" localSheetId="35">Summary_Financial_Gaps!$1:$10</definedName>
    <definedName name="_xlnm.Print_Titles" localSheetId="32">Summary_Govt_Contributions!$1:$10</definedName>
    <definedName name="_xlnm.Print_Titles" localSheetId="33">Summary_Partner_Contributions!$1:$10</definedName>
    <definedName name="_xlnm.Print_Titles" localSheetId="8">Time_Series!$1:$4</definedName>
    <definedName name="_xlnm.Print_Titles" localSheetId="38">Ts_Lu!$1:$4</definedName>
    <definedName name="right1">INDEX(charts,Data!$N$8)</definedName>
    <definedName name="right2">INDEX(charts,Data!$N$9)</definedName>
    <definedName name="right3">INDEX(charts,Data!$N$10)</definedName>
    <definedName name="STRAT1_IND1">Basic_Setup!$G$34</definedName>
    <definedName name="STRAT1_IND2">Basic_Setup!$G$35</definedName>
    <definedName name="STRAT1_IND3">Basic_Setup!$G$36</definedName>
    <definedName name="STRAT1_IND4">Basic_Setup!$G$37</definedName>
    <definedName name="STRAT1_IND5">Basic_Setup!$G$38</definedName>
    <definedName name="STRAT10_IND1">Basic_Setup!$G$88</definedName>
    <definedName name="STRAT10_IND2">Basic_Setup!$G$89</definedName>
    <definedName name="STRAT10_IND3">Basic_Setup!$G$90</definedName>
    <definedName name="STRAT10_IND4">Basic_Setup!$G$91</definedName>
    <definedName name="STRAT10_IND5">Basic_Setup!$G$92</definedName>
    <definedName name="STRAT2_IND1">Basic_Setup!$G$40</definedName>
    <definedName name="STRAT2_IND2">Basic_Setup!$G$41</definedName>
    <definedName name="STRAT2_IND3">Basic_Setup!$G$42</definedName>
    <definedName name="STRAT2_IND4">Basic_Setup!$G$43</definedName>
    <definedName name="STRAT2_IND5">Basic_Setup!$G$44</definedName>
    <definedName name="STRAT3_IND1">Basic_Setup!$G$46</definedName>
    <definedName name="STRAT3_IND2">Basic_Setup!$G$47</definedName>
    <definedName name="STRAT3_IND3">Basic_Setup!$G$48</definedName>
    <definedName name="STRAT3_IND4">Basic_Setup!$G$49</definedName>
    <definedName name="STRAT3_IND5">Basic_Setup!$G$50</definedName>
    <definedName name="STRAT4_IND1">Basic_Setup!$G$52</definedName>
    <definedName name="STRAT4_IND2">Basic_Setup!$G$53</definedName>
    <definedName name="STRAT4_IND3">Basic_Setup!$G$54</definedName>
    <definedName name="STRAT4_IND4">Basic_Setup!$G$55</definedName>
    <definedName name="STRAT4_IND5">Basic_Setup!$G$56</definedName>
    <definedName name="STRAT5_IND1">Basic_Setup!$G$58</definedName>
    <definedName name="STRAT5_IND2">Basic_Setup!$G$59</definedName>
    <definedName name="STRAT5_IND3">Basic_Setup!$G$60</definedName>
    <definedName name="STRAT5_IND4">Basic_Setup!$G$61</definedName>
    <definedName name="STRAT5_IND5">Basic_Setup!$G$62</definedName>
    <definedName name="STRAT6_IND1">Basic_Setup!$G$64</definedName>
    <definedName name="STRAT6_IND2">Basic_Setup!$G$65</definedName>
    <definedName name="STRAT6_IND3">Basic_Setup!$G$66</definedName>
    <definedName name="STRAT6_IND4">Basic_Setup!$G$67</definedName>
    <definedName name="STRAT6_IND5">Basic_Setup!$G$68</definedName>
    <definedName name="STRAT7_IND1">Basic_Setup!$G$70</definedName>
    <definedName name="STRAT7_IND2">Basic_Setup!$G$71</definedName>
    <definedName name="STRAT7_IND3">Basic_Setup!$G$72</definedName>
    <definedName name="STRAT7_IND4">Basic_Setup!$G$73</definedName>
    <definedName name="STRAT7_IND5">Basic_Setup!$G$74</definedName>
    <definedName name="STRAT8_IND1">Basic_Setup!$G$76</definedName>
    <definedName name="STRAT8_IND2">Basic_Setup!$G$77</definedName>
    <definedName name="STRAT8_IND3">Basic_Setup!$G$78</definedName>
    <definedName name="STRAT8_IND4">Basic_Setup!$G$79</definedName>
    <definedName name="STRAT8_IND5">Basic_Setup!$G$80</definedName>
    <definedName name="STRAT9_IND1">Basic_Setup!$G$82</definedName>
    <definedName name="STRAT9_IND2">Basic_Setup!$G$83</definedName>
    <definedName name="STRAT9_IND3">Basic_Setup!$G$84</definedName>
    <definedName name="STRAT9_IND4">Basic_Setup!$G$85</definedName>
    <definedName name="STRAT9_IND5">Basic_Setup!$G$86</definedName>
    <definedName name="Strategy_Insufficiently_Financed">" "</definedName>
    <definedName name="Strategy_Not_Sustainable">" "</definedName>
    <definedName name="Strategy_Sufficiently_Financed">" "</definedName>
    <definedName name="Strategy_Sustainable">" "</definedName>
    <definedName name="Strategy1">Basic_Setup!$F$34</definedName>
    <definedName name="Strategy10">Basic_Setup!$F$88</definedName>
    <definedName name="Strategy2">Basic_Setup!$F$40</definedName>
    <definedName name="Strategy3">Basic_Setup!$F$46</definedName>
    <definedName name="Strategy4">Basic_Setup!$F$52</definedName>
    <definedName name="Strategy5">Basic_Setup!$F$58</definedName>
    <definedName name="Strategy6">Basic_Setup!$F$64</definedName>
    <definedName name="Strategy7">Basic_Setup!$F$70</definedName>
    <definedName name="Strategy8">Basic_Setup!$F$76</definedName>
    <definedName name="Strategy9">Basic_Setup!$F$82</definedName>
    <definedName name="TBXBST" localSheetId="3" hidden="1">"|B|Bo|B|"</definedName>
    <definedName name="TBXBST" localSheetId="9" hidden="1">"|B|Ba|B|"</definedName>
    <definedName name="TBXBST" localSheetId="39" hidden="1">"|B|Ssc|B|"</definedName>
    <definedName name="TBXBST" localSheetId="10" hidden="1">"|B|Ta|B||T|All|T||N|1|N||FTSCN|10|FTSCN||TSP|0|TSP|"</definedName>
    <definedName name="TBXBST" localSheetId="36" hidden="1">"|B|Bo|B|"</definedName>
    <definedName name="TBXBST" localSheetId="11" hidden="1">"|B|Ta|B||T|All|T||N|1|N||FTSCN|10|FTSCN||TSP|0|TSP|"</definedName>
    <definedName name="TBXBST" localSheetId="20" hidden="1">"|B|Ta|B||T|All|T||N|1|N||FTSCN|10|FTSCN||TSP|0|TSP|"</definedName>
    <definedName name="TBXBST" localSheetId="12" hidden="1">"|B|Ta|B||T|All|T||N|1|N||FTSCN|10|FTSCN||TSP|0|TSP|"</definedName>
    <definedName name="TBXBST" localSheetId="13" hidden="1">"|B|Ta|B||T|All|T||N|1|N||FTSCN|10|FTSCN||TSP|0|TSP|"</definedName>
    <definedName name="TBXBST" localSheetId="14" hidden="1">"|B|Ta|B||T|All|T||N|1|N||FTSCN|10|FTSCN||TSP|0|TSP|"</definedName>
    <definedName name="TBXBST" localSheetId="15" hidden="1">"|B|Ta|B||T|All|T||N|1|N||FTSCN|10|FTSCN||TSP|0|TSP|"</definedName>
    <definedName name="TBXBST" localSheetId="16" hidden="1">"|B|Ta|B||T|All|T||N|1|N||FTSCN|10|FTSCN||TSP|0|TSP|"</definedName>
    <definedName name="TBXBST" localSheetId="17" hidden="1">"|B|Ta|B||T|All|T||N|1|N||FTSCN|10|FTSCN||TSP|0|TSP|"</definedName>
    <definedName name="TBXBST" localSheetId="18" hidden="1">"|B|Ta|B||T|All|T||N|1|N||FTSCN|10|FTSCN||TSP|0|TSP|"</definedName>
    <definedName name="TBXBST" localSheetId="19" hidden="1">"|B|Ta|B||T|All|T||N|1|N||FTSCN|10|FTSCN||TSP|0|TSP|"</definedName>
    <definedName name="TBXBST" localSheetId="1" hidden="1">"|B|Contents|B|"</definedName>
    <definedName name="TBXBST" localSheetId="37" hidden="1">"|B|Ssc|B|"</definedName>
    <definedName name="TBXBST" localSheetId="31" hidden="1">"|B|Sc|B|"</definedName>
    <definedName name="TBXBST" localSheetId="21" hidden="1">"|B|Ta|B||T|All|T||N|1|N||FTSCN|10|FTSCN||TSP|0|TSP|"</definedName>
    <definedName name="TBXBST" localSheetId="30" hidden="1">"|B|Ta|B||T|All|T||N|1|N||FTSCN|10|FTSCN||TSP|0|TSP|"</definedName>
    <definedName name="TBXBST" localSheetId="22" hidden="1">"|B|Ta|B||T|All|T||N|1|N||FTSCN|10|FTSCN||TSP|0|TSP|"</definedName>
    <definedName name="TBXBST" localSheetId="23" hidden="1">"|B|Ta|B||T|All|T||N|1|N||FTSCN|10|FTSCN||TSP|0|TSP|"</definedName>
    <definedName name="TBXBST" localSheetId="24" hidden="1">"|B|Ta|B||T|All|T||N|1|N||FTSCN|10|FTSCN||TSP|0|TSP|"</definedName>
    <definedName name="TBXBST" localSheetId="25" hidden="1">"|B|Ta|B||T|All|T||N|1|N||FTSCN|10|FTSCN||TSP|0|TSP|"</definedName>
    <definedName name="TBXBST" localSheetId="26" hidden="1">"|B|Ta|B||T|All|T||N|1|N||FTSCN|10|FTSCN||TSP|0|TSP|"</definedName>
    <definedName name="TBXBST" localSheetId="27" hidden="1">"|B|Ta|B||T|All|T||N|1|N||FTSCN|10|FTSCN||TSP|0|TSP|"</definedName>
    <definedName name="TBXBST" localSheetId="28" hidden="1">"|B|Ta|B||T|All|T||N|1|N||FTSCN|10|FTSCN||TSP|0|TSP|"</definedName>
    <definedName name="TBXBST" localSheetId="29" hidden="1">"|B|Ta|B||T|All|T||N|1|N||FTSCN|10|FTSCN||TSP|0|TSP|"</definedName>
    <definedName name="TBXBST" localSheetId="0" hidden="1">"|B|Cover|B|"</definedName>
    <definedName name="TBXBST" localSheetId="2" hidden="1">"|B|Sc|B|"</definedName>
    <definedName name="TBXBST" localSheetId="34" hidden="1">"|B|To|B||T|All|T||N|1|N||FTSCN|10|FTSCN||TSP|0|TSP|"</definedName>
    <definedName name="TBXBST" localSheetId="35" hidden="1">"|B|To|B||T|All|T||N|1|N||FTSCN|10|FTSCN||TSP|0|TSP|"</definedName>
    <definedName name="TBXBST" localSheetId="32" hidden="1">"|B|To|B||T|All|T||N|1|N||FTSCN|10|FTSCN||TSP|0|TSP|"</definedName>
    <definedName name="TBXBST" localSheetId="33" hidden="1">"|B|To|B||T|All|T||N|1|N||FTSCN|10|FTSCN||TSP|0|TSP|"</definedName>
    <definedName name="TBXBST" localSheetId="7" hidden="1">"|B|Sc|B|"</definedName>
    <definedName name="TBXBST" localSheetId="4" hidden="1">"|B|Ba|B|"</definedName>
    <definedName name="TBXBST" localSheetId="8" hidden="1">"|B|Ba|B|"</definedName>
    <definedName name="TBXBST" localSheetId="38" hidden="1">"|B|Lu|B|"</definedName>
    <definedName name="TBXBST" localSheetId="40" hidden="1">"|B|Lu|B|"</definedName>
    <definedName name="TOC_Hdg_1">#REF!</definedName>
    <definedName name="TOC_Hdg_10">Partner1!$B$14</definedName>
    <definedName name="TOC_Hdg_11">Summary_Partner_Contributions!$B$14</definedName>
    <definedName name="TOC_Hdg_12">Summary_Available_Funds!$B$64</definedName>
    <definedName name="TOC_Hdg_13">Summary_Financial_Gaps!$B$12</definedName>
    <definedName name="TOC_Hdg_15">Financial_Gap_Details!$B$161</definedName>
    <definedName name="TOC_Hdg_7">Time_Series!$B$6</definedName>
    <definedName name="TOC_Hdg_8">Ts_Lu!$B$6</definedName>
    <definedName name="TOC_Hdg_9">Basic_Setup!$B$29</definedName>
    <definedName name="Ts_Billion">Ts_Lu!$D$87</definedName>
    <definedName name="Ts_Currency">Time_Series!$H$14</definedName>
    <definedName name="Ts_Days_In_Wk">Ts_Lu!$D$65</definedName>
    <definedName name="Ts_Denom_Conv_Fact">Time_Series!$H$15</definedName>
    <definedName name="Ts_End_Date">Time_Series!$H$13</definedName>
    <definedName name="Ts_First_Fin_Yr">Time_Series!$H$10</definedName>
    <definedName name="Ts_Halves_In_Yr">Ts_Lu!$D$71</definedName>
    <definedName name="Ts_Hrs_In_Day">Ts_Lu!$D$64</definedName>
    <definedName name="Ts_Million">Ts_Lu!$D$86</definedName>
    <definedName name="Ts_Mins_In_Hr">Ts_Lu!$D$63</definedName>
    <definedName name="TS_Model_Start_Year">Basic_Setup!$G$12</definedName>
    <definedName name="Ts_Mths_In_Half">Ts_Lu!$D$67</definedName>
    <definedName name="Ts_Mths_In_Qtr">Ts_Lu!$D$66</definedName>
    <definedName name="Ts_Mths_In_Yr">Ts_Lu!$D$68</definedName>
    <definedName name="Ts_Qtrs_In_Half">Ts_Lu!$D$69</definedName>
    <definedName name="Ts_Qtrs_In_Yr">Ts_Lu!$D$70</definedName>
    <definedName name="Ts_Secs_In_Min">Ts_Lu!$D$62</definedName>
    <definedName name="Ts_Start_Date">Time_Series!$H$12</definedName>
    <definedName name="Ts_Term">Time_Series!$H$11</definedName>
    <definedName name="Ts_Thousand">Ts_Lu!$D$85</definedName>
    <definedName name="Version_Number">Portada!$G$13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20" l="1"/>
  <c r="B6" i="19"/>
  <c r="F117" i="62"/>
  <c r="F27" i="62"/>
  <c r="E26" i="62"/>
  <c r="C27" i="20" l="1"/>
  <c r="B2" i="51"/>
  <c r="C11" i="5"/>
  <c r="D79" i="12"/>
  <c r="D78" i="12"/>
  <c r="D77" i="12"/>
  <c r="D76" i="12"/>
  <c r="D57" i="12"/>
  <c r="D56" i="12"/>
  <c r="D55" i="12"/>
  <c r="D54" i="12"/>
  <c r="D53" i="12"/>
  <c r="D52" i="12"/>
  <c r="D51" i="12"/>
  <c r="D50" i="12"/>
  <c r="D49" i="12"/>
  <c r="D48" i="12"/>
  <c r="D47" i="12"/>
  <c r="D46"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B2" i="12"/>
  <c r="C11" i="11"/>
  <c r="G932" i="19"/>
  <c r="F932" i="19"/>
  <c r="P931" i="19"/>
  <c r="G931" i="19"/>
  <c r="F931" i="19"/>
  <c r="G930" i="19"/>
  <c r="F930" i="19"/>
  <c r="G929" i="19"/>
  <c r="F929" i="19"/>
  <c r="G928" i="19"/>
  <c r="F928" i="19"/>
  <c r="E927" i="19"/>
  <c r="G925" i="19"/>
  <c r="F925" i="19"/>
  <c r="G924" i="19"/>
  <c r="F924" i="19"/>
  <c r="G923" i="19"/>
  <c r="F923" i="19"/>
  <c r="N922" i="19"/>
  <c r="G922" i="19"/>
  <c r="F922" i="19"/>
  <c r="G921" i="19"/>
  <c r="F921" i="19"/>
  <c r="E920" i="19"/>
  <c r="G918" i="19"/>
  <c r="F918" i="19"/>
  <c r="G917" i="19"/>
  <c r="F917" i="19"/>
  <c r="H916" i="19"/>
  <c r="G916" i="19"/>
  <c r="F916" i="19"/>
  <c r="G915" i="19"/>
  <c r="F915" i="19"/>
  <c r="G914" i="19"/>
  <c r="F914" i="19"/>
  <c r="E913" i="19"/>
  <c r="H911" i="19"/>
  <c r="G911" i="19"/>
  <c r="F911" i="19"/>
  <c r="G910" i="19"/>
  <c r="F910" i="19"/>
  <c r="G909" i="19"/>
  <c r="F909" i="19"/>
  <c r="M908" i="19"/>
  <c r="G908" i="19"/>
  <c r="F908" i="19"/>
  <c r="G907" i="19"/>
  <c r="F907" i="19"/>
  <c r="E906" i="19"/>
  <c r="G904" i="19"/>
  <c r="F904" i="19"/>
  <c r="G903" i="19"/>
  <c r="F903" i="19"/>
  <c r="H902" i="19"/>
  <c r="G902" i="19"/>
  <c r="F902" i="19"/>
  <c r="G901" i="19"/>
  <c r="F901" i="19"/>
  <c r="G900" i="19"/>
  <c r="F900" i="19"/>
  <c r="E899" i="19"/>
  <c r="H897" i="19"/>
  <c r="G897" i="19"/>
  <c r="F897" i="19"/>
  <c r="G896" i="19"/>
  <c r="F896" i="19"/>
  <c r="G895" i="19"/>
  <c r="F895" i="19"/>
  <c r="G894" i="19"/>
  <c r="F894" i="19"/>
  <c r="T893" i="19"/>
  <c r="G893" i="19"/>
  <c r="F893" i="19"/>
  <c r="E892" i="19"/>
  <c r="G890" i="19"/>
  <c r="F890" i="19"/>
  <c r="Q889" i="19"/>
  <c r="G889" i="19"/>
  <c r="F889" i="19"/>
  <c r="S888" i="19"/>
  <c r="G888" i="19"/>
  <c r="F888" i="19"/>
  <c r="T887" i="19"/>
  <c r="G887" i="19"/>
  <c r="F887" i="19"/>
  <c r="S886" i="19"/>
  <c r="G886" i="19"/>
  <c r="F886" i="19"/>
  <c r="E885" i="19"/>
  <c r="S883" i="19"/>
  <c r="Q883" i="19"/>
  <c r="O883" i="19"/>
  <c r="M883" i="19"/>
  <c r="K883" i="19"/>
  <c r="G883" i="19"/>
  <c r="F883" i="19"/>
  <c r="P882" i="19"/>
  <c r="H882" i="19"/>
  <c r="G882" i="19"/>
  <c r="F882" i="19"/>
  <c r="O881" i="19"/>
  <c r="G881" i="19"/>
  <c r="F881" i="19"/>
  <c r="G880" i="19"/>
  <c r="F880" i="19"/>
  <c r="G879" i="19"/>
  <c r="F879" i="19"/>
  <c r="E878" i="19"/>
  <c r="Q876" i="19"/>
  <c r="G876" i="19"/>
  <c r="F876" i="19"/>
  <c r="P875" i="19"/>
  <c r="H875" i="19"/>
  <c r="G875" i="19"/>
  <c r="F875" i="19"/>
  <c r="G874" i="19"/>
  <c r="F874" i="19"/>
  <c r="AD873" i="19"/>
  <c r="G873" i="19"/>
  <c r="F873" i="19"/>
  <c r="G872" i="19"/>
  <c r="F872" i="19"/>
  <c r="E871" i="19"/>
  <c r="Q869" i="19"/>
  <c r="G869" i="19"/>
  <c r="F869" i="19"/>
  <c r="G868" i="19"/>
  <c r="F868" i="19"/>
  <c r="G867" i="19"/>
  <c r="F867" i="19"/>
  <c r="G866" i="19"/>
  <c r="F866" i="19"/>
  <c r="G865" i="19"/>
  <c r="F865" i="19"/>
  <c r="E864" i="19"/>
  <c r="AD862" i="19"/>
  <c r="AC862" i="19"/>
  <c r="AB862" i="19"/>
  <c r="AA862" i="19"/>
  <c r="Z862" i="19"/>
  <c r="Y862" i="19"/>
  <c r="X862" i="19"/>
  <c r="W862" i="19"/>
  <c r="V862" i="19"/>
  <c r="U862" i="19"/>
  <c r="T862" i="19"/>
  <c r="S862" i="19"/>
  <c r="R862" i="19"/>
  <c r="Q862" i="19"/>
  <c r="P862" i="19"/>
  <c r="O862" i="19"/>
  <c r="N862" i="19"/>
  <c r="M862" i="19"/>
  <c r="L862" i="19"/>
  <c r="K862" i="19"/>
  <c r="E860" i="19"/>
  <c r="T855" i="19"/>
  <c r="T932" i="19" s="1"/>
  <c r="S855" i="19"/>
  <c r="S932" i="19" s="1"/>
  <c r="R855" i="19"/>
  <c r="R932" i="19" s="1"/>
  <c r="Q855" i="19"/>
  <c r="Q932" i="19" s="1"/>
  <c r="P855" i="19"/>
  <c r="P932" i="19" s="1"/>
  <c r="O855" i="19"/>
  <c r="O932" i="19" s="1"/>
  <c r="N855" i="19"/>
  <c r="N932" i="19" s="1"/>
  <c r="M855" i="19"/>
  <c r="M932" i="19" s="1"/>
  <c r="L855" i="19"/>
  <c r="L932" i="19" s="1"/>
  <c r="K855" i="19"/>
  <c r="K932" i="19" s="1"/>
  <c r="H855" i="19"/>
  <c r="G855" i="19"/>
  <c r="F855" i="19"/>
  <c r="T854" i="19"/>
  <c r="T931" i="19" s="1"/>
  <c r="S854" i="19"/>
  <c r="S931" i="19" s="1"/>
  <c r="R854" i="19"/>
  <c r="R931" i="19" s="1"/>
  <c r="Q854" i="19"/>
  <c r="Q931" i="19" s="1"/>
  <c r="P854" i="19"/>
  <c r="O854" i="19"/>
  <c r="O931" i="19" s="1"/>
  <c r="N854" i="19"/>
  <c r="N931" i="19" s="1"/>
  <c r="M854" i="19"/>
  <c r="M931" i="19" s="1"/>
  <c r="L854" i="19"/>
  <c r="L931" i="19" s="1"/>
  <c r="K854" i="19"/>
  <c r="H854" i="19"/>
  <c r="H931" i="19" s="1"/>
  <c r="G854" i="19"/>
  <c r="F854" i="19"/>
  <c r="T853" i="19"/>
  <c r="T930" i="19" s="1"/>
  <c r="S853" i="19"/>
  <c r="S930" i="19" s="1"/>
  <c r="R853" i="19"/>
  <c r="R930" i="19" s="1"/>
  <c r="Q853" i="19"/>
  <c r="Q930" i="19" s="1"/>
  <c r="P853" i="19"/>
  <c r="P930" i="19" s="1"/>
  <c r="O853" i="19"/>
  <c r="O930" i="19" s="1"/>
  <c r="N853" i="19"/>
  <c r="N930" i="19" s="1"/>
  <c r="M853" i="19"/>
  <c r="M930" i="19" s="1"/>
  <c r="L853" i="19"/>
  <c r="L930" i="19" s="1"/>
  <c r="K853" i="19"/>
  <c r="K930" i="19" s="1"/>
  <c r="H853" i="19"/>
  <c r="G853" i="19"/>
  <c r="F853" i="19"/>
  <c r="T852" i="19"/>
  <c r="T929" i="19" s="1"/>
  <c r="S852" i="19"/>
  <c r="S929" i="19" s="1"/>
  <c r="R852" i="19"/>
  <c r="R929" i="19" s="1"/>
  <c r="Q852" i="19"/>
  <c r="Q929" i="19" s="1"/>
  <c r="P852" i="19"/>
  <c r="P929" i="19" s="1"/>
  <c r="O852" i="19"/>
  <c r="O929" i="19" s="1"/>
  <c r="N852" i="19"/>
  <c r="N929" i="19" s="1"/>
  <c r="M852" i="19"/>
  <c r="M929" i="19" s="1"/>
  <c r="L852" i="19"/>
  <c r="L929" i="19" s="1"/>
  <c r="K852" i="19"/>
  <c r="H852" i="19"/>
  <c r="H929" i="19" s="1"/>
  <c r="G852" i="19"/>
  <c r="F852" i="19"/>
  <c r="T851" i="19"/>
  <c r="T928" i="19" s="1"/>
  <c r="S851" i="19"/>
  <c r="S928" i="19" s="1"/>
  <c r="R851" i="19"/>
  <c r="R928" i="19" s="1"/>
  <c r="Q851" i="19"/>
  <c r="Q928" i="19" s="1"/>
  <c r="P851" i="19"/>
  <c r="P928" i="19" s="1"/>
  <c r="O851" i="19"/>
  <c r="O928" i="19" s="1"/>
  <c r="N851" i="19"/>
  <c r="N928" i="19" s="1"/>
  <c r="M851" i="19"/>
  <c r="M928" i="19" s="1"/>
  <c r="L851" i="19"/>
  <c r="L928" i="19" s="1"/>
  <c r="K851" i="19"/>
  <c r="K928" i="19" s="1"/>
  <c r="H851" i="19"/>
  <c r="G851" i="19"/>
  <c r="F851" i="19"/>
  <c r="E850" i="19"/>
  <c r="T848" i="19"/>
  <c r="T925" i="19" s="1"/>
  <c r="S848" i="19"/>
  <c r="S925" i="19" s="1"/>
  <c r="R848" i="19"/>
  <c r="R925" i="19" s="1"/>
  <c r="Q848" i="19"/>
  <c r="Q925" i="19" s="1"/>
  <c r="P848" i="19"/>
  <c r="P925" i="19" s="1"/>
  <c r="O848" i="19"/>
  <c r="O925" i="19" s="1"/>
  <c r="N848" i="19"/>
  <c r="N925" i="19" s="1"/>
  <c r="M848" i="19"/>
  <c r="M925" i="19" s="1"/>
  <c r="L848" i="19"/>
  <c r="L925" i="19" s="1"/>
  <c r="K848" i="19"/>
  <c r="K925" i="19" s="1"/>
  <c r="H848" i="19"/>
  <c r="G848" i="19"/>
  <c r="F848" i="19"/>
  <c r="T847" i="19"/>
  <c r="T924" i="19" s="1"/>
  <c r="S847" i="19"/>
  <c r="S924" i="19" s="1"/>
  <c r="R847" i="19"/>
  <c r="R924" i="19" s="1"/>
  <c r="Q847" i="19"/>
  <c r="Q924" i="19" s="1"/>
  <c r="P847" i="19"/>
  <c r="P924" i="19" s="1"/>
  <c r="O847" i="19"/>
  <c r="O924" i="19" s="1"/>
  <c r="N847" i="19"/>
  <c r="N924" i="19" s="1"/>
  <c r="M847" i="19"/>
  <c r="M924" i="19" s="1"/>
  <c r="L847" i="19"/>
  <c r="L924" i="19" s="1"/>
  <c r="K847" i="19"/>
  <c r="H847" i="19"/>
  <c r="H924" i="19" s="1"/>
  <c r="G847" i="19"/>
  <c r="F847" i="19"/>
  <c r="T846" i="19"/>
  <c r="T923" i="19" s="1"/>
  <c r="S846" i="19"/>
  <c r="S923" i="19" s="1"/>
  <c r="R846" i="19"/>
  <c r="R923" i="19" s="1"/>
  <c r="Q846" i="19"/>
  <c r="Q923" i="19" s="1"/>
  <c r="P846" i="19"/>
  <c r="P923" i="19" s="1"/>
  <c r="O846" i="19"/>
  <c r="O923" i="19" s="1"/>
  <c r="N846" i="19"/>
  <c r="N923" i="19" s="1"/>
  <c r="M846" i="19"/>
  <c r="M923" i="19" s="1"/>
  <c r="L846" i="19"/>
  <c r="L923" i="19" s="1"/>
  <c r="K846" i="19"/>
  <c r="K923" i="19" s="1"/>
  <c r="H846" i="19"/>
  <c r="G846" i="19"/>
  <c r="F846" i="19"/>
  <c r="T845" i="19"/>
  <c r="T922" i="19" s="1"/>
  <c r="S845" i="19"/>
  <c r="S922" i="19" s="1"/>
  <c r="R845" i="19"/>
  <c r="R922" i="19" s="1"/>
  <c r="Q845" i="19"/>
  <c r="Q922" i="19" s="1"/>
  <c r="P845" i="19"/>
  <c r="P922" i="19" s="1"/>
  <c r="O845" i="19"/>
  <c r="O922" i="19" s="1"/>
  <c r="N845" i="19"/>
  <c r="M845" i="19"/>
  <c r="M922" i="19" s="1"/>
  <c r="L845" i="19"/>
  <c r="L922" i="19" s="1"/>
  <c r="K845" i="19"/>
  <c r="H845" i="19"/>
  <c r="H922" i="19" s="1"/>
  <c r="G845" i="19"/>
  <c r="F845" i="19"/>
  <c r="T844" i="19"/>
  <c r="T921" i="19" s="1"/>
  <c r="S844" i="19"/>
  <c r="S921" i="19" s="1"/>
  <c r="R844" i="19"/>
  <c r="R921" i="19" s="1"/>
  <c r="Q844" i="19"/>
  <c r="Q921" i="19" s="1"/>
  <c r="P844" i="19"/>
  <c r="P921" i="19" s="1"/>
  <c r="O844" i="19"/>
  <c r="O921" i="19" s="1"/>
  <c r="N844" i="19"/>
  <c r="N921" i="19" s="1"/>
  <c r="M844" i="19"/>
  <c r="M921" i="19" s="1"/>
  <c r="L844" i="19"/>
  <c r="L921" i="19" s="1"/>
  <c r="K844" i="19"/>
  <c r="K921" i="19" s="1"/>
  <c r="H844" i="19"/>
  <c r="G844" i="19"/>
  <c r="F844" i="19"/>
  <c r="E843" i="19"/>
  <c r="T841" i="19"/>
  <c r="T918" i="19" s="1"/>
  <c r="S841" i="19"/>
  <c r="S918" i="19" s="1"/>
  <c r="R841" i="19"/>
  <c r="R918" i="19" s="1"/>
  <c r="Q841" i="19"/>
  <c r="Q918" i="19" s="1"/>
  <c r="P841" i="19"/>
  <c r="P918" i="19" s="1"/>
  <c r="O841" i="19"/>
  <c r="O918" i="19" s="1"/>
  <c r="N841" i="19"/>
  <c r="N918" i="19" s="1"/>
  <c r="M841" i="19"/>
  <c r="M918" i="19" s="1"/>
  <c r="L841" i="19"/>
  <c r="L918" i="19" s="1"/>
  <c r="K841" i="19"/>
  <c r="K918" i="19" s="1"/>
  <c r="H841" i="19"/>
  <c r="G841" i="19"/>
  <c r="F841" i="19"/>
  <c r="T840" i="19"/>
  <c r="T917" i="19" s="1"/>
  <c r="S840" i="19"/>
  <c r="S917" i="19" s="1"/>
  <c r="R840" i="19"/>
  <c r="R917" i="19" s="1"/>
  <c r="Q840" i="19"/>
  <c r="Q917" i="19" s="1"/>
  <c r="P840" i="19"/>
  <c r="P917" i="19" s="1"/>
  <c r="O840" i="19"/>
  <c r="O917" i="19" s="1"/>
  <c r="N840" i="19"/>
  <c r="N917" i="19" s="1"/>
  <c r="M840" i="19"/>
  <c r="M917" i="19" s="1"/>
  <c r="L840" i="19"/>
  <c r="L917" i="19" s="1"/>
  <c r="K840" i="19"/>
  <c r="H840" i="19"/>
  <c r="H917" i="19" s="1"/>
  <c r="G840" i="19"/>
  <c r="F840" i="19"/>
  <c r="T839" i="19"/>
  <c r="T916" i="19" s="1"/>
  <c r="S839" i="19"/>
  <c r="S916" i="19" s="1"/>
  <c r="R839" i="19"/>
  <c r="R916" i="19" s="1"/>
  <c r="Q839" i="19"/>
  <c r="Q916" i="19" s="1"/>
  <c r="P839" i="19"/>
  <c r="P916" i="19" s="1"/>
  <c r="O839" i="19"/>
  <c r="O916" i="19" s="1"/>
  <c r="N839" i="19"/>
  <c r="N916" i="19" s="1"/>
  <c r="M839" i="19"/>
  <c r="M916" i="19" s="1"/>
  <c r="L839" i="19"/>
  <c r="L916" i="19" s="1"/>
  <c r="K839" i="19"/>
  <c r="K916" i="19" s="1"/>
  <c r="H839" i="19"/>
  <c r="G839" i="19"/>
  <c r="F839" i="19"/>
  <c r="T838" i="19"/>
  <c r="T915" i="19" s="1"/>
  <c r="S838" i="19"/>
  <c r="S915" i="19" s="1"/>
  <c r="R838" i="19"/>
  <c r="R915" i="19" s="1"/>
  <c r="Q838" i="19"/>
  <c r="Q915" i="19" s="1"/>
  <c r="P838" i="19"/>
  <c r="P915" i="19" s="1"/>
  <c r="O838" i="19"/>
  <c r="O915" i="19" s="1"/>
  <c r="N838" i="19"/>
  <c r="N915" i="19" s="1"/>
  <c r="M838" i="19"/>
  <c r="M915" i="19" s="1"/>
  <c r="L838" i="19"/>
  <c r="L915" i="19" s="1"/>
  <c r="K838" i="19"/>
  <c r="H838" i="19"/>
  <c r="H915" i="19" s="1"/>
  <c r="G838" i="19"/>
  <c r="F838" i="19"/>
  <c r="T837" i="19"/>
  <c r="T914" i="19" s="1"/>
  <c r="S837" i="19"/>
  <c r="S914" i="19" s="1"/>
  <c r="R837" i="19"/>
  <c r="R914" i="19" s="1"/>
  <c r="Q837" i="19"/>
  <c r="Q914" i="19" s="1"/>
  <c r="P837" i="19"/>
  <c r="P914" i="19" s="1"/>
  <c r="O837" i="19"/>
  <c r="O914" i="19" s="1"/>
  <c r="N837" i="19"/>
  <c r="N914" i="19" s="1"/>
  <c r="M837" i="19"/>
  <c r="M914" i="19" s="1"/>
  <c r="L837" i="19"/>
  <c r="L914" i="19" s="1"/>
  <c r="K837" i="19"/>
  <c r="K914" i="19" s="1"/>
  <c r="H837" i="19"/>
  <c r="G837" i="19"/>
  <c r="F837" i="19"/>
  <c r="E836" i="19"/>
  <c r="T834" i="19"/>
  <c r="T911" i="19" s="1"/>
  <c r="S834" i="19"/>
  <c r="S911" i="19" s="1"/>
  <c r="R834" i="19"/>
  <c r="R911" i="19" s="1"/>
  <c r="Q834" i="19"/>
  <c r="Q911" i="19" s="1"/>
  <c r="P834" i="19"/>
  <c r="P911" i="19" s="1"/>
  <c r="O834" i="19"/>
  <c r="O911" i="19" s="1"/>
  <c r="N834" i="19"/>
  <c r="N911" i="19" s="1"/>
  <c r="M834" i="19"/>
  <c r="M911" i="19" s="1"/>
  <c r="L834" i="19"/>
  <c r="L911" i="19" s="1"/>
  <c r="K834" i="19"/>
  <c r="K911" i="19" s="1"/>
  <c r="H834" i="19"/>
  <c r="G834" i="19"/>
  <c r="F834" i="19"/>
  <c r="T833" i="19"/>
  <c r="T910" i="19" s="1"/>
  <c r="S833" i="19"/>
  <c r="S910" i="19" s="1"/>
  <c r="R833" i="19"/>
  <c r="R910" i="19" s="1"/>
  <c r="Q833" i="19"/>
  <c r="Q910" i="19" s="1"/>
  <c r="P833" i="19"/>
  <c r="P910" i="19" s="1"/>
  <c r="O833" i="19"/>
  <c r="O910" i="19" s="1"/>
  <c r="N833" i="19"/>
  <c r="N910" i="19" s="1"/>
  <c r="M833" i="19"/>
  <c r="M910" i="19" s="1"/>
  <c r="L833" i="19"/>
  <c r="L910" i="19" s="1"/>
  <c r="K833" i="19"/>
  <c r="H833" i="19"/>
  <c r="H910" i="19" s="1"/>
  <c r="G833" i="19"/>
  <c r="F833" i="19"/>
  <c r="T832" i="19"/>
  <c r="T909" i="19" s="1"/>
  <c r="S832" i="19"/>
  <c r="S909" i="19" s="1"/>
  <c r="R832" i="19"/>
  <c r="R909" i="19" s="1"/>
  <c r="Q832" i="19"/>
  <c r="Q909" i="19" s="1"/>
  <c r="P832" i="19"/>
  <c r="P909" i="19" s="1"/>
  <c r="O832" i="19"/>
  <c r="O909" i="19" s="1"/>
  <c r="N832" i="19"/>
  <c r="N909" i="19" s="1"/>
  <c r="M832" i="19"/>
  <c r="M909" i="19" s="1"/>
  <c r="L832" i="19"/>
  <c r="L909" i="19" s="1"/>
  <c r="K832" i="19"/>
  <c r="K909" i="19" s="1"/>
  <c r="H832" i="19"/>
  <c r="G832" i="19"/>
  <c r="F832" i="19"/>
  <c r="T831" i="19"/>
  <c r="T908" i="19" s="1"/>
  <c r="S831" i="19"/>
  <c r="S908" i="19" s="1"/>
  <c r="R831" i="19"/>
  <c r="R908" i="19" s="1"/>
  <c r="Q831" i="19"/>
  <c r="Q908" i="19" s="1"/>
  <c r="P831" i="19"/>
  <c r="P908" i="19" s="1"/>
  <c r="O831" i="19"/>
  <c r="O908" i="19" s="1"/>
  <c r="N831" i="19"/>
  <c r="N908" i="19" s="1"/>
  <c r="M831" i="19"/>
  <c r="L831" i="19"/>
  <c r="L908" i="19" s="1"/>
  <c r="K831" i="19"/>
  <c r="H831" i="19"/>
  <c r="H908" i="19" s="1"/>
  <c r="G831" i="19"/>
  <c r="F831" i="19"/>
  <c r="T830" i="19"/>
  <c r="T907" i="19" s="1"/>
  <c r="S830" i="19"/>
  <c r="S907" i="19" s="1"/>
  <c r="R830" i="19"/>
  <c r="R907" i="19" s="1"/>
  <c r="Q830" i="19"/>
  <c r="Q907" i="19" s="1"/>
  <c r="P830" i="19"/>
  <c r="P907" i="19" s="1"/>
  <c r="O830" i="19"/>
  <c r="O907" i="19" s="1"/>
  <c r="N830" i="19"/>
  <c r="N907" i="19" s="1"/>
  <c r="M830" i="19"/>
  <c r="M907" i="19" s="1"/>
  <c r="L830" i="19"/>
  <c r="L907" i="19" s="1"/>
  <c r="K830" i="19"/>
  <c r="K907" i="19" s="1"/>
  <c r="H830" i="19"/>
  <c r="G830" i="19"/>
  <c r="F830" i="19"/>
  <c r="E829" i="19"/>
  <c r="T827" i="19"/>
  <c r="T904" i="19" s="1"/>
  <c r="S827" i="19"/>
  <c r="S904" i="19" s="1"/>
  <c r="R827" i="19"/>
  <c r="R904" i="19" s="1"/>
  <c r="Q827" i="19"/>
  <c r="Q904" i="19" s="1"/>
  <c r="P827" i="19"/>
  <c r="P904" i="19" s="1"/>
  <c r="O827" i="19"/>
  <c r="O904" i="19" s="1"/>
  <c r="N827" i="19"/>
  <c r="N904" i="19" s="1"/>
  <c r="M827" i="19"/>
  <c r="M904" i="19" s="1"/>
  <c r="L827" i="19"/>
  <c r="L904" i="19" s="1"/>
  <c r="K827" i="19"/>
  <c r="K904" i="19" s="1"/>
  <c r="H827" i="19"/>
  <c r="G827" i="19"/>
  <c r="F827" i="19"/>
  <c r="T826" i="19"/>
  <c r="T903" i="19" s="1"/>
  <c r="S826" i="19"/>
  <c r="S903" i="19" s="1"/>
  <c r="R826" i="19"/>
  <c r="R903" i="19" s="1"/>
  <c r="Q826" i="19"/>
  <c r="Q903" i="19" s="1"/>
  <c r="P826" i="19"/>
  <c r="P903" i="19" s="1"/>
  <c r="O826" i="19"/>
  <c r="O903" i="19" s="1"/>
  <c r="N826" i="19"/>
  <c r="N903" i="19" s="1"/>
  <c r="M826" i="19"/>
  <c r="M903" i="19" s="1"/>
  <c r="L826" i="19"/>
  <c r="L903" i="19" s="1"/>
  <c r="K826" i="19"/>
  <c r="H826" i="19"/>
  <c r="H903" i="19" s="1"/>
  <c r="G826" i="19"/>
  <c r="F826" i="19"/>
  <c r="T825" i="19"/>
  <c r="T902" i="19" s="1"/>
  <c r="S825" i="19"/>
  <c r="S902" i="19" s="1"/>
  <c r="R825" i="19"/>
  <c r="R902" i="19" s="1"/>
  <c r="Q825" i="19"/>
  <c r="Q902" i="19" s="1"/>
  <c r="P825" i="19"/>
  <c r="P902" i="19" s="1"/>
  <c r="O825" i="19"/>
  <c r="O902" i="19" s="1"/>
  <c r="N825" i="19"/>
  <c r="N902" i="19" s="1"/>
  <c r="M825" i="19"/>
  <c r="M902" i="19" s="1"/>
  <c r="L825" i="19"/>
  <c r="L902" i="19" s="1"/>
  <c r="K825" i="19"/>
  <c r="K902" i="19" s="1"/>
  <c r="H825" i="19"/>
  <c r="G825" i="19"/>
  <c r="F825" i="19"/>
  <c r="T824" i="19"/>
  <c r="T901" i="19" s="1"/>
  <c r="S824" i="19"/>
  <c r="S901" i="19" s="1"/>
  <c r="R824" i="19"/>
  <c r="R901" i="19" s="1"/>
  <c r="Q824" i="19"/>
  <c r="Q901" i="19" s="1"/>
  <c r="P824" i="19"/>
  <c r="P901" i="19" s="1"/>
  <c r="O824" i="19"/>
  <c r="O901" i="19" s="1"/>
  <c r="N824" i="19"/>
  <c r="N901" i="19" s="1"/>
  <c r="M824" i="19"/>
  <c r="M901" i="19" s="1"/>
  <c r="L824" i="19"/>
  <c r="L901" i="19" s="1"/>
  <c r="K824" i="19"/>
  <c r="H824" i="19"/>
  <c r="H901" i="19" s="1"/>
  <c r="G824" i="19"/>
  <c r="F824" i="19"/>
  <c r="T823" i="19"/>
  <c r="T900" i="19" s="1"/>
  <c r="S823" i="19"/>
  <c r="S900" i="19" s="1"/>
  <c r="R823" i="19"/>
  <c r="R900" i="19" s="1"/>
  <c r="Q823" i="19"/>
  <c r="Q900" i="19" s="1"/>
  <c r="P823" i="19"/>
  <c r="P900" i="19" s="1"/>
  <c r="O823" i="19"/>
  <c r="O900" i="19" s="1"/>
  <c r="N823" i="19"/>
  <c r="N900" i="19" s="1"/>
  <c r="M823" i="19"/>
  <c r="M900" i="19" s="1"/>
  <c r="L823" i="19"/>
  <c r="L900" i="19" s="1"/>
  <c r="K823" i="19"/>
  <c r="K900" i="19" s="1"/>
  <c r="H823" i="19"/>
  <c r="G823" i="19"/>
  <c r="F823" i="19"/>
  <c r="E822" i="19"/>
  <c r="T820" i="19"/>
  <c r="T897" i="19" s="1"/>
  <c r="S820" i="19"/>
  <c r="S897" i="19" s="1"/>
  <c r="R820" i="19"/>
  <c r="R897" i="19" s="1"/>
  <c r="Q820" i="19"/>
  <c r="Q897" i="19" s="1"/>
  <c r="P820" i="19"/>
  <c r="P897" i="19" s="1"/>
  <c r="O820" i="19"/>
  <c r="O897" i="19" s="1"/>
  <c r="N820" i="19"/>
  <c r="N897" i="19" s="1"/>
  <c r="M820" i="19"/>
  <c r="M897" i="19" s="1"/>
  <c r="L820" i="19"/>
  <c r="L897" i="19" s="1"/>
  <c r="K820" i="19"/>
  <c r="K897" i="19" s="1"/>
  <c r="H820" i="19"/>
  <c r="G820" i="19"/>
  <c r="F820" i="19"/>
  <c r="T819" i="19"/>
  <c r="T896" i="19" s="1"/>
  <c r="S819" i="19"/>
  <c r="S896" i="19" s="1"/>
  <c r="R819" i="19"/>
  <c r="R896" i="19" s="1"/>
  <c r="Q819" i="19"/>
  <c r="Q896" i="19" s="1"/>
  <c r="P819" i="19"/>
  <c r="P896" i="19" s="1"/>
  <c r="O819" i="19"/>
  <c r="O896" i="19" s="1"/>
  <c r="N819" i="19"/>
  <c r="N896" i="19" s="1"/>
  <c r="M819" i="19"/>
  <c r="M896" i="19" s="1"/>
  <c r="L819" i="19"/>
  <c r="L896" i="19" s="1"/>
  <c r="K819" i="19"/>
  <c r="H819" i="19"/>
  <c r="H896" i="19" s="1"/>
  <c r="G819" i="19"/>
  <c r="F819" i="19"/>
  <c r="T818" i="19"/>
  <c r="T895" i="19" s="1"/>
  <c r="S818" i="19"/>
  <c r="S895" i="19" s="1"/>
  <c r="G818" i="19"/>
  <c r="F818" i="19"/>
  <c r="T817" i="19"/>
  <c r="T894" i="19" s="1"/>
  <c r="S817" i="19"/>
  <c r="S894" i="19" s="1"/>
  <c r="G817" i="19"/>
  <c r="F817" i="19"/>
  <c r="T816" i="19"/>
  <c r="S816" i="19"/>
  <c r="S893" i="19" s="1"/>
  <c r="G816" i="19"/>
  <c r="F816" i="19"/>
  <c r="E815" i="19"/>
  <c r="T813" i="19"/>
  <c r="T890" i="19" s="1"/>
  <c r="S813" i="19"/>
  <c r="S890" i="19" s="1"/>
  <c r="R813" i="19"/>
  <c r="R890" i="19" s="1"/>
  <c r="Q813" i="19"/>
  <c r="Q890" i="19" s="1"/>
  <c r="P813" i="19"/>
  <c r="P890" i="19" s="1"/>
  <c r="O813" i="19"/>
  <c r="O890" i="19" s="1"/>
  <c r="N813" i="19"/>
  <c r="N890" i="19" s="1"/>
  <c r="M813" i="19"/>
  <c r="M890" i="19" s="1"/>
  <c r="L813" i="19"/>
  <c r="L890" i="19" s="1"/>
  <c r="K813" i="19"/>
  <c r="K890" i="19" s="1"/>
  <c r="H813" i="19"/>
  <c r="G813" i="19"/>
  <c r="F813" i="19"/>
  <c r="T812" i="19"/>
  <c r="T889" i="19" s="1"/>
  <c r="S812" i="19"/>
  <c r="S889" i="19" s="1"/>
  <c r="R812" i="19"/>
  <c r="R889" i="19" s="1"/>
  <c r="Q812" i="19"/>
  <c r="P812" i="19"/>
  <c r="P889" i="19" s="1"/>
  <c r="O812" i="19"/>
  <c r="O889" i="19" s="1"/>
  <c r="N812" i="19"/>
  <c r="N889" i="19" s="1"/>
  <c r="M812" i="19"/>
  <c r="M889" i="19" s="1"/>
  <c r="L812" i="19"/>
  <c r="L889" i="19" s="1"/>
  <c r="K812" i="19"/>
  <c r="H812" i="19"/>
  <c r="H889" i="19" s="1"/>
  <c r="G812" i="19"/>
  <c r="F812" i="19"/>
  <c r="T811" i="19"/>
  <c r="T888" i="19" s="1"/>
  <c r="S811" i="19"/>
  <c r="G811" i="19"/>
  <c r="F811" i="19"/>
  <c r="T810" i="19"/>
  <c r="S810" i="19"/>
  <c r="S887" i="19" s="1"/>
  <c r="G810" i="19"/>
  <c r="F810" i="19"/>
  <c r="T809" i="19"/>
  <c r="T886" i="19" s="1"/>
  <c r="S809" i="19"/>
  <c r="G809" i="19"/>
  <c r="F809" i="19"/>
  <c r="E808" i="19"/>
  <c r="T806" i="19"/>
  <c r="T883" i="19" s="1"/>
  <c r="S806" i="19"/>
  <c r="R806" i="19"/>
  <c r="R883" i="19" s="1"/>
  <c r="Q806" i="19"/>
  <c r="P806" i="19"/>
  <c r="P883" i="19" s="1"/>
  <c r="O806" i="19"/>
  <c r="N806" i="19"/>
  <c r="N883" i="19" s="1"/>
  <c r="M806" i="19"/>
  <c r="L806" i="19"/>
  <c r="L883" i="19" s="1"/>
  <c r="K806" i="19"/>
  <c r="H806" i="19"/>
  <c r="G806" i="19"/>
  <c r="F806" i="19"/>
  <c r="T805" i="19"/>
  <c r="T882" i="19" s="1"/>
  <c r="S805" i="19"/>
  <c r="S882" i="19" s="1"/>
  <c r="R805" i="19"/>
  <c r="R882" i="19" s="1"/>
  <c r="Q805" i="19"/>
  <c r="Q882" i="19" s="1"/>
  <c r="P805" i="19"/>
  <c r="O805" i="19"/>
  <c r="O882" i="19" s="1"/>
  <c r="N805" i="19"/>
  <c r="N882" i="19" s="1"/>
  <c r="M805" i="19"/>
  <c r="M882" i="19" s="1"/>
  <c r="L805" i="19"/>
  <c r="L882" i="19" s="1"/>
  <c r="K805" i="19"/>
  <c r="H805" i="19"/>
  <c r="G805" i="19"/>
  <c r="F805" i="19"/>
  <c r="T804" i="19"/>
  <c r="T881" i="19" s="1"/>
  <c r="S804" i="19"/>
  <c r="S881" i="19" s="1"/>
  <c r="R804" i="19"/>
  <c r="R881" i="19" s="1"/>
  <c r="Q804" i="19"/>
  <c r="Q881" i="19" s="1"/>
  <c r="P804" i="19"/>
  <c r="P881" i="19" s="1"/>
  <c r="O804" i="19"/>
  <c r="N804" i="19"/>
  <c r="N881" i="19" s="1"/>
  <c r="M804" i="19"/>
  <c r="M881" i="19" s="1"/>
  <c r="L804" i="19"/>
  <c r="L881" i="19" s="1"/>
  <c r="K804" i="19"/>
  <c r="K881" i="19" s="1"/>
  <c r="H804" i="19"/>
  <c r="G804" i="19"/>
  <c r="F804" i="19"/>
  <c r="T803" i="19"/>
  <c r="T880" i="19" s="1"/>
  <c r="S803" i="19"/>
  <c r="S880" i="19" s="1"/>
  <c r="G803" i="19"/>
  <c r="F803" i="19"/>
  <c r="T802" i="19"/>
  <c r="T879" i="19" s="1"/>
  <c r="S802" i="19"/>
  <c r="S879" i="19" s="1"/>
  <c r="G802" i="19"/>
  <c r="F802" i="19"/>
  <c r="E801" i="19"/>
  <c r="T799" i="19"/>
  <c r="T876" i="19" s="1"/>
  <c r="S799" i="19"/>
  <c r="S876" i="19" s="1"/>
  <c r="R799" i="19"/>
  <c r="R876" i="19" s="1"/>
  <c r="Q799" i="19"/>
  <c r="P799" i="19"/>
  <c r="P876" i="19" s="1"/>
  <c r="O799" i="19"/>
  <c r="O876" i="19" s="1"/>
  <c r="N799" i="19"/>
  <c r="N876" i="19" s="1"/>
  <c r="M799" i="19"/>
  <c r="M876" i="19" s="1"/>
  <c r="L799" i="19"/>
  <c r="L876" i="19" s="1"/>
  <c r="K799" i="19"/>
  <c r="K876" i="19" s="1"/>
  <c r="H799" i="19"/>
  <c r="G799" i="19"/>
  <c r="F799" i="19"/>
  <c r="T798" i="19"/>
  <c r="T875" i="19" s="1"/>
  <c r="S798" i="19"/>
  <c r="S875" i="19" s="1"/>
  <c r="R798" i="19"/>
  <c r="R875" i="19" s="1"/>
  <c r="Q798" i="19"/>
  <c r="Q875" i="19" s="1"/>
  <c r="P798" i="19"/>
  <c r="O798" i="19"/>
  <c r="O875" i="19" s="1"/>
  <c r="N798" i="19"/>
  <c r="N875" i="19" s="1"/>
  <c r="M798" i="19"/>
  <c r="M875" i="19" s="1"/>
  <c r="L798" i="19"/>
  <c r="L875" i="19" s="1"/>
  <c r="K798" i="19"/>
  <c r="H798" i="19"/>
  <c r="G798" i="19"/>
  <c r="F798" i="19"/>
  <c r="T797" i="19"/>
  <c r="T874" i="19" s="1"/>
  <c r="S797" i="19"/>
  <c r="S874" i="19" s="1"/>
  <c r="G797" i="19"/>
  <c r="F797" i="19"/>
  <c r="T796" i="19"/>
  <c r="T873" i="19" s="1"/>
  <c r="S796" i="19"/>
  <c r="S873" i="19" s="1"/>
  <c r="G796" i="19"/>
  <c r="F796" i="19"/>
  <c r="T795" i="19"/>
  <c r="T872" i="19" s="1"/>
  <c r="S795" i="19"/>
  <c r="S872" i="19" s="1"/>
  <c r="G795" i="19"/>
  <c r="F795" i="19"/>
  <c r="E794" i="19"/>
  <c r="T792" i="19"/>
  <c r="T869" i="19" s="1"/>
  <c r="S792" i="19"/>
  <c r="S869" i="19" s="1"/>
  <c r="R792" i="19"/>
  <c r="R869" i="19" s="1"/>
  <c r="Q792" i="19"/>
  <c r="P792" i="19"/>
  <c r="P869" i="19" s="1"/>
  <c r="O792" i="19"/>
  <c r="O869" i="19" s="1"/>
  <c r="N792" i="19"/>
  <c r="N869" i="19" s="1"/>
  <c r="M792" i="19"/>
  <c r="M869" i="19" s="1"/>
  <c r="L792" i="19"/>
  <c r="L869" i="19" s="1"/>
  <c r="K792" i="19"/>
  <c r="K869" i="19" s="1"/>
  <c r="H792" i="19"/>
  <c r="G792" i="19"/>
  <c r="F792" i="19"/>
  <c r="T791" i="19"/>
  <c r="T868" i="19" s="1"/>
  <c r="S791" i="19"/>
  <c r="S868" i="19" s="1"/>
  <c r="G791" i="19"/>
  <c r="F791" i="19"/>
  <c r="T790" i="19"/>
  <c r="T867" i="19" s="1"/>
  <c r="S790" i="19"/>
  <c r="S867" i="19" s="1"/>
  <c r="G790" i="19"/>
  <c r="F790" i="19"/>
  <c r="T789" i="19"/>
  <c r="T866" i="19" s="1"/>
  <c r="S789" i="19"/>
  <c r="S866" i="19" s="1"/>
  <c r="G789" i="19"/>
  <c r="F789" i="19"/>
  <c r="T788" i="19"/>
  <c r="T865" i="19" s="1"/>
  <c r="S788" i="19"/>
  <c r="S865" i="19" s="1"/>
  <c r="G788" i="19"/>
  <c r="F788" i="19"/>
  <c r="E787" i="19"/>
  <c r="AD785" i="19"/>
  <c r="AC785" i="19"/>
  <c r="AB785" i="19"/>
  <c r="AA785" i="19"/>
  <c r="Z785" i="19"/>
  <c r="Y785" i="19"/>
  <c r="X785" i="19"/>
  <c r="W785" i="19"/>
  <c r="V785" i="19"/>
  <c r="U785" i="19"/>
  <c r="T785" i="19"/>
  <c r="S785" i="19"/>
  <c r="R785" i="19"/>
  <c r="Q785" i="19"/>
  <c r="P785" i="19"/>
  <c r="O785" i="19"/>
  <c r="N785" i="19"/>
  <c r="M785" i="19"/>
  <c r="L785" i="19"/>
  <c r="K785" i="19"/>
  <c r="E783" i="19"/>
  <c r="T777" i="19"/>
  <c r="R777" i="19"/>
  <c r="P777" i="19"/>
  <c r="N777" i="19"/>
  <c r="L777" i="19"/>
  <c r="H777" i="19"/>
  <c r="G777" i="19"/>
  <c r="F777" i="19"/>
  <c r="S776" i="19"/>
  <c r="Q776" i="19"/>
  <c r="O776" i="19"/>
  <c r="M776" i="19"/>
  <c r="K776" i="19"/>
  <c r="G776" i="19"/>
  <c r="F776" i="19"/>
  <c r="T775" i="19"/>
  <c r="R775" i="19"/>
  <c r="P775" i="19"/>
  <c r="N775" i="19"/>
  <c r="L775" i="19"/>
  <c r="H775" i="19"/>
  <c r="G775" i="19"/>
  <c r="F775" i="19"/>
  <c r="S774" i="19"/>
  <c r="Q774" i="19"/>
  <c r="O774" i="19"/>
  <c r="M774" i="19"/>
  <c r="K774" i="19"/>
  <c r="G774" i="19"/>
  <c r="F774" i="19"/>
  <c r="T773" i="19"/>
  <c r="R773" i="19"/>
  <c r="P773" i="19"/>
  <c r="N773" i="19"/>
  <c r="L773" i="19"/>
  <c r="H773" i="19"/>
  <c r="G773" i="19"/>
  <c r="F773" i="19"/>
  <c r="E772" i="19"/>
  <c r="T770" i="19"/>
  <c r="R770" i="19"/>
  <c r="P770" i="19"/>
  <c r="N770" i="19"/>
  <c r="L770" i="19"/>
  <c r="H770" i="19"/>
  <c r="G770" i="19"/>
  <c r="F770" i="19"/>
  <c r="S769" i="19"/>
  <c r="Q769" i="19"/>
  <c r="O769" i="19"/>
  <c r="M769" i="19"/>
  <c r="K769" i="19"/>
  <c r="G769" i="19"/>
  <c r="F769" i="19"/>
  <c r="T768" i="19"/>
  <c r="R768" i="19"/>
  <c r="P768" i="19"/>
  <c r="N768" i="19"/>
  <c r="L768" i="19"/>
  <c r="H768" i="19"/>
  <c r="G768" i="19"/>
  <c r="F768" i="19"/>
  <c r="S767" i="19"/>
  <c r="Q767" i="19"/>
  <c r="O767" i="19"/>
  <c r="M767" i="19"/>
  <c r="K767" i="19"/>
  <c r="G767" i="19"/>
  <c r="F767" i="19"/>
  <c r="T766" i="19"/>
  <c r="R766" i="19"/>
  <c r="P766" i="19"/>
  <c r="N766" i="19"/>
  <c r="L766" i="19"/>
  <c r="H766" i="19"/>
  <c r="G766" i="19"/>
  <c r="F766" i="19"/>
  <c r="E765" i="19"/>
  <c r="T763" i="19"/>
  <c r="R763" i="19"/>
  <c r="P763" i="19"/>
  <c r="N763" i="19"/>
  <c r="L763" i="19"/>
  <c r="H763" i="19"/>
  <c r="G763" i="19"/>
  <c r="F763" i="19"/>
  <c r="S762" i="19"/>
  <c r="Q762" i="19"/>
  <c r="O762" i="19"/>
  <c r="M762" i="19"/>
  <c r="K762" i="19"/>
  <c r="G762" i="19"/>
  <c r="F762" i="19"/>
  <c r="T761" i="19"/>
  <c r="R761" i="19"/>
  <c r="P761" i="19"/>
  <c r="N761" i="19"/>
  <c r="L761" i="19"/>
  <c r="H761" i="19"/>
  <c r="G761" i="19"/>
  <c r="F761" i="19"/>
  <c r="S760" i="19"/>
  <c r="Q760" i="19"/>
  <c r="O760" i="19"/>
  <c r="M760" i="19"/>
  <c r="K760" i="19"/>
  <c r="G760" i="19"/>
  <c r="F760" i="19"/>
  <c r="T759" i="19"/>
  <c r="R759" i="19"/>
  <c r="P759" i="19"/>
  <c r="N759" i="19"/>
  <c r="L759" i="19"/>
  <c r="H759" i="19"/>
  <c r="G759" i="19"/>
  <c r="F759" i="19"/>
  <c r="E758" i="19"/>
  <c r="T756" i="19"/>
  <c r="R756" i="19"/>
  <c r="P756" i="19"/>
  <c r="N756" i="19"/>
  <c r="L756" i="19"/>
  <c r="H756" i="19"/>
  <c r="G756" i="19"/>
  <c r="F756" i="19"/>
  <c r="S755" i="19"/>
  <c r="Q755" i="19"/>
  <c r="O755" i="19"/>
  <c r="M755" i="19"/>
  <c r="K755" i="19"/>
  <c r="G755" i="19"/>
  <c r="F755" i="19"/>
  <c r="T754" i="19"/>
  <c r="R754" i="19"/>
  <c r="P754" i="19"/>
  <c r="N754" i="19"/>
  <c r="L754" i="19"/>
  <c r="H754" i="19"/>
  <c r="G754" i="19"/>
  <c r="F754" i="19"/>
  <c r="S753" i="19"/>
  <c r="Q753" i="19"/>
  <c r="O753" i="19"/>
  <c r="M753" i="19"/>
  <c r="K753" i="19"/>
  <c r="G753" i="19"/>
  <c r="F753" i="19"/>
  <c r="T752" i="19"/>
  <c r="R752" i="19"/>
  <c r="P752" i="19"/>
  <c r="N752" i="19"/>
  <c r="L752" i="19"/>
  <c r="H752" i="19"/>
  <c r="G752" i="19"/>
  <c r="F752" i="19"/>
  <c r="E751" i="19"/>
  <c r="T749" i="19"/>
  <c r="R749" i="19"/>
  <c r="P749" i="19"/>
  <c r="N749" i="19"/>
  <c r="L749" i="19"/>
  <c r="H749" i="19"/>
  <c r="G749" i="19"/>
  <c r="F749" i="19"/>
  <c r="S748" i="19"/>
  <c r="Q748" i="19"/>
  <c r="O748" i="19"/>
  <c r="M748" i="19"/>
  <c r="K748" i="19"/>
  <c r="G748" i="19"/>
  <c r="F748" i="19"/>
  <c r="T747" i="19"/>
  <c r="R747" i="19"/>
  <c r="P747" i="19"/>
  <c r="N747" i="19"/>
  <c r="L747" i="19"/>
  <c r="H747" i="19"/>
  <c r="G747" i="19"/>
  <c r="F747" i="19"/>
  <c r="S746" i="19"/>
  <c r="Q746" i="19"/>
  <c r="O746" i="19"/>
  <c r="M746" i="19"/>
  <c r="K746" i="19"/>
  <c r="G746" i="19"/>
  <c r="F746" i="19"/>
  <c r="T745" i="19"/>
  <c r="R745" i="19"/>
  <c r="P745" i="19"/>
  <c r="N745" i="19"/>
  <c r="L745" i="19"/>
  <c r="H745" i="19"/>
  <c r="G745" i="19"/>
  <c r="F745" i="19"/>
  <c r="E744" i="19"/>
  <c r="T742" i="19"/>
  <c r="R742" i="19"/>
  <c r="P742" i="19"/>
  <c r="N742" i="19"/>
  <c r="L742" i="19"/>
  <c r="H742" i="19"/>
  <c r="G742" i="19"/>
  <c r="F742" i="19"/>
  <c r="S741" i="19"/>
  <c r="Q741" i="19"/>
  <c r="O741" i="19"/>
  <c r="M741" i="19"/>
  <c r="K741" i="19"/>
  <c r="G741" i="19"/>
  <c r="F741" i="19"/>
  <c r="T740" i="19"/>
  <c r="G740" i="19"/>
  <c r="F740" i="19"/>
  <c r="S739" i="19"/>
  <c r="G739" i="19"/>
  <c r="F739" i="19"/>
  <c r="T738" i="19"/>
  <c r="G738" i="19"/>
  <c r="F738" i="19"/>
  <c r="E737" i="19"/>
  <c r="T735" i="19"/>
  <c r="R735" i="19"/>
  <c r="P735" i="19"/>
  <c r="N735" i="19"/>
  <c r="L735" i="19"/>
  <c r="H735" i="19"/>
  <c r="G735" i="19"/>
  <c r="F735" i="19"/>
  <c r="S734" i="19"/>
  <c r="Q734" i="19"/>
  <c r="O734" i="19"/>
  <c r="M734" i="19"/>
  <c r="K734" i="19"/>
  <c r="G734" i="19"/>
  <c r="F734" i="19"/>
  <c r="T733" i="19"/>
  <c r="G733" i="19"/>
  <c r="F733" i="19"/>
  <c r="S732" i="19"/>
  <c r="G732" i="19"/>
  <c r="F732" i="19"/>
  <c r="T731" i="19"/>
  <c r="G731" i="19"/>
  <c r="F731" i="19"/>
  <c r="E730" i="19"/>
  <c r="T728" i="19"/>
  <c r="P728" i="19"/>
  <c r="L728" i="19"/>
  <c r="H728" i="19"/>
  <c r="G728" i="19"/>
  <c r="F728" i="19"/>
  <c r="S727" i="19"/>
  <c r="O727" i="19"/>
  <c r="K727" i="19"/>
  <c r="G727" i="19"/>
  <c r="F727" i="19"/>
  <c r="R726" i="19"/>
  <c r="N726" i="19"/>
  <c r="G726" i="19"/>
  <c r="F726" i="19"/>
  <c r="G725" i="19"/>
  <c r="F725" i="19"/>
  <c r="T724" i="19"/>
  <c r="G724" i="19"/>
  <c r="F724" i="19"/>
  <c r="E723" i="19"/>
  <c r="R721" i="19"/>
  <c r="N721" i="19"/>
  <c r="G721" i="19"/>
  <c r="F721" i="19"/>
  <c r="Q720" i="19"/>
  <c r="M720" i="19"/>
  <c r="G720" i="19"/>
  <c r="F720" i="19"/>
  <c r="T719" i="19"/>
  <c r="G719" i="19"/>
  <c r="F719" i="19"/>
  <c r="AA718" i="19"/>
  <c r="S718" i="19"/>
  <c r="G718" i="19"/>
  <c r="F718" i="19"/>
  <c r="G717" i="19"/>
  <c r="F717" i="19"/>
  <c r="E716" i="19"/>
  <c r="T714" i="19"/>
  <c r="L714" i="19"/>
  <c r="G714" i="19"/>
  <c r="F714" i="19"/>
  <c r="S713" i="19"/>
  <c r="G713" i="19"/>
  <c r="F713" i="19"/>
  <c r="Z712" i="19"/>
  <c r="G712" i="19"/>
  <c r="F712" i="19"/>
  <c r="G711" i="19"/>
  <c r="F711" i="19"/>
  <c r="G710" i="19"/>
  <c r="F710" i="19"/>
  <c r="E709" i="19"/>
  <c r="AD707" i="19"/>
  <c r="AC707" i="19"/>
  <c r="AB707" i="19"/>
  <c r="AA707" i="19"/>
  <c r="Z707" i="19"/>
  <c r="Y707" i="19"/>
  <c r="X707" i="19"/>
  <c r="W707" i="19"/>
  <c r="V707" i="19"/>
  <c r="U707" i="19"/>
  <c r="T707" i="19"/>
  <c r="S707" i="19"/>
  <c r="R707" i="19"/>
  <c r="Q707" i="19"/>
  <c r="P707" i="19"/>
  <c r="O707" i="19"/>
  <c r="N707" i="19"/>
  <c r="M707" i="19"/>
  <c r="L707" i="19"/>
  <c r="K707" i="19"/>
  <c r="E705" i="19"/>
  <c r="T700" i="19"/>
  <c r="S700" i="19"/>
  <c r="S777" i="19" s="1"/>
  <c r="R700" i="19"/>
  <c r="Q700" i="19"/>
  <c r="Q777" i="19" s="1"/>
  <c r="P700" i="19"/>
  <c r="O700" i="19"/>
  <c r="O777" i="19" s="1"/>
  <c r="N700" i="19"/>
  <c r="M700" i="19"/>
  <c r="M777" i="19" s="1"/>
  <c r="L700" i="19"/>
  <c r="K700" i="19"/>
  <c r="H700" i="19"/>
  <c r="G700" i="19"/>
  <c r="F700" i="19"/>
  <c r="T699" i="19"/>
  <c r="T776" i="19" s="1"/>
  <c r="S699" i="19"/>
  <c r="R699" i="19"/>
  <c r="R776" i="19" s="1"/>
  <c r="Q699" i="19"/>
  <c r="P699" i="19"/>
  <c r="P776" i="19" s="1"/>
  <c r="O699" i="19"/>
  <c r="N699" i="19"/>
  <c r="N776" i="19" s="1"/>
  <c r="M699" i="19"/>
  <c r="L699" i="19"/>
  <c r="L776" i="19" s="1"/>
  <c r="K699" i="19"/>
  <c r="H699" i="19"/>
  <c r="G699" i="19"/>
  <c r="F699" i="19"/>
  <c r="T698" i="19"/>
  <c r="S698" i="19"/>
  <c r="S775" i="19" s="1"/>
  <c r="R698" i="19"/>
  <c r="Q698" i="19"/>
  <c r="Q775" i="19" s="1"/>
  <c r="P698" i="19"/>
  <c r="O698" i="19"/>
  <c r="O775" i="19" s="1"/>
  <c r="N698" i="19"/>
  <c r="M698" i="19"/>
  <c r="M775" i="19" s="1"/>
  <c r="L698" i="19"/>
  <c r="K698" i="19"/>
  <c r="H698" i="19"/>
  <c r="G698" i="19"/>
  <c r="F698" i="19"/>
  <c r="T697" i="19"/>
  <c r="T774" i="19" s="1"/>
  <c r="S697" i="19"/>
  <c r="R697" i="19"/>
  <c r="R774" i="19" s="1"/>
  <c r="Q697" i="19"/>
  <c r="P697" i="19"/>
  <c r="P774" i="19" s="1"/>
  <c r="O697" i="19"/>
  <c r="N697" i="19"/>
  <c r="N774" i="19" s="1"/>
  <c r="M697" i="19"/>
  <c r="L697" i="19"/>
  <c r="L774" i="19" s="1"/>
  <c r="K697" i="19"/>
  <c r="H697" i="19"/>
  <c r="G697" i="19"/>
  <c r="F697" i="19"/>
  <c r="T696" i="19"/>
  <c r="S696" i="19"/>
  <c r="S773" i="19" s="1"/>
  <c r="R696" i="19"/>
  <c r="Q696" i="19"/>
  <c r="Q773" i="19" s="1"/>
  <c r="P696" i="19"/>
  <c r="O696" i="19"/>
  <c r="O773" i="19" s="1"/>
  <c r="N696" i="19"/>
  <c r="M696" i="19"/>
  <c r="M773" i="19" s="1"/>
  <c r="L696" i="19"/>
  <c r="K696" i="19"/>
  <c r="H696" i="19"/>
  <c r="G696" i="19"/>
  <c r="F696" i="19"/>
  <c r="E695" i="19"/>
  <c r="T693" i="19"/>
  <c r="S693" i="19"/>
  <c r="S770" i="19" s="1"/>
  <c r="R693" i="19"/>
  <c r="Q693" i="19"/>
  <c r="Q770" i="19" s="1"/>
  <c r="P693" i="19"/>
  <c r="O693" i="19"/>
  <c r="O770" i="19" s="1"/>
  <c r="N693" i="19"/>
  <c r="M693" i="19"/>
  <c r="M770" i="19" s="1"/>
  <c r="L693" i="19"/>
  <c r="K693" i="19"/>
  <c r="H693" i="19"/>
  <c r="G693" i="19"/>
  <c r="F693" i="19"/>
  <c r="AD692" i="19"/>
  <c r="AD769" i="19" s="1"/>
  <c r="T692" i="19"/>
  <c r="T769" i="19" s="1"/>
  <c r="S692" i="19"/>
  <c r="R692" i="19"/>
  <c r="R769" i="19" s="1"/>
  <c r="Q692" i="19"/>
  <c r="P692" i="19"/>
  <c r="P769" i="19" s="1"/>
  <c r="O692" i="19"/>
  <c r="N692" i="19"/>
  <c r="N769" i="19" s="1"/>
  <c r="M692" i="19"/>
  <c r="L692" i="19"/>
  <c r="L769" i="19" s="1"/>
  <c r="K692" i="19"/>
  <c r="H692" i="19"/>
  <c r="G692" i="19"/>
  <c r="F692" i="19"/>
  <c r="T691" i="19"/>
  <c r="S691" i="19"/>
  <c r="S768" i="19" s="1"/>
  <c r="R691" i="19"/>
  <c r="Q691" i="19"/>
  <c r="Q768" i="19" s="1"/>
  <c r="P691" i="19"/>
  <c r="O691" i="19"/>
  <c r="O768" i="19" s="1"/>
  <c r="N691" i="19"/>
  <c r="M691" i="19"/>
  <c r="M768" i="19" s="1"/>
  <c r="L691" i="19"/>
  <c r="K691" i="19"/>
  <c r="H691" i="19"/>
  <c r="G691" i="19"/>
  <c r="F691" i="19"/>
  <c r="AD690" i="19"/>
  <c r="AD767" i="19" s="1"/>
  <c r="T690" i="19"/>
  <c r="T767" i="19" s="1"/>
  <c r="S690" i="19"/>
  <c r="R690" i="19"/>
  <c r="R767" i="19" s="1"/>
  <c r="Q690" i="19"/>
  <c r="P690" i="19"/>
  <c r="P767" i="19" s="1"/>
  <c r="O690" i="19"/>
  <c r="N690" i="19"/>
  <c r="N767" i="19" s="1"/>
  <c r="M690" i="19"/>
  <c r="L690" i="19"/>
  <c r="L767" i="19" s="1"/>
  <c r="K690" i="19"/>
  <c r="H690" i="19"/>
  <c r="G690" i="19"/>
  <c r="F690" i="19"/>
  <c r="T689" i="19"/>
  <c r="S689" i="19"/>
  <c r="S766" i="19" s="1"/>
  <c r="R689" i="19"/>
  <c r="Q689" i="19"/>
  <c r="Q766" i="19" s="1"/>
  <c r="P689" i="19"/>
  <c r="O689" i="19"/>
  <c r="O766" i="19" s="1"/>
  <c r="N689" i="19"/>
  <c r="M689" i="19"/>
  <c r="M766" i="19" s="1"/>
  <c r="L689" i="19"/>
  <c r="K689" i="19"/>
  <c r="H689" i="19"/>
  <c r="G689" i="19"/>
  <c r="F689" i="19"/>
  <c r="E688" i="19"/>
  <c r="T686" i="19"/>
  <c r="S686" i="19"/>
  <c r="S763" i="19" s="1"/>
  <c r="R686" i="19"/>
  <c r="Q686" i="19"/>
  <c r="Q763" i="19" s="1"/>
  <c r="P686" i="19"/>
  <c r="O686" i="19"/>
  <c r="O763" i="19" s="1"/>
  <c r="N686" i="19"/>
  <c r="M686" i="19"/>
  <c r="M763" i="19" s="1"/>
  <c r="L686" i="19"/>
  <c r="K686" i="19"/>
  <c r="H686" i="19"/>
  <c r="G686" i="19"/>
  <c r="F686" i="19"/>
  <c r="T685" i="19"/>
  <c r="T762" i="19" s="1"/>
  <c r="S685" i="19"/>
  <c r="R685" i="19"/>
  <c r="R762" i="19" s="1"/>
  <c r="Q685" i="19"/>
  <c r="P685" i="19"/>
  <c r="P762" i="19" s="1"/>
  <c r="O685" i="19"/>
  <c r="N685" i="19"/>
  <c r="N762" i="19" s="1"/>
  <c r="M685" i="19"/>
  <c r="L685" i="19"/>
  <c r="L762" i="19" s="1"/>
  <c r="K685" i="19"/>
  <c r="H685" i="19"/>
  <c r="G685" i="19"/>
  <c r="F685" i="19"/>
  <c r="T684" i="19"/>
  <c r="S684" i="19"/>
  <c r="S761" i="19" s="1"/>
  <c r="R684" i="19"/>
  <c r="Q684" i="19"/>
  <c r="Q761" i="19" s="1"/>
  <c r="P684" i="19"/>
  <c r="O684" i="19"/>
  <c r="O761" i="19" s="1"/>
  <c r="N684" i="19"/>
  <c r="M684" i="19"/>
  <c r="M761" i="19" s="1"/>
  <c r="L684" i="19"/>
  <c r="K684" i="19"/>
  <c r="H684" i="19"/>
  <c r="G684" i="19"/>
  <c r="F684" i="19"/>
  <c r="T683" i="19"/>
  <c r="T760" i="19" s="1"/>
  <c r="S683" i="19"/>
  <c r="R683" i="19"/>
  <c r="R760" i="19" s="1"/>
  <c r="Q683" i="19"/>
  <c r="P683" i="19"/>
  <c r="P760" i="19" s="1"/>
  <c r="O683" i="19"/>
  <c r="N683" i="19"/>
  <c r="N760" i="19" s="1"/>
  <c r="M683" i="19"/>
  <c r="L683" i="19"/>
  <c r="L760" i="19" s="1"/>
  <c r="K683" i="19"/>
  <c r="H683" i="19"/>
  <c r="G683" i="19"/>
  <c r="F683" i="19"/>
  <c r="T682" i="19"/>
  <c r="S682" i="19"/>
  <c r="S759" i="19" s="1"/>
  <c r="R682" i="19"/>
  <c r="Q682" i="19"/>
  <c r="Q759" i="19" s="1"/>
  <c r="P682" i="19"/>
  <c r="O682" i="19"/>
  <c r="O759" i="19" s="1"/>
  <c r="N682" i="19"/>
  <c r="M682" i="19"/>
  <c r="M759" i="19" s="1"/>
  <c r="L682" i="19"/>
  <c r="K682" i="19"/>
  <c r="H682" i="19"/>
  <c r="G682" i="19"/>
  <c r="F682" i="19"/>
  <c r="E681" i="19"/>
  <c r="T679" i="19"/>
  <c r="S679" i="19"/>
  <c r="S756" i="19" s="1"/>
  <c r="R679" i="19"/>
  <c r="Q679" i="19"/>
  <c r="Q756" i="19" s="1"/>
  <c r="P679" i="19"/>
  <c r="O679" i="19"/>
  <c r="O756" i="19" s="1"/>
  <c r="N679" i="19"/>
  <c r="M679" i="19"/>
  <c r="M756" i="19" s="1"/>
  <c r="L679" i="19"/>
  <c r="K679" i="19"/>
  <c r="H679" i="19"/>
  <c r="G679" i="19"/>
  <c r="F679" i="19"/>
  <c r="T678" i="19"/>
  <c r="T755" i="19" s="1"/>
  <c r="S678" i="19"/>
  <c r="R678" i="19"/>
  <c r="R755" i="19" s="1"/>
  <c r="Q678" i="19"/>
  <c r="P678" i="19"/>
  <c r="P755" i="19" s="1"/>
  <c r="O678" i="19"/>
  <c r="N678" i="19"/>
  <c r="N755" i="19" s="1"/>
  <c r="M678" i="19"/>
  <c r="L678" i="19"/>
  <c r="L755" i="19" s="1"/>
  <c r="K678" i="19"/>
  <c r="H678" i="19"/>
  <c r="G678" i="19"/>
  <c r="F678" i="19"/>
  <c r="T677" i="19"/>
  <c r="S677" i="19"/>
  <c r="S754" i="19" s="1"/>
  <c r="R677" i="19"/>
  <c r="Q677" i="19"/>
  <c r="Q754" i="19" s="1"/>
  <c r="P677" i="19"/>
  <c r="O677" i="19"/>
  <c r="O754" i="19" s="1"/>
  <c r="N677" i="19"/>
  <c r="M677" i="19"/>
  <c r="M754" i="19" s="1"/>
  <c r="L677" i="19"/>
  <c r="K677" i="19"/>
  <c r="H677" i="19"/>
  <c r="G677" i="19"/>
  <c r="F677" i="19"/>
  <c r="T676" i="19"/>
  <c r="T753" i="19" s="1"/>
  <c r="S676" i="19"/>
  <c r="R676" i="19"/>
  <c r="R753" i="19" s="1"/>
  <c r="Q676" i="19"/>
  <c r="P676" i="19"/>
  <c r="P753" i="19" s="1"/>
  <c r="O676" i="19"/>
  <c r="N676" i="19"/>
  <c r="N753" i="19" s="1"/>
  <c r="M676" i="19"/>
  <c r="L676" i="19"/>
  <c r="L753" i="19" s="1"/>
  <c r="K676" i="19"/>
  <c r="H676" i="19"/>
  <c r="G676" i="19"/>
  <c r="F676" i="19"/>
  <c r="T675" i="19"/>
  <c r="S675" i="19"/>
  <c r="S752" i="19" s="1"/>
  <c r="R675" i="19"/>
  <c r="Q675" i="19"/>
  <c r="Q752" i="19" s="1"/>
  <c r="P675" i="19"/>
  <c r="O675" i="19"/>
  <c r="O752" i="19" s="1"/>
  <c r="N675" i="19"/>
  <c r="M675" i="19"/>
  <c r="M752" i="19" s="1"/>
  <c r="L675" i="19"/>
  <c r="K675" i="19"/>
  <c r="H675" i="19"/>
  <c r="G675" i="19"/>
  <c r="F675" i="19"/>
  <c r="E674" i="19"/>
  <c r="T672" i="19"/>
  <c r="S672" i="19"/>
  <c r="S749" i="19" s="1"/>
  <c r="R672" i="19"/>
  <c r="Q672" i="19"/>
  <c r="Q749" i="19" s="1"/>
  <c r="P672" i="19"/>
  <c r="O672" i="19"/>
  <c r="O749" i="19" s="1"/>
  <c r="N672" i="19"/>
  <c r="M672" i="19"/>
  <c r="M749" i="19" s="1"/>
  <c r="L672" i="19"/>
  <c r="K672" i="19"/>
  <c r="H672" i="19"/>
  <c r="G672" i="19"/>
  <c r="F672" i="19"/>
  <c r="T671" i="19"/>
  <c r="T748" i="19" s="1"/>
  <c r="S671" i="19"/>
  <c r="R671" i="19"/>
  <c r="R748" i="19" s="1"/>
  <c r="Q671" i="19"/>
  <c r="P671" i="19"/>
  <c r="P748" i="19" s="1"/>
  <c r="O671" i="19"/>
  <c r="N671" i="19"/>
  <c r="N748" i="19" s="1"/>
  <c r="M671" i="19"/>
  <c r="L671" i="19"/>
  <c r="L748" i="19" s="1"/>
  <c r="K671" i="19"/>
  <c r="H671" i="19"/>
  <c r="G671" i="19"/>
  <c r="F671" i="19"/>
  <c r="T670" i="19"/>
  <c r="S670" i="19"/>
  <c r="S747" i="19" s="1"/>
  <c r="R670" i="19"/>
  <c r="Q670" i="19"/>
  <c r="Q747" i="19" s="1"/>
  <c r="P670" i="19"/>
  <c r="O670" i="19"/>
  <c r="O747" i="19" s="1"/>
  <c r="N670" i="19"/>
  <c r="M670" i="19"/>
  <c r="M747" i="19" s="1"/>
  <c r="L670" i="19"/>
  <c r="K670" i="19"/>
  <c r="H670" i="19"/>
  <c r="G670" i="19"/>
  <c r="F670" i="19"/>
  <c r="T669" i="19"/>
  <c r="T746" i="19" s="1"/>
  <c r="S669" i="19"/>
  <c r="R669" i="19"/>
  <c r="R746" i="19" s="1"/>
  <c r="Q669" i="19"/>
  <c r="P669" i="19"/>
  <c r="P746" i="19" s="1"/>
  <c r="O669" i="19"/>
  <c r="N669" i="19"/>
  <c r="N746" i="19" s="1"/>
  <c r="M669" i="19"/>
  <c r="L669" i="19"/>
  <c r="L746" i="19" s="1"/>
  <c r="K669" i="19"/>
  <c r="H669" i="19"/>
  <c r="G669" i="19"/>
  <c r="F669" i="19"/>
  <c r="T668" i="19"/>
  <c r="S668" i="19"/>
  <c r="S745" i="19" s="1"/>
  <c r="R668" i="19"/>
  <c r="Q668" i="19"/>
  <c r="Q745" i="19" s="1"/>
  <c r="P668" i="19"/>
  <c r="O668" i="19"/>
  <c r="O745" i="19" s="1"/>
  <c r="N668" i="19"/>
  <c r="M668" i="19"/>
  <c r="M745" i="19" s="1"/>
  <c r="L668" i="19"/>
  <c r="K668" i="19"/>
  <c r="H668" i="19"/>
  <c r="G668" i="19"/>
  <c r="F668" i="19"/>
  <c r="E667" i="19"/>
  <c r="T665" i="19"/>
  <c r="S665" i="19"/>
  <c r="S742" i="19" s="1"/>
  <c r="R665" i="19"/>
  <c r="Q665" i="19"/>
  <c r="Q742" i="19" s="1"/>
  <c r="P665" i="19"/>
  <c r="O665" i="19"/>
  <c r="O742" i="19" s="1"/>
  <c r="N665" i="19"/>
  <c r="M665" i="19"/>
  <c r="M742" i="19" s="1"/>
  <c r="L665" i="19"/>
  <c r="K665" i="19"/>
  <c r="H665" i="19"/>
  <c r="G665" i="19"/>
  <c r="F665" i="19"/>
  <c r="T664" i="19"/>
  <c r="T741" i="19" s="1"/>
  <c r="S664" i="19"/>
  <c r="R664" i="19"/>
  <c r="R741" i="19" s="1"/>
  <c r="Q664" i="19"/>
  <c r="P664" i="19"/>
  <c r="P741" i="19" s="1"/>
  <c r="O664" i="19"/>
  <c r="N664" i="19"/>
  <c r="N741" i="19" s="1"/>
  <c r="M664" i="19"/>
  <c r="L664" i="19"/>
  <c r="L741" i="19" s="1"/>
  <c r="K664" i="19"/>
  <c r="H664" i="19"/>
  <c r="G664" i="19"/>
  <c r="F664" i="19"/>
  <c r="T663" i="19"/>
  <c r="S663" i="19"/>
  <c r="S740" i="19" s="1"/>
  <c r="G663" i="19"/>
  <c r="F663" i="19"/>
  <c r="T662" i="19"/>
  <c r="T739" i="19" s="1"/>
  <c r="S662" i="19"/>
  <c r="G662" i="19"/>
  <c r="F662" i="19"/>
  <c r="T661" i="19"/>
  <c r="S661" i="19"/>
  <c r="S738" i="19" s="1"/>
  <c r="G661" i="19"/>
  <c r="F661" i="19"/>
  <c r="E660" i="19"/>
  <c r="T658" i="19"/>
  <c r="S658" i="19"/>
  <c r="S735" i="19" s="1"/>
  <c r="R658" i="19"/>
  <c r="Q658" i="19"/>
  <c r="Q735" i="19" s="1"/>
  <c r="P658" i="19"/>
  <c r="O658" i="19"/>
  <c r="O735" i="19" s="1"/>
  <c r="N658" i="19"/>
  <c r="M658" i="19"/>
  <c r="M735" i="19" s="1"/>
  <c r="L658" i="19"/>
  <c r="K658" i="19"/>
  <c r="H658" i="19"/>
  <c r="G658" i="19"/>
  <c r="F658" i="19"/>
  <c r="T657" i="19"/>
  <c r="T734" i="19" s="1"/>
  <c r="S657" i="19"/>
  <c r="R657" i="19"/>
  <c r="R734" i="19" s="1"/>
  <c r="Q657" i="19"/>
  <c r="P657" i="19"/>
  <c r="P734" i="19" s="1"/>
  <c r="O657" i="19"/>
  <c r="N657" i="19"/>
  <c r="N734" i="19" s="1"/>
  <c r="M657" i="19"/>
  <c r="L657" i="19"/>
  <c r="L734" i="19" s="1"/>
  <c r="K657" i="19"/>
  <c r="H657" i="19"/>
  <c r="G657" i="19"/>
  <c r="F657" i="19"/>
  <c r="T656" i="19"/>
  <c r="S656" i="19"/>
  <c r="S733" i="19" s="1"/>
  <c r="G656" i="19"/>
  <c r="F656" i="19"/>
  <c r="T655" i="19"/>
  <c r="T732" i="19" s="1"/>
  <c r="S655" i="19"/>
  <c r="G655" i="19"/>
  <c r="F655" i="19"/>
  <c r="AC654" i="19"/>
  <c r="AC731" i="19" s="1"/>
  <c r="T654" i="19"/>
  <c r="S654" i="19"/>
  <c r="S731" i="19" s="1"/>
  <c r="G654" i="19"/>
  <c r="F654" i="19"/>
  <c r="E653" i="19"/>
  <c r="T651" i="19"/>
  <c r="S651" i="19"/>
  <c r="S728" i="19" s="1"/>
  <c r="R651" i="19"/>
  <c r="R728" i="19" s="1"/>
  <c r="Q651" i="19"/>
  <c r="Q728" i="19" s="1"/>
  <c r="P651" i="19"/>
  <c r="O651" i="19"/>
  <c r="O728" i="19" s="1"/>
  <c r="N651" i="19"/>
  <c r="N728" i="19" s="1"/>
  <c r="M651" i="19"/>
  <c r="M728" i="19" s="1"/>
  <c r="L651" i="19"/>
  <c r="K651" i="19"/>
  <c r="H651" i="19"/>
  <c r="G651" i="19"/>
  <c r="F651" i="19"/>
  <c r="T650" i="19"/>
  <c r="T727" i="19" s="1"/>
  <c r="S650" i="19"/>
  <c r="R650" i="19"/>
  <c r="R727" i="19" s="1"/>
  <c r="Q650" i="19"/>
  <c r="Q727" i="19" s="1"/>
  <c r="P650" i="19"/>
  <c r="P727" i="19" s="1"/>
  <c r="O650" i="19"/>
  <c r="N650" i="19"/>
  <c r="N727" i="19" s="1"/>
  <c r="M650" i="19"/>
  <c r="M727" i="19" s="1"/>
  <c r="L650" i="19"/>
  <c r="L727" i="19" s="1"/>
  <c r="K650" i="19"/>
  <c r="H650" i="19"/>
  <c r="G650" i="19"/>
  <c r="F650" i="19"/>
  <c r="T649" i="19"/>
  <c r="T726" i="19" s="1"/>
  <c r="S649" i="19"/>
  <c r="S726" i="19" s="1"/>
  <c r="R649" i="19"/>
  <c r="Q649" i="19"/>
  <c r="Q726" i="19" s="1"/>
  <c r="P649" i="19"/>
  <c r="P726" i="19" s="1"/>
  <c r="O649" i="19"/>
  <c r="O726" i="19" s="1"/>
  <c r="N649" i="19"/>
  <c r="M649" i="19"/>
  <c r="M726" i="19" s="1"/>
  <c r="L649" i="19"/>
  <c r="L726" i="19" s="1"/>
  <c r="K649" i="19"/>
  <c r="H649" i="19"/>
  <c r="H726" i="19" s="1"/>
  <c r="G649" i="19"/>
  <c r="F649" i="19"/>
  <c r="T648" i="19"/>
  <c r="T725" i="19" s="1"/>
  <c r="S648" i="19"/>
  <c r="S725" i="19" s="1"/>
  <c r="G648" i="19"/>
  <c r="F648" i="19"/>
  <c r="T647" i="19"/>
  <c r="S647" i="19"/>
  <c r="S724" i="19" s="1"/>
  <c r="G647" i="19"/>
  <c r="F647" i="19"/>
  <c r="E646" i="19"/>
  <c r="T644" i="19"/>
  <c r="T721" i="19" s="1"/>
  <c r="S644" i="19"/>
  <c r="S721" i="19" s="1"/>
  <c r="R644" i="19"/>
  <c r="Q644" i="19"/>
  <c r="Q721" i="19" s="1"/>
  <c r="P644" i="19"/>
  <c r="P721" i="19" s="1"/>
  <c r="O644" i="19"/>
  <c r="O721" i="19" s="1"/>
  <c r="N644" i="19"/>
  <c r="M644" i="19"/>
  <c r="M721" i="19" s="1"/>
  <c r="L644" i="19"/>
  <c r="L721" i="19" s="1"/>
  <c r="K644" i="19"/>
  <c r="H644" i="19"/>
  <c r="H721" i="19" s="1"/>
  <c r="G644" i="19"/>
  <c r="F644" i="19"/>
  <c r="T643" i="19"/>
  <c r="T720" i="19" s="1"/>
  <c r="S643" i="19"/>
  <c r="S720" i="19" s="1"/>
  <c r="R643" i="19"/>
  <c r="R720" i="19" s="1"/>
  <c r="Q643" i="19"/>
  <c r="P643" i="19"/>
  <c r="P720" i="19" s="1"/>
  <c r="O643" i="19"/>
  <c r="O720" i="19" s="1"/>
  <c r="N643" i="19"/>
  <c r="N720" i="19" s="1"/>
  <c r="M643" i="19"/>
  <c r="L643" i="19"/>
  <c r="L720" i="19" s="1"/>
  <c r="K643" i="19"/>
  <c r="K720" i="19" s="1"/>
  <c r="H643" i="19"/>
  <c r="G643" i="19"/>
  <c r="F643" i="19"/>
  <c r="T642" i="19"/>
  <c r="S642" i="19"/>
  <c r="S719" i="19" s="1"/>
  <c r="G642" i="19"/>
  <c r="F642" i="19"/>
  <c r="AB641" i="19"/>
  <c r="AB718" i="19" s="1"/>
  <c r="T641" i="19"/>
  <c r="T718" i="19" s="1"/>
  <c r="S641" i="19"/>
  <c r="G641" i="19"/>
  <c r="F641" i="19"/>
  <c r="AA640" i="19"/>
  <c r="AA717" i="19" s="1"/>
  <c r="T640" i="19"/>
  <c r="T717" i="19" s="1"/>
  <c r="S640" i="19"/>
  <c r="S717" i="19" s="1"/>
  <c r="G640" i="19"/>
  <c r="F640" i="19"/>
  <c r="E639" i="19"/>
  <c r="T637" i="19"/>
  <c r="S637" i="19"/>
  <c r="S714" i="19" s="1"/>
  <c r="R637" i="19"/>
  <c r="R714" i="19" s="1"/>
  <c r="Q637" i="19"/>
  <c r="Q714" i="19" s="1"/>
  <c r="P637" i="19"/>
  <c r="P714" i="19" s="1"/>
  <c r="O637" i="19"/>
  <c r="O714" i="19" s="1"/>
  <c r="N637" i="19"/>
  <c r="N714" i="19" s="1"/>
  <c r="M637" i="19"/>
  <c r="M714" i="19" s="1"/>
  <c r="L637" i="19"/>
  <c r="K637" i="19"/>
  <c r="H637" i="19"/>
  <c r="H714" i="19" s="1"/>
  <c r="G637" i="19"/>
  <c r="F637" i="19"/>
  <c r="T636" i="19"/>
  <c r="T713" i="19" s="1"/>
  <c r="S636" i="19"/>
  <c r="G636" i="19"/>
  <c r="F636" i="19"/>
  <c r="T635" i="19"/>
  <c r="T712" i="19" s="1"/>
  <c r="S635" i="19"/>
  <c r="S712" i="19" s="1"/>
  <c r="G635" i="19"/>
  <c r="F635" i="19"/>
  <c r="AD634" i="19"/>
  <c r="AD711" i="19" s="1"/>
  <c r="T634" i="19"/>
  <c r="T711" i="19" s="1"/>
  <c r="S634" i="19"/>
  <c r="S711" i="19" s="1"/>
  <c r="G634" i="19"/>
  <c r="F634" i="19"/>
  <c r="T633" i="19"/>
  <c r="T710" i="19" s="1"/>
  <c r="S633" i="19"/>
  <c r="S710" i="19" s="1"/>
  <c r="G633" i="19"/>
  <c r="F633" i="19"/>
  <c r="E632" i="19"/>
  <c r="AD630" i="19"/>
  <c r="AC630" i="19"/>
  <c r="AB630" i="19"/>
  <c r="AA630" i="19"/>
  <c r="Z630" i="19"/>
  <c r="Y630" i="19"/>
  <c r="X630" i="19"/>
  <c r="W630" i="19"/>
  <c r="V630" i="19"/>
  <c r="U630" i="19"/>
  <c r="T630" i="19"/>
  <c r="S630" i="19"/>
  <c r="R630" i="19"/>
  <c r="Q630" i="19"/>
  <c r="P630" i="19"/>
  <c r="O630" i="19"/>
  <c r="N630" i="19"/>
  <c r="M630" i="19"/>
  <c r="L630" i="19"/>
  <c r="K630" i="19"/>
  <c r="E628" i="19"/>
  <c r="S622" i="19"/>
  <c r="Q622" i="19"/>
  <c r="O622" i="19"/>
  <c r="M622" i="19"/>
  <c r="K622" i="19"/>
  <c r="G622" i="19"/>
  <c r="F622" i="19"/>
  <c r="T621" i="19"/>
  <c r="R621" i="19"/>
  <c r="P621" i="19"/>
  <c r="N621" i="19"/>
  <c r="L621" i="19"/>
  <c r="H621" i="19"/>
  <c r="G621" i="19"/>
  <c r="F621" i="19"/>
  <c r="S620" i="19"/>
  <c r="Q620" i="19"/>
  <c r="O620" i="19"/>
  <c r="M620" i="19"/>
  <c r="K620" i="19"/>
  <c r="G620" i="19"/>
  <c r="F620" i="19"/>
  <c r="Z619" i="19"/>
  <c r="T619" i="19"/>
  <c r="R619" i="19"/>
  <c r="P619" i="19"/>
  <c r="N619" i="19"/>
  <c r="L619" i="19"/>
  <c r="H619" i="19"/>
  <c r="G619" i="19"/>
  <c r="F619" i="19"/>
  <c r="S618" i="19"/>
  <c r="Q618" i="19"/>
  <c r="O618" i="19"/>
  <c r="M618" i="19"/>
  <c r="K618" i="19"/>
  <c r="G618" i="19"/>
  <c r="F618" i="19"/>
  <c r="E617" i="19"/>
  <c r="S615" i="19"/>
  <c r="Q615" i="19"/>
  <c r="O615" i="19"/>
  <c r="M615" i="19"/>
  <c r="K615" i="19"/>
  <c r="G615" i="19"/>
  <c r="F615" i="19"/>
  <c r="AB614" i="19"/>
  <c r="T614" i="19"/>
  <c r="R614" i="19"/>
  <c r="P614" i="19"/>
  <c r="N614" i="19"/>
  <c r="L614" i="19"/>
  <c r="H614" i="19"/>
  <c r="G614" i="19"/>
  <c r="F614" i="19"/>
  <c r="AA613" i="19"/>
  <c r="S613" i="19"/>
  <c r="Q613" i="19"/>
  <c r="O613" i="19"/>
  <c r="M613" i="19"/>
  <c r="K613" i="19"/>
  <c r="G613" i="19"/>
  <c r="F613" i="19"/>
  <c r="T612" i="19"/>
  <c r="R612" i="19"/>
  <c r="P612" i="19"/>
  <c r="N612" i="19"/>
  <c r="L612" i="19"/>
  <c r="H612" i="19"/>
  <c r="G612" i="19"/>
  <c r="F612" i="19"/>
  <c r="S611" i="19"/>
  <c r="Q611" i="19"/>
  <c r="O611" i="19"/>
  <c r="M611" i="19"/>
  <c r="K611" i="19"/>
  <c r="G611" i="19"/>
  <c r="F611" i="19"/>
  <c r="E610" i="19"/>
  <c r="S608" i="19"/>
  <c r="Q608" i="19"/>
  <c r="O608" i="19"/>
  <c r="M608" i="19"/>
  <c r="K608" i="19"/>
  <c r="G608" i="19"/>
  <c r="F608" i="19"/>
  <c r="T607" i="19"/>
  <c r="R607" i="19"/>
  <c r="P607" i="19"/>
  <c r="N607" i="19"/>
  <c r="L607" i="19"/>
  <c r="H607" i="19"/>
  <c r="G607" i="19"/>
  <c r="F607" i="19"/>
  <c r="S606" i="19"/>
  <c r="Q606" i="19"/>
  <c r="O606" i="19"/>
  <c r="M606" i="19"/>
  <c r="K606" i="19"/>
  <c r="G606" i="19"/>
  <c r="F606" i="19"/>
  <c r="Z605" i="19"/>
  <c r="T605" i="19"/>
  <c r="R605" i="19"/>
  <c r="P605" i="19"/>
  <c r="N605" i="19"/>
  <c r="L605" i="19"/>
  <c r="H605" i="19"/>
  <c r="G605" i="19"/>
  <c r="F605" i="19"/>
  <c r="S604" i="19"/>
  <c r="Q604" i="19"/>
  <c r="O604" i="19"/>
  <c r="M604" i="19"/>
  <c r="K604" i="19"/>
  <c r="G604" i="19"/>
  <c r="F604" i="19"/>
  <c r="E603" i="19"/>
  <c r="S601" i="19"/>
  <c r="Q601" i="19"/>
  <c r="O601" i="19"/>
  <c r="M601" i="19"/>
  <c r="K601" i="19"/>
  <c r="G601" i="19"/>
  <c r="F601" i="19"/>
  <c r="AB600" i="19"/>
  <c r="T600" i="19"/>
  <c r="R600" i="19"/>
  <c r="P600" i="19"/>
  <c r="N600" i="19"/>
  <c r="L600" i="19"/>
  <c r="H600" i="19"/>
  <c r="G600" i="19"/>
  <c r="F600" i="19"/>
  <c r="AA599" i="19"/>
  <c r="S599" i="19"/>
  <c r="Q599" i="19"/>
  <c r="O599" i="19"/>
  <c r="M599" i="19"/>
  <c r="K599" i="19"/>
  <c r="G599" i="19"/>
  <c r="F599" i="19"/>
  <c r="T598" i="19"/>
  <c r="R598" i="19"/>
  <c r="P598" i="19"/>
  <c r="N598" i="19"/>
  <c r="L598" i="19"/>
  <c r="H598" i="19"/>
  <c r="G598" i="19"/>
  <c r="F598" i="19"/>
  <c r="S597" i="19"/>
  <c r="Q597" i="19"/>
  <c r="O597" i="19"/>
  <c r="M597" i="19"/>
  <c r="K597" i="19"/>
  <c r="G597" i="19"/>
  <c r="F597" i="19"/>
  <c r="E596" i="19"/>
  <c r="S594" i="19"/>
  <c r="Q594" i="19"/>
  <c r="O594" i="19"/>
  <c r="M594" i="19"/>
  <c r="K594" i="19"/>
  <c r="G594" i="19"/>
  <c r="F594" i="19"/>
  <c r="T593" i="19"/>
  <c r="R593" i="19"/>
  <c r="P593" i="19"/>
  <c r="N593" i="19"/>
  <c r="L593" i="19"/>
  <c r="H593" i="19"/>
  <c r="G593" i="19"/>
  <c r="F593" i="19"/>
  <c r="S592" i="19"/>
  <c r="Q592" i="19"/>
  <c r="O592" i="19"/>
  <c r="M592" i="19"/>
  <c r="K592" i="19"/>
  <c r="G592" i="19"/>
  <c r="F592" i="19"/>
  <c r="Z591" i="19"/>
  <c r="T591" i="19"/>
  <c r="R591" i="19"/>
  <c r="P591" i="19"/>
  <c r="N591" i="19"/>
  <c r="L591" i="19"/>
  <c r="H591" i="19"/>
  <c r="G591" i="19"/>
  <c r="F591" i="19"/>
  <c r="S590" i="19"/>
  <c r="Q590" i="19"/>
  <c r="O590" i="19"/>
  <c r="M590" i="19"/>
  <c r="K590" i="19"/>
  <c r="G590" i="19"/>
  <c r="F590" i="19"/>
  <c r="E589" i="19"/>
  <c r="S587" i="19"/>
  <c r="Q587" i="19"/>
  <c r="O587" i="19"/>
  <c r="M587" i="19"/>
  <c r="K587" i="19"/>
  <c r="G587" i="19"/>
  <c r="F587" i="19"/>
  <c r="AB586" i="19"/>
  <c r="T586" i="19"/>
  <c r="R586" i="19"/>
  <c r="P586" i="19"/>
  <c r="N586" i="19"/>
  <c r="L586" i="19"/>
  <c r="H586" i="19"/>
  <c r="G586" i="19"/>
  <c r="F586" i="19"/>
  <c r="AA585" i="19"/>
  <c r="S585" i="19"/>
  <c r="G585" i="19"/>
  <c r="F585" i="19"/>
  <c r="T584" i="19"/>
  <c r="G584" i="19"/>
  <c r="F584" i="19"/>
  <c r="AC583" i="19"/>
  <c r="S583" i="19"/>
  <c r="G583" i="19"/>
  <c r="F583" i="19"/>
  <c r="E582" i="19"/>
  <c r="S580" i="19"/>
  <c r="Q580" i="19"/>
  <c r="O580" i="19"/>
  <c r="M580" i="19"/>
  <c r="K580" i="19"/>
  <c r="G580" i="19"/>
  <c r="F580" i="19"/>
  <c r="T579" i="19"/>
  <c r="R579" i="19"/>
  <c r="P579" i="19"/>
  <c r="N579" i="19"/>
  <c r="L579" i="19"/>
  <c r="H579" i="19"/>
  <c r="G579" i="19"/>
  <c r="F579" i="19"/>
  <c r="S578" i="19"/>
  <c r="G578" i="19"/>
  <c r="F578" i="19"/>
  <c r="AD577" i="19"/>
  <c r="T577" i="19"/>
  <c r="G577" i="19"/>
  <c r="F577" i="19"/>
  <c r="S576" i="19"/>
  <c r="G576" i="19"/>
  <c r="F576" i="19"/>
  <c r="E575" i="19"/>
  <c r="S573" i="19"/>
  <c r="Q573" i="19"/>
  <c r="O573" i="19"/>
  <c r="M573" i="19"/>
  <c r="K573" i="19"/>
  <c r="G573" i="19"/>
  <c r="F573" i="19"/>
  <c r="AB572" i="19"/>
  <c r="T572" i="19"/>
  <c r="R572" i="19"/>
  <c r="P572" i="19"/>
  <c r="N572" i="19"/>
  <c r="L572" i="19"/>
  <c r="H572" i="19"/>
  <c r="G572" i="19"/>
  <c r="F572" i="19"/>
  <c r="AA571" i="19"/>
  <c r="S571" i="19"/>
  <c r="Q571" i="19"/>
  <c r="O571" i="19"/>
  <c r="M571" i="19"/>
  <c r="K571" i="19"/>
  <c r="G571" i="19"/>
  <c r="F571" i="19"/>
  <c r="T570" i="19"/>
  <c r="G570" i="19"/>
  <c r="F570" i="19"/>
  <c r="AC569" i="19"/>
  <c r="S569" i="19"/>
  <c r="G569" i="19"/>
  <c r="F569" i="19"/>
  <c r="E568" i="19"/>
  <c r="S566" i="19"/>
  <c r="Q566" i="19"/>
  <c r="O566" i="19"/>
  <c r="M566" i="19"/>
  <c r="K566" i="19"/>
  <c r="G566" i="19"/>
  <c r="F566" i="19"/>
  <c r="T565" i="19"/>
  <c r="R565" i="19"/>
  <c r="P565" i="19"/>
  <c r="N565" i="19"/>
  <c r="L565" i="19"/>
  <c r="H565" i="19"/>
  <c r="G565" i="19"/>
  <c r="F565" i="19"/>
  <c r="S564" i="19"/>
  <c r="G564" i="19"/>
  <c r="F564" i="19"/>
  <c r="AD563" i="19"/>
  <c r="T563" i="19"/>
  <c r="G563" i="19"/>
  <c r="F563" i="19"/>
  <c r="S562" i="19"/>
  <c r="G562" i="19"/>
  <c r="F562" i="19"/>
  <c r="E561" i="19"/>
  <c r="S559" i="19"/>
  <c r="Q559" i="19"/>
  <c r="O559" i="19"/>
  <c r="M559" i="19"/>
  <c r="K559" i="19"/>
  <c r="G559" i="19"/>
  <c r="F559" i="19"/>
  <c r="AB558" i="19"/>
  <c r="T558" i="19"/>
  <c r="G558" i="19"/>
  <c r="F558" i="19"/>
  <c r="AA557" i="19"/>
  <c r="S557" i="19"/>
  <c r="G557" i="19"/>
  <c r="F557" i="19"/>
  <c r="T556" i="19"/>
  <c r="G556" i="19"/>
  <c r="F556" i="19"/>
  <c r="AC555" i="19"/>
  <c r="S555" i="19"/>
  <c r="G555" i="19"/>
  <c r="F555" i="19"/>
  <c r="E554" i="19"/>
  <c r="AD552" i="19"/>
  <c r="AC552" i="19"/>
  <c r="AB552" i="19"/>
  <c r="AA552" i="19"/>
  <c r="Z552" i="19"/>
  <c r="Y552" i="19"/>
  <c r="X552" i="19"/>
  <c r="W552" i="19"/>
  <c r="V552" i="19"/>
  <c r="U552" i="19"/>
  <c r="T552" i="19"/>
  <c r="S552" i="19"/>
  <c r="R552" i="19"/>
  <c r="Q552" i="19"/>
  <c r="P552" i="19"/>
  <c r="O552" i="19"/>
  <c r="N552" i="19"/>
  <c r="M552" i="19"/>
  <c r="L552" i="19"/>
  <c r="K552" i="19"/>
  <c r="E550" i="19"/>
  <c r="T545" i="19"/>
  <c r="T622" i="19" s="1"/>
  <c r="S545" i="19"/>
  <c r="R545" i="19"/>
  <c r="R622" i="19" s="1"/>
  <c r="Q545" i="19"/>
  <c r="P545" i="19"/>
  <c r="P622" i="19" s="1"/>
  <c r="O545" i="19"/>
  <c r="N545" i="19"/>
  <c r="N622" i="19" s="1"/>
  <c r="M545" i="19"/>
  <c r="L545" i="19"/>
  <c r="L622" i="19" s="1"/>
  <c r="K545" i="19"/>
  <c r="H545" i="19"/>
  <c r="G545" i="19"/>
  <c r="F545" i="19"/>
  <c r="T544" i="19"/>
  <c r="S544" i="19"/>
  <c r="S621" i="19" s="1"/>
  <c r="R544" i="19"/>
  <c r="Q544" i="19"/>
  <c r="Q621" i="19" s="1"/>
  <c r="P544" i="19"/>
  <c r="O544" i="19"/>
  <c r="O621" i="19" s="1"/>
  <c r="N544" i="19"/>
  <c r="M544" i="19"/>
  <c r="M621" i="19" s="1"/>
  <c r="L544" i="19"/>
  <c r="K544" i="19"/>
  <c r="H544" i="19"/>
  <c r="G544" i="19"/>
  <c r="F544" i="19"/>
  <c r="T543" i="19"/>
  <c r="T620" i="19" s="1"/>
  <c r="S543" i="19"/>
  <c r="R543" i="19"/>
  <c r="R620" i="19" s="1"/>
  <c r="Q543" i="19"/>
  <c r="P543" i="19"/>
  <c r="P620" i="19" s="1"/>
  <c r="O543" i="19"/>
  <c r="N543" i="19"/>
  <c r="N620" i="19" s="1"/>
  <c r="M543" i="19"/>
  <c r="L543" i="19"/>
  <c r="L620" i="19" s="1"/>
  <c r="K543" i="19"/>
  <c r="H543" i="19"/>
  <c r="G543" i="19"/>
  <c r="F543" i="19"/>
  <c r="T542" i="19"/>
  <c r="S542" i="19"/>
  <c r="S619" i="19" s="1"/>
  <c r="R542" i="19"/>
  <c r="Q542" i="19"/>
  <c r="Q619" i="19" s="1"/>
  <c r="P542" i="19"/>
  <c r="O542" i="19"/>
  <c r="O619" i="19" s="1"/>
  <c r="N542" i="19"/>
  <c r="M542" i="19"/>
  <c r="M619" i="19" s="1"/>
  <c r="L542" i="19"/>
  <c r="K542" i="19"/>
  <c r="H542" i="19"/>
  <c r="G542" i="19"/>
  <c r="F542" i="19"/>
  <c r="T541" i="19"/>
  <c r="T618" i="19" s="1"/>
  <c r="S541" i="19"/>
  <c r="R541" i="19"/>
  <c r="R618" i="19" s="1"/>
  <c r="Q541" i="19"/>
  <c r="P541" i="19"/>
  <c r="P618" i="19" s="1"/>
  <c r="O541" i="19"/>
  <c r="N541" i="19"/>
  <c r="N618" i="19" s="1"/>
  <c r="M541" i="19"/>
  <c r="L541" i="19"/>
  <c r="L618" i="19" s="1"/>
  <c r="K541" i="19"/>
  <c r="H541" i="19"/>
  <c r="G541" i="19"/>
  <c r="F541" i="19"/>
  <c r="E540" i="19"/>
  <c r="AB538" i="19"/>
  <c r="AB615" i="19" s="1"/>
  <c r="T538" i="19"/>
  <c r="T615" i="19" s="1"/>
  <c r="S538" i="19"/>
  <c r="R538" i="19"/>
  <c r="R615" i="19" s="1"/>
  <c r="Q538" i="19"/>
  <c r="P538" i="19"/>
  <c r="P615" i="19" s="1"/>
  <c r="O538" i="19"/>
  <c r="N538" i="19"/>
  <c r="N615" i="19" s="1"/>
  <c r="M538" i="19"/>
  <c r="L538" i="19"/>
  <c r="L615" i="19" s="1"/>
  <c r="K538" i="19"/>
  <c r="H538" i="19"/>
  <c r="G538" i="19"/>
  <c r="F538" i="19"/>
  <c r="AC537" i="19"/>
  <c r="AC614" i="19" s="1"/>
  <c r="T537" i="19"/>
  <c r="S537" i="19"/>
  <c r="S614" i="19" s="1"/>
  <c r="R537" i="19"/>
  <c r="Q537" i="19"/>
  <c r="Q614" i="19" s="1"/>
  <c r="P537" i="19"/>
  <c r="O537" i="19"/>
  <c r="O614" i="19" s="1"/>
  <c r="N537" i="19"/>
  <c r="M537" i="19"/>
  <c r="M614" i="19" s="1"/>
  <c r="L537" i="19"/>
  <c r="K537" i="19"/>
  <c r="H537" i="19"/>
  <c r="G537" i="19"/>
  <c r="F537" i="19"/>
  <c r="AB536" i="19"/>
  <c r="AB613" i="19" s="1"/>
  <c r="T536" i="19"/>
  <c r="T613" i="19" s="1"/>
  <c r="S536" i="19"/>
  <c r="R536" i="19"/>
  <c r="R613" i="19" s="1"/>
  <c r="Q536" i="19"/>
  <c r="P536" i="19"/>
  <c r="P613" i="19" s="1"/>
  <c r="O536" i="19"/>
  <c r="N536" i="19"/>
  <c r="N613" i="19" s="1"/>
  <c r="M536" i="19"/>
  <c r="L536" i="19"/>
  <c r="L613" i="19" s="1"/>
  <c r="K536" i="19"/>
  <c r="H536" i="19"/>
  <c r="G536" i="19"/>
  <c r="F536" i="19"/>
  <c r="AC535" i="19"/>
  <c r="AC612" i="19" s="1"/>
  <c r="T535" i="19"/>
  <c r="S535" i="19"/>
  <c r="S612" i="19" s="1"/>
  <c r="R535" i="19"/>
  <c r="Q535" i="19"/>
  <c r="Q612" i="19" s="1"/>
  <c r="P535" i="19"/>
  <c r="O535" i="19"/>
  <c r="O612" i="19" s="1"/>
  <c r="N535" i="19"/>
  <c r="M535" i="19"/>
  <c r="M612" i="19" s="1"/>
  <c r="L535" i="19"/>
  <c r="K535" i="19"/>
  <c r="H535" i="19"/>
  <c r="G535" i="19"/>
  <c r="F535" i="19"/>
  <c r="AB534" i="19"/>
  <c r="AB611" i="19" s="1"/>
  <c r="T534" i="19"/>
  <c r="T611" i="19" s="1"/>
  <c r="S534" i="19"/>
  <c r="R534" i="19"/>
  <c r="R611" i="19" s="1"/>
  <c r="Q534" i="19"/>
  <c r="P534" i="19"/>
  <c r="P611" i="19" s="1"/>
  <c r="O534" i="19"/>
  <c r="N534" i="19"/>
  <c r="N611" i="19" s="1"/>
  <c r="M534" i="19"/>
  <c r="L534" i="19"/>
  <c r="L611" i="19" s="1"/>
  <c r="K534" i="19"/>
  <c r="H534" i="19"/>
  <c r="G534" i="19"/>
  <c r="F534" i="19"/>
  <c r="E533" i="19"/>
  <c r="T531" i="19"/>
  <c r="T608" i="19" s="1"/>
  <c r="S531" i="19"/>
  <c r="R531" i="19"/>
  <c r="R608" i="19" s="1"/>
  <c r="Q531" i="19"/>
  <c r="P531" i="19"/>
  <c r="P608" i="19" s="1"/>
  <c r="O531" i="19"/>
  <c r="N531" i="19"/>
  <c r="N608" i="19" s="1"/>
  <c r="M531" i="19"/>
  <c r="L531" i="19"/>
  <c r="L608" i="19" s="1"/>
  <c r="K531" i="19"/>
  <c r="H531" i="19"/>
  <c r="G531" i="19"/>
  <c r="F531" i="19"/>
  <c r="T530" i="19"/>
  <c r="S530" i="19"/>
  <c r="S607" i="19" s="1"/>
  <c r="R530" i="19"/>
  <c r="Q530" i="19"/>
  <c r="Q607" i="19" s="1"/>
  <c r="P530" i="19"/>
  <c r="O530" i="19"/>
  <c r="O607" i="19" s="1"/>
  <c r="N530" i="19"/>
  <c r="M530" i="19"/>
  <c r="M607" i="19" s="1"/>
  <c r="L530" i="19"/>
  <c r="K530" i="19"/>
  <c r="H530" i="19"/>
  <c r="G530" i="19"/>
  <c r="F530" i="19"/>
  <c r="T529" i="19"/>
  <c r="T606" i="19" s="1"/>
  <c r="S529" i="19"/>
  <c r="R529" i="19"/>
  <c r="R606" i="19" s="1"/>
  <c r="Q529" i="19"/>
  <c r="P529" i="19"/>
  <c r="P606" i="19" s="1"/>
  <c r="O529" i="19"/>
  <c r="N529" i="19"/>
  <c r="N606" i="19" s="1"/>
  <c r="M529" i="19"/>
  <c r="L529" i="19"/>
  <c r="L606" i="19" s="1"/>
  <c r="K529" i="19"/>
  <c r="H529" i="19"/>
  <c r="G529" i="19"/>
  <c r="F529" i="19"/>
  <c r="T528" i="19"/>
  <c r="S528" i="19"/>
  <c r="S605" i="19" s="1"/>
  <c r="R528" i="19"/>
  <c r="Q528" i="19"/>
  <c r="Q605" i="19" s="1"/>
  <c r="P528" i="19"/>
  <c r="O528" i="19"/>
  <c r="O605" i="19" s="1"/>
  <c r="N528" i="19"/>
  <c r="M528" i="19"/>
  <c r="M605" i="19" s="1"/>
  <c r="L528" i="19"/>
  <c r="K528" i="19"/>
  <c r="H528" i="19"/>
  <c r="G528" i="19"/>
  <c r="F528" i="19"/>
  <c r="T527" i="19"/>
  <c r="T604" i="19" s="1"/>
  <c r="S527" i="19"/>
  <c r="R527" i="19"/>
  <c r="R604" i="19" s="1"/>
  <c r="Q527" i="19"/>
  <c r="P527" i="19"/>
  <c r="P604" i="19" s="1"/>
  <c r="O527" i="19"/>
  <c r="N527" i="19"/>
  <c r="N604" i="19" s="1"/>
  <c r="M527" i="19"/>
  <c r="L527" i="19"/>
  <c r="L604" i="19" s="1"/>
  <c r="K527" i="19"/>
  <c r="H527" i="19"/>
  <c r="G527" i="19"/>
  <c r="F527" i="19"/>
  <c r="E526" i="19"/>
  <c r="AB524" i="19"/>
  <c r="AB601" i="19" s="1"/>
  <c r="T524" i="19"/>
  <c r="T601" i="19" s="1"/>
  <c r="S524" i="19"/>
  <c r="R524" i="19"/>
  <c r="R601" i="19" s="1"/>
  <c r="Q524" i="19"/>
  <c r="P524" i="19"/>
  <c r="P601" i="19" s="1"/>
  <c r="O524" i="19"/>
  <c r="N524" i="19"/>
  <c r="N601" i="19" s="1"/>
  <c r="M524" i="19"/>
  <c r="L524" i="19"/>
  <c r="L601" i="19" s="1"/>
  <c r="K524" i="19"/>
  <c r="H524" i="19"/>
  <c r="G524" i="19"/>
  <c r="F524" i="19"/>
  <c r="AC523" i="19"/>
  <c r="AC600" i="19" s="1"/>
  <c r="T523" i="19"/>
  <c r="S523" i="19"/>
  <c r="S600" i="19" s="1"/>
  <c r="R523" i="19"/>
  <c r="Q523" i="19"/>
  <c r="Q600" i="19" s="1"/>
  <c r="P523" i="19"/>
  <c r="O523" i="19"/>
  <c r="O600" i="19" s="1"/>
  <c r="N523" i="19"/>
  <c r="M523" i="19"/>
  <c r="M600" i="19" s="1"/>
  <c r="L523" i="19"/>
  <c r="K523" i="19"/>
  <c r="H523" i="19"/>
  <c r="G523" i="19"/>
  <c r="F523" i="19"/>
  <c r="AB522" i="19"/>
  <c r="AB599" i="19" s="1"/>
  <c r="T522" i="19"/>
  <c r="T599" i="19" s="1"/>
  <c r="S522" i="19"/>
  <c r="R522" i="19"/>
  <c r="R599" i="19" s="1"/>
  <c r="Q522" i="19"/>
  <c r="P522" i="19"/>
  <c r="P599" i="19" s="1"/>
  <c r="O522" i="19"/>
  <c r="N522" i="19"/>
  <c r="N599" i="19" s="1"/>
  <c r="M522" i="19"/>
  <c r="L522" i="19"/>
  <c r="L599" i="19" s="1"/>
  <c r="K522" i="19"/>
  <c r="H522" i="19"/>
  <c r="G522" i="19"/>
  <c r="F522" i="19"/>
  <c r="AC521" i="19"/>
  <c r="AC598" i="19" s="1"/>
  <c r="T521" i="19"/>
  <c r="S521" i="19"/>
  <c r="S598" i="19" s="1"/>
  <c r="R521" i="19"/>
  <c r="Q521" i="19"/>
  <c r="Q598" i="19" s="1"/>
  <c r="P521" i="19"/>
  <c r="O521" i="19"/>
  <c r="O598" i="19" s="1"/>
  <c r="N521" i="19"/>
  <c r="M521" i="19"/>
  <c r="M598" i="19" s="1"/>
  <c r="L521" i="19"/>
  <c r="K521" i="19"/>
  <c r="H521" i="19"/>
  <c r="G521" i="19"/>
  <c r="F521" i="19"/>
  <c r="AB520" i="19"/>
  <c r="AB597" i="19" s="1"/>
  <c r="T520" i="19"/>
  <c r="T597" i="19" s="1"/>
  <c r="S520" i="19"/>
  <c r="R520" i="19"/>
  <c r="R597" i="19" s="1"/>
  <c r="Q520" i="19"/>
  <c r="P520" i="19"/>
  <c r="P597" i="19" s="1"/>
  <c r="O520" i="19"/>
  <c r="N520" i="19"/>
  <c r="N597" i="19" s="1"/>
  <c r="M520" i="19"/>
  <c r="L520" i="19"/>
  <c r="L597" i="19" s="1"/>
  <c r="K520" i="19"/>
  <c r="H520" i="19"/>
  <c r="G520" i="19"/>
  <c r="F520" i="19"/>
  <c r="E519" i="19"/>
  <c r="T517" i="19"/>
  <c r="T594" i="19" s="1"/>
  <c r="S517" i="19"/>
  <c r="R517" i="19"/>
  <c r="R594" i="19" s="1"/>
  <c r="Q517" i="19"/>
  <c r="P517" i="19"/>
  <c r="P594" i="19" s="1"/>
  <c r="O517" i="19"/>
  <c r="N517" i="19"/>
  <c r="N594" i="19" s="1"/>
  <c r="M517" i="19"/>
  <c r="L517" i="19"/>
  <c r="L594" i="19" s="1"/>
  <c r="K517" i="19"/>
  <c r="H517" i="19"/>
  <c r="G517" i="19"/>
  <c r="F517" i="19"/>
  <c r="T516" i="19"/>
  <c r="S516" i="19"/>
  <c r="S593" i="19" s="1"/>
  <c r="R516" i="19"/>
  <c r="Q516" i="19"/>
  <c r="Q593" i="19" s="1"/>
  <c r="P516" i="19"/>
  <c r="O516" i="19"/>
  <c r="O593" i="19" s="1"/>
  <c r="N516" i="19"/>
  <c r="M516" i="19"/>
  <c r="M593" i="19" s="1"/>
  <c r="L516" i="19"/>
  <c r="K516" i="19"/>
  <c r="H516" i="19"/>
  <c r="G516" i="19"/>
  <c r="F516" i="19"/>
  <c r="T515" i="19"/>
  <c r="T592" i="19" s="1"/>
  <c r="S515" i="19"/>
  <c r="R515" i="19"/>
  <c r="R592" i="19" s="1"/>
  <c r="Q515" i="19"/>
  <c r="P515" i="19"/>
  <c r="P592" i="19" s="1"/>
  <c r="O515" i="19"/>
  <c r="N515" i="19"/>
  <c r="N592" i="19" s="1"/>
  <c r="M515" i="19"/>
  <c r="L515" i="19"/>
  <c r="L592" i="19" s="1"/>
  <c r="K515" i="19"/>
  <c r="H515" i="19"/>
  <c r="G515" i="19"/>
  <c r="F515" i="19"/>
  <c r="T514" i="19"/>
  <c r="S514" i="19"/>
  <c r="S591" i="19" s="1"/>
  <c r="R514" i="19"/>
  <c r="Q514" i="19"/>
  <c r="Q591" i="19" s="1"/>
  <c r="P514" i="19"/>
  <c r="O514" i="19"/>
  <c r="O591" i="19" s="1"/>
  <c r="N514" i="19"/>
  <c r="M514" i="19"/>
  <c r="M591" i="19" s="1"/>
  <c r="L514" i="19"/>
  <c r="K514" i="19"/>
  <c r="H514" i="19"/>
  <c r="G514" i="19"/>
  <c r="F514" i="19"/>
  <c r="T513" i="19"/>
  <c r="T590" i="19" s="1"/>
  <c r="S513" i="19"/>
  <c r="R513" i="19"/>
  <c r="R590" i="19" s="1"/>
  <c r="Q513" i="19"/>
  <c r="P513" i="19"/>
  <c r="P590" i="19" s="1"/>
  <c r="O513" i="19"/>
  <c r="N513" i="19"/>
  <c r="N590" i="19" s="1"/>
  <c r="M513" i="19"/>
  <c r="L513" i="19"/>
  <c r="L590" i="19" s="1"/>
  <c r="K513" i="19"/>
  <c r="H513" i="19"/>
  <c r="G513" i="19"/>
  <c r="F513" i="19"/>
  <c r="E512" i="19"/>
  <c r="AB510" i="19"/>
  <c r="AB587" i="19" s="1"/>
  <c r="T510" i="19"/>
  <c r="T587" i="19" s="1"/>
  <c r="S510" i="19"/>
  <c r="R510" i="19"/>
  <c r="R587" i="19" s="1"/>
  <c r="Q510" i="19"/>
  <c r="P510" i="19"/>
  <c r="P587" i="19" s="1"/>
  <c r="O510" i="19"/>
  <c r="N510" i="19"/>
  <c r="N587" i="19" s="1"/>
  <c r="M510" i="19"/>
  <c r="L510" i="19"/>
  <c r="L587" i="19" s="1"/>
  <c r="K510" i="19"/>
  <c r="H510" i="19"/>
  <c r="G510" i="19"/>
  <c r="F510" i="19"/>
  <c r="AC509" i="19"/>
  <c r="AC586" i="19" s="1"/>
  <c r="T509" i="19"/>
  <c r="S509" i="19"/>
  <c r="S586" i="19" s="1"/>
  <c r="R509" i="19"/>
  <c r="Q509" i="19"/>
  <c r="Q586" i="19" s="1"/>
  <c r="P509" i="19"/>
  <c r="O509" i="19"/>
  <c r="O586" i="19" s="1"/>
  <c r="N509" i="19"/>
  <c r="M509" i="19"/>
  <c r="M586" i="19" s="1"/>
  <c r="L509" i="19"/>
  <c r="K509" i="19"/>
  <c r="H509" i="19"/>
  <c r="G509" i="19"/>
  <c r="F509" i="19"/>
  <c r="AB508" i="19"/>
  <c r="AB585" i="19" s="1"/>
  <c r="T508" i="19"/>
  <c r="T585" i="19" s="1"/>
  <c r="S508" i="19"/>
  <c r="G508" i="19"/>
  <c r="F508" i="19"/>
  <c r="T507" i="19"/>
  <c r="S507" i="19"/>
  <c r="S584" i="19" s="1"/>
  <c r="G507" i="19"/>
  <c r="F507" i="19"/>
  <c r="T506" i="19"/>
  <c r="T583" i="19" s="1"/>
  <c r="S506" i="19"/>
  <c r="G506" i="19"/>
  <c r="F506" i="19"/>
  <c r="E505" i="19"/>
  <c r="Z503" i="19"/>
  <c r="Z580" i="19" s="1"/>
  <c r="T503" i="19"/>
  <c r="T580" i="19" s="1"/>
  <c r="S503" i="19"/>
  <c r="R503" i="19"/>
  <c r="R580" i="19" s="1"/>
  <c r="Q503" i="19"/>
  <c r="P503" i="19"/>
  <c r="P580" i="19" s="1"/>
  <c r="O503" i="19"/>
  <c r="N503" i="19"/>
  <c r="N580" i="19" s="1"/>
  <c r="M503" i="19"/>
  <c r="L503" i="19"/>
  <c r="L580" i="19" s="1"/>
  <c r="K503" i="19"/>
  <c r="H503" i="19"/>
  <c r="G503" i="19"/>
  <c r="F503" i="19"/>
  <c r="T502" i="19"/>
  <c r="S502" i="19"/>
  <c r="S579" i="19" s="1"/>
  <c r="R502" i="19"/>
  <c r="Q502" i="19"/>
  <c r="Q579" i="19" s="1"/>
  <c r="P502" i="19"/>
  <c r="O502" i="19"/>
  <c r="O579" i="19" s="1"/>
  <c r="N502" i="19"/>
  <c r="M502" i="19"/>
  <c r="M579" i="19" s="1"/>
  <c r="L502" i="19"/>
  <c r="K502" i="19"/>
  <c r="H502" i="19"/>
  <c r="G502" i="19"/>
  <c r="F502" i="19"/>
  <c r="Z501" i="19"/>
  <c r="Z578" i="19" s="1"/>
  <c r="T501" i="19"/>
  <c r="T578" i="19" s="1"/>
  <c r="S501" i="19"/>
  <c r="G501" i="19"/>
  <c r="F501" i="19"/>
  <c r="T500" i="19"/>
  <c r="S500" i="19"/>
  <c r="S577" i="19" s="1"/>
  <c r="G500" i="19"/>
  <c r="F500" i="19"/>
  <c r="T499" i="19"/>
  <c r="T576" i="19" s="1"/>
  <c r="S499" i="19"/>
  <c r="G499" i="19"/>
  <c r="F499" i="19"/>
  <c r="E498" i="19"/>
  <c r="AB496" i="19"/>
  <c r="AB573" i="19" s="1"/>
  <c r="T496" i="19"/>
  <c r="T573" i="19" s="1"/>
  <c r="S496" i="19"/>
  <c r="R496" i="19"/>
  <c r="R573" i="19" s="1"/>
  <c r="Q496" i="19"/>
  <c r="P496" i="19"/>
  <c r="P573" i="19" s="1"/>
  <c r="O496" i="19"/>
  <c r="N496" i="19"/>
  <c r="N573" i="19" s="1"/>
  <c r="M496" i="19"/>
  <c r="L496" i="19"/>
  <c r="L573" i="19" s="1"/>
  <c r="K496" i="19"/>
  <c r="H496" i="19"/>
  <c r="G496" i="19"/>
  <c r="F496" i="19"/>
  <c r="AC495" i="19"/>
  <c r="AC572" i="19" s="1"/>
  <c r="T495" i="19"/>
  <c r="S495" i="19"/>
  <c r="S572" i="19" s="1"/>
  <c r="R495" i="19"/>
  <c r="Q495" i="19"/>
  <c r="Q572" i="19" s="1"/>
  <c r="P495" i="19"/>
  <c r="O495" i="19"/>
  <c r="O572" i="19" s="1"/>
  <c r="N495" i="19"/>
  <c r="M495" i="19"/>
  <c r="M572" i="19" s="1"/>
  <c r="L495" i="19"/>
  <c r="K495" i="19"/>
  <c r="H495" i="19"/>
  <c r="G495" i="19"/>
  <c r="F495" i="19"/>
  <c r="AB494" i="19"/>
  <c r="AB571" i="19" s="1"/>
  <c r="T494" i="19"/>
  <c r="T571" i="19" s="1"/>
  <c r="S494" i="19"/>
  <c r="R494" i="19"/>
  <c r="R571" i="19" s="1"/>
  <c r="Q494" i="19"/>
  <c r="P494" i="19"/>
  <c r="P571" i="19" s="1"/>
  <c r="O494" i="19"/>
  <c r="N494" i="19"/>
  <c r="N571" i="19" s="1"/>
  <c r="M494" i="19"/>
  <c r="L494" i="19"/>
  <c r="L571" i="19" s="1"/>
  <c r="K494" i="19"/>
  <c r="H494" i="19"/>
  <c r="G494" i="19"/>
  <c r="F494" i="19"/>
  <c r="AC493" i="19"/>
  <c r="AC570" i="19" s="1"/>
  <c r="T493" i="19"/>
  <c r="S493" i="19"/>
  <c r="S570" i="19" s="1"/>
  <c r="G493" i="19"/>
  <c r="F493" i="19"/>
  <c r="T492" i="19"/>
  <c r="T569" i="19" s="1"/>
  <c r="S492" i="19"/>
  <c r="G492" i="19"/>
  <c r="F492" i="19"/>
  <c r="E491" i="19"/>
  <c r="AD489" i="19"/>
  <c r="AD566" i="19" s="1"/>
  <c r="T489" i="19"/>
  <c r="T566" i="19" s="1"/>
  <c r="S489" i="19"/>
  <c r="R489" i="19"/>
  <c r="R566" i="19" s="1"/>
  <c r="Q489" i="19"/>
  <c r="P489" i="19"/>
  <c r="P566" i="19" s="1"/>
  <c r="O489" i="19"/>
  <c r="N489" i="19"/>
  <c r="N566" i="19" s="1"/>
  <c r="M489" i="19"/>
  <c r="L489" i="19"/>
  <c r="L566" i="19" s="1"/>
  <c r="K489" i="19"/>
  <c r="H489" i="19"/>
  <c r="G489" i="19"/>
  <c r="F489" i="19"/>
  <c r="T488" i="19"/>
  <c r="S488" i="19"/>
  <c r="S565" i="19" s="1"/>
  <c r="R488" i="19"/>
  <c r="Q488" i="19"/>
  <c r="Q565" i="19" s="1"/>
  <c r="P488" i="19"/>
  <c r="O488" i="19"/>
  <c r="O565" i="19" s="1"/>
  <c r="N488" i="19"/>
  <c r="M488" i="19"/>
  <c r="M565" i="19" s="1"/>
  <c r="L488" i="19"/>
  <c r="K488" i="19"/>
  <c r="H488" i="19"/>
  <c r="G488" i="19"/>
  <c r="F488" i="19"/>
  <c r="AD487" i="19"/>
  <c r="AD564" i="19" s="1"/>
  <c r="T487" i="19"/>
  <c r="T564" i="19" s="1"/>
  <c r="S487" i="19"/>
  <c r="G487" i="19"/>
  <c r="F487" i="19"/>
  <c r="T486" i="19"/>
  <c r="S486" i="19"/>
  <c r="S563" i="19" s="1"/>
  <c r="G486" i="19"/>
  <c r="F486" i="19"/>
  <c r="T485" i="19"/>
  <c r="T562" i="19" s="1"/>
  <c r="S485" i="19"/>
  <c r="G485" i="19"/>
  <c r="F485" i="19"/>
  <c r="E484" i="19"/>
  <c r="T482" i="19"/>
  <c r="T559" i="19" s="1"/>
  <c r="S482" i="19"/>
  <c r="R482" i="19"/>
  <c r="R559" i="19" s="1"/>
  <c r="Q482" i="19"/>
  <c r="P482" i="19"/>
  <c r="P559" i="19" s="1"/>
  <c r="O482" i="19"/>
  <c r="N482" i="19"/>
  <c r="N559" i="19" s="1"/>
  <c r="M482" i="19"/>
  <c r="L482" i="19"/>
  <c r="L559" i="19" s="1"/>
  <c r="K482" i="19"/>
  <c r="H482" i="19"/>
  <c r="G482" i="19"/>
  <c r="F482" i="19"/>
  <c r="T481" i="19"/>
  <c r="S481" i="19"/>
  <c r="S558" i="19" s="1"/>
  <c r="G481" i="19"/>
  <c r="F481" i="19"/>
  <c r="T480" i="19"/>
  <c r="T557" i="19" s="1"/>
  <c r="S480" i="19"/>
  <c r="G480" i="19"/>
  <c r="F480" i="19"/>
  <c r="AA479" i="19"/>
  <c r="AA556" i="19" s="1"/>
  <c r="T479" i="19"/>
  <c r="S479" i="19"/>
  <c r="S556" i="19" s="1"/>
  <c r="G479" i="19"/>
  <c r="F479" i="19"/>
  <c r="T478" i="19"/>
  <c r="T555" i="19" s="1"/>
  <c r="S478" i="19"/>
  <c r="G478" i="19"/>
  <c r="F478" i="19"/>
  <c r="E477" i="19"/>
  <c r="AD475" i="19"/>
  <c r="AC475" i="19"/>
  <c r="AB475" i="19"/>
  <c r="AA475" i="19"/>
  <c r="Z475" i="19"/>
  <c r="Y475" i="19"/>
  <c r="X475" i="19"/>
  <c r="W475" i="19"/>
  <c r="V475" i="19"/>
  <c r="U475" i="19"/>
  <c r="T475" i="19"/>
  <c r="S475" i="19"/>
  <c r="R475" i="19"/>
  <c r="Q475" i="19"/>
  <c r="P475" i="19"/>
  <c r="O475" i="19"/>
  <c r="N475" i="19"/>
  <c r="M475" i="19"/>
  <c r="L475" i="19"/>
  <c r="K475" i="19"/>
  <c r="E473" i="19"/>
  <c r="T467" i="19"/>
  <c r="R467" i="19"/>
  <c r="P467" i="19"/>
  <c r="N467" i="19"/>
  <c r="L467" i="19"/>
  <c r="H467" i="19"/>
  <c r="G467" i="19"/>
  <c r="F467" i="19"/>
  <c r="AC466" i="19"/>
  <c r="S466" i="19"/>
  <c r="Q466" i="19"/>
  <c r="O466" i="19"/>
  <c r="M466" i="19"/>
  <c r="K466" i="19"/>
  <c r="G466" i="19"/>
  <c r="F466" i="19"/>
  <c r="T465" i="19"/>
  <c r="R465" i="19"/>
  <c r="P465" i="19"/>
  <c r="N465" i="19"/>
  <c r="L465" i="19"/>
  <c r="H465" i="19"/>
  <c r="G465" i="19"/>
  <c r="F465" i="19"/>
  <c r="S464" i="19"/>
  <c r="Q464" i="19"/>
  <c r="O464" i="19"/>
  <c r="M464" i="19"/>
  <c r="K464" i="19"/>
  <c r="G464" i="19"/>
  <c r="F464" i="19"/>
  <c r="T463" i="19"/>
  <c r="R463" i="19"/>
  <c r="P463" i="19"/>
  <c r="N463" i="19"/>
  <c r="L463" i="19"/>
  <c r="H463" i="19"/>
  <c r="G463" i="19"/>
  <c r="F463" i="19"/>
  <c r="E462" i="19"/>
  <c r="T460" i="19"/>
  <c r="R460" i="19"/>
  <c r="P460" i="19"/>
  <c r="N460" i="19"/>
  <c r="L460" i="19"/>
  <c r="H460" i="19"/>
  <c r="G460" i="19"/>
  <c r="F460" i="19"/>
  <c r="S459" i="19"/>
  <c r="Q459" i="19"/>
  <c r="O459" i="19"/>
  <c r="M459" i="19"/>
  <c r="K459" i="19"/>
  <c r="G459" i="19"/>
  <c r="F459" i="19"/>
  <c r="AD458" i="19"/>
  <c r="T458" i="19"/>
  <c r="R458" i="19"/>
  <c r="P458" i="19"/>
  <c r="N458" i="19"/>
  <c r="L458" i="19"/>
  <c r="H458" i="19"/>
  <c r="G458" i="19"/>
  <c r="F458" i="19"/>
  <c r="S457" i="19"/>
  <c r="Q457" i="19"/>
  <c r="O457" i="19"/>
  <c r="M457" i="19"/>
  <c r="K457" i="19"/>
  <c r="G457" i="19"/>
  <c r="F457" i="19"/>
  <c r="T456" i="19"/>
  <c r="R456" i="19"/>
  <c r="P456" i="19"/>
  <c r="N456" i="19"/>
  <c r="L456" i="19"/>
  <c r="H456" i="19"/>
  <c r="G456" i="19"/>
  <c r="F456" i="19"/>
  <c r="E455" i="19"/>
  <c r="T453" i="19"/>
  <c r="R453" i="19"/>
  <c r="P453" i="19"/>
  <c r="N453" i="19"/>
  <c r="L453" i="19"/>
  <c r="H453" i="19"/>
  <c r="G453" i="19"/>
  <c r="F453" i="19"/>
  <c r="AC452" i="19"/>
  <c r="S452" i="19"/>
  <c r="Q452" i="19"/>
  <c r="O452" i="19"/>
  <c r="M452" i="19"/>
  <c r="K452" i="19"/>
  <c r="G452" i="19"/>
  <c r="F452" i="19"/>
  <c r="T451" i="19"/>
  <c r="R451" i="19"/>
  <c r="P451" i="19"/>
  <c r="N451" i="19"/>
  <c r="L451" i="19"/>
  <c r="H451" i="19"/>
  <c r="G451" i="19"/>
  <c r="F451" i="19"/>
  <c r="S450" i="19"/>
  <c r="Q450" i="19"/>
  <c r="O450" i="19"/>
  <c r="M450" i="19"/>
  <c r="K450" i="19"/>
  <c r="G450" i="19"/>
  <c r="F450" i="19"/>
  <c r="T449" i="19"/>
  <c r="R449" i="19"/>
  <c r="P449" i="19"/>
  <c r="N449" i="19"/>
  <c r="L449" i="19"/>
  <c r="H449" i="19"/>
  <c r="G449" i="19"/>
  <c r="F449" i="19"/>
  <c r="E448" i="19"/>
  <c r="T446" i="19"/>
  <c r="R446" i="19"/>
  <c r="P446" i="19"/>
  <c r="N446" i="19"/>
  <c r="L446" i="19"/>
  <c r="H446" i="19"/>
  <c r="G446" i="19"/>
  <c r="F446" i="19"/>
  <c r="S445" i="19"/>
  <c r="Q445" i="19"/>
  <c r="O445" i="19"/>
  <c r="M445" i="19"/>
  <c r="K445" i="19"/>
  <c r="G445" i="19"/>
  <c r="F445" i="19"/>
  <c r="AD444" i="19"/>
  <c r="T444" i="19"/>
  <c r="R444" i="19"/>
  <c r="P444" i="19"/>
  <c r="N444" i="19"/>
  <c r="L444" i="19"/>
  <c r="H444" i="19"/>
  <c r="G444" i="19"/>
  <c r="F444" i="19"/>
  <c r="S443" i="19"/>
  <c r="Q443" i="19"/>
  <c r="O443" i="19"/>
  <c r="M443" i="19"/>
  <c r="K443" i="19"/>
  <c r="G443" i="19"/>
  <c r="F443" i="19"/>
  <c r="T442" i="19"/>
  <c r="R442" i="19"/>
  <c r="P442" i="19"/>
  <c r="N442" i="19"/>
  <c r="L442" i="19"/>
  <c r="H442" i="19"/>
  <c r="G442" i="19"/>
  <c r="F442" i="19"/>
  <c r="E441" i="19"/>
  <c r="T439" i="19"/>
  <c r="R439" i="19"/>
  <c r="P439" i="19"/>
  <c r="N439" i="19"/>
  <c r="L439" i="19"/>
  <c r="H439" i="19"/>
  <c r="G439" i="19"/>
  <c r="F439" i="19"/>
  <c r="AC438" i="19"/>
  <c r="S438" i="19"/>
  <c r="Q438" i="19"/>
  <c r="O438" i="19"/>
  <c r="M438" i="19"/>
  <c r="K438" i="19"/>
  <c r="G438" i="19"/>
  <c r="F438" i="19"/>
  <c r="T437" i="19"/>
  <c r="R437" i="19"/>
  <c r="P437" i="19"/>
  <c r="N437" i="19"/>
  <c r="L437" i="19"/>
  <c r="H437" i="19"/>
  <c r="G437" i="19"/>
  <c r="F437" i="19"/>
  <c r="S436" i="19"/>
  <c r="Q436" i="19"/>
  <c r="O436" i="19"/>
  <c r="M436" i="19"/>
  <c r="K436" i="19"/>
  <c r="G436" i="19"/>
  <c r="F436" i="19"/>
  <c r="T435" i="19"/>
  <c r="R435" i="19"/>
  <c r="P435" i="19"/>
  <c r="N435" i="19"/>
  <c r="L435" i="19"/>
  <c r="H435" i="19"/>
  <c r="G435" i="19"/>
  <c r="F435" i="19"/>
  <c r="E434" i="19"/>
  <c r="T432" i="19"/>
  <c r="R432" i="19"/>
  <c r="P432" i="19"/>
  <c r="N432" i="19"/>
  <c r="L432" i="19"/>
  <c r="H432" i="19"/>
  <c r="G432" i="19"/>
  <c r="F432" i="19"/>
  <c r="S431" i="19"/>
  <c r="Q431" i="19"/>
  <c r="O431" i="19"/>
  <c r="M431" i="19"/>
  <c r="K431" i="19"/>
  <c r="G431" i="19"/>
  <c r="F431" i="19"/>
  <c r="AD430" i="19"/>
  <c r="T430" i="19"/>
  <c r="G430" i="19"/>
  <c r="F430" i="19"/>
  <c r="S429" i="19"/>
  <c r="G429" i="19"/>
  <c r="F429" i="19"/>
  <c r="T428" i="19"/>
  <c r="G428" i="19"/>
  <c r="F428" i="19"/>
  <c r="E427" i="19"/>
  <c r="T425" i="19"/>
  <c r="R425" i="19"/>
  <c r="P425" i="19"/>
  <c r="N425" i="19"/>
  <c r="L425" i="19"/>
  <c r="H425" i="19"/>
  <c r="G425" i="19"/>
  <c r="F425" i="19"/>
  <c r="S424" i="19"/>
  <c r="Q424" i="19"/>
  <c r="O424" i="19"/>
  <c r="M424" i="19"/>
  <c r="K424" i="19"/>
  <c r="G424" i="19"/>
  <c r="F424" i="19"/>
  <c r="AB423" i="19"/>
  <c r="T423" i="19"/>
  <c r="G423" i="19"/>
  <c r="F423" i="19"/>
  <c r="AA422" i="19"/>
  <c r="S422" i="19"/>
  <c r="G422" i="19"/>
  <c r="F422" i="19"/>
  <c r="T421" i="19"/>
  <c r="G421" i="19"/>
  <c r="F421" i="19"/>
  <c r="E420" i="19"/>
  <c r="T418" i="19"/>
  <c r="R418" i="19"/>
  <c r="P418" i="19"/>
  <c r="N418" i="19"/>
  <c r="L418" i="19"/>
  <c r="H418" i="19"/>
  <c r="G418" i="19"/>
  <c r="F418" i="19"/>
  <c r="S417" i="19"/>
  <c r="Q417" i="19"/>
  <c r="O417" i="19"/>
  <c r="M417" i="19"/>
  <c r="K417" i="19"/>
  <c r="G417" i="19"/>
  <c r="F417" i="19"/>
  <c r="AD416" i="19"/>
  <c r="T416" i="19"/>
  <c r="R416" i="19"/>
  <c r="P416" i="19"/>
  <c r="N416" i="19"/>
  <c r="L416" i="19"/>
  <c r="H416" i="19"/>
  <c r="G416" i="19"/>
  <c r="F416" i="19"/>
  <c r="S415" i="19"/>
  <c r="G415" i="19"/>
  <c r="F415" i="19"/>
  <c r="T414" i="19"/>
  <c r="G414" i="19"/>
  <c r="F414" i="19"/>
  <c r="E413" i="19"/>
  <c r="R411" i="19"/>
  <c r="N411" i="19"/>
  <c r="G411" i="19"/>
  <c r="F411" i="19"/>
  <c r="AC410" i="19"/>
  <c r="Q410" i="19"/>
  <c r="M410" i="19"/>
  <c r="G410" i="19"/>
  <c r="F410" i="19"/>
  <c r="AB409" i="19"/>
  <c r="T409" i="19"/>
  <c r="G409" i="19"/>
  <c r="F409" i="19"/>
  <c r="AA408" i="19"/>
  <c r="S408" i="19"/>
  <c r="G408" i="19"/>
  <c r="F408" i="19"/>
  <c r="G407" i="19"/>
  <c r="F407" i="19"/>
  <c r="E406" i="19"/>
  <c r="T404" i="19"/>
  <c r="P404" i="19"/>
  <c r="L404" i="19"/>
  <c r="H404" i="19"/>
  <c r="G404" i="19"/>
  <c r="F404" i="19"/>
  <c r="S403" i="19"/>
  <c r="G403" i="19"/>
  <c r="F403" i="19"/>
  <c r="Z402" i="19"/>
  <c r="G402" i="19"/>
  <c r="F402" i="19"/>
  <c r="G401" i="19"/>
  <c r="F401" i="19"/>
  <c r="T400" i="19"/>
  <c r="G400" i="19"/>
  <c r="F400" i="19"/>
  <c r="E399" i="19"/>
  <c r="AD397" i="19"/>
  <c r="AC397" i="19"/>
  <c r="AB397" i="19"/>
  <c r="AA397" i="19"/>
  <c r="Z397" i="19"/>
  <c r="Y397" i="19"/>
  <c r="X397" i="19"/>
  <c r="W397" i="19"/>
  <c r="V397" i="19"/>
  <c r="U397" i="19"/>
  <c r="T397" i="19"/>
  <c r="S397" i="19"/>
  <c r="R397" i="19"/>
  <c r="Q397" i="19"/>
  <c r="P397" i="19"/>
  <c r="O397" i="19"/>
  <c r="N397" i="19"/>
  <c r="M397" i="19"/>
  <c r="L397" i="19"/>
  <c r="K397" i="19"/>
  <c r="E395" i="19"/>
  <c r="F392" i="19"/>
  <c r="T390" i="19"/>
  <c r="S390" i="19"/>
  <c r="S467" i="19" s="1"/>
  <c r="R390" i="19"/>
  <c r="Q390" i="19"/>
  <c r="Q467" i="19" s="1"/>
  <c r="P390" i="19"/>
  <c r="O390" i="19"/>
  <c r="O467" i="19" s="1"/>
  <c r="N390" i="19"/>
  <c r="M390" i="19"/>
  <c r="M467" i="19" s="1"/>
  <c r="L390" i="19"/>
  <c r="K390" i="19"/>
  <c r="H390" i="19"/>
  <c r="G390" i="19"/>
  <c r="F390" i="19"/>
  <c r="T389" i="19"/>
  <c r="T466" i="19" s="1"/>
  <c r="S389" i="19"/>
  <c r="R389" i="19"/>
  <c r="R466" i="19" s="1"/>
  <c r="Q389" i="19"/>
  <c r="P389" i="19"/>
  <c r="P466" i="19" s="1"/>
  <c r="O389" i="19"/>
  <c r="N389" i="19"/>
  <c r="N466" i="19" s="1"/>
  <c r="M389" i="19"/>
  <c r="L389" i="19"/>
  <c r="L466" i="19" s="1"/>
  <c r="K389" i="19"/>
  <c r="H389" i="19"/>
  <c r="G389" i="19"/>
  <c r="F389" i="19"/>
  <c r="T388" i="19"/>
  <c r="S388" i="19"/>
  <c r="S465" i="19" s="1"/>
  <c r="R388" i="19"/>
  <c r="Q388" i="19"/>
  <c r="Q465" i="19" s="1"/>
  <c r="P388" i="19"/>
  <c r="O388" i="19"/>
  <c r="O465" i="19" s="1"/>
  <c r="N388" i="19"/>
  <c r="M388" i="19"/>
  <c r="M465" i="19" s="1"/>
  <c r="L388" i="19"/>
  <c r="K388" i="19"/>
  <c r="H388" i="19"/>
  <c r="G388" i="19"/>
  <c r="F388" i="19"/>
  <c r="T387" i="19"/>
  <c r="T464" i="19" s="1"/>
  <c r="S387" i="19"/>
  <c r="R387" i="19"/>
  <c r="R464" i="19" s="1"/>
  <c r="Q387" i="19"/>
  <c r="P387" i="19"/>
  <c r="P464" i="19" s="1"/>
  <c r="O387" i="19"/>
  <c r="N387" i="19"/>
  <c r="N464" i="19" s="1"/>
  <c r="M387" i="19"/>
  <c r="L387" i="19"/>
  <c r="L464" i="19" s="1"/>
  <c r="K387" i="19"/>
  <c r="H387" i="19"/>
  <c r="G387" i="19"/>
  <c r="F387" i="19"/>
  <c r="T386" i="19"/>
  <c r="S386" i="19"/>
  <c r="S463" i="19" s="1"/>
  <c r="R386" i="19"/>
  <c r="Q386" i="19"/>
  <c r="Q463" i="19" s="1"/>
  <c r="P386" i="19"/>
  <c r="O386" i="19"/>
  <c r="O463" i="19" s="1"/>
  <c r="N386" i="19"/>
  <c r="M386" i="19"/>
  <c r="M463" i="19" s="1"/>
  <c r="L386" i="19"/>
  <c r="K386" i="19"/>
  <c r="H386" i="19"/>
  <c r="G386" i="19"/>
  <c r="F386" i="19"/>
  <c r="E385" i="19"/>
  <c r="T383" i="19"/>
  <c r="S383" i="19"/>
  <c r="S460" i="19" s="1"/>
  <c r="R383" i="19"/>
  <c r="Q383" i="19"/>
  <c r="Q460" i="19" s="1"/>
  <c r="P383" i="19"/>
  <c r="O383" i="19"/>
  <c r="O460" i="19" s="1"/>
  <c r="N383" i="19"/>
  <c r="M383" i="19"/>
  <c r="M460" i="19" s="1"/>
  <c r="L383" i="19"/>
  <c r="K383" i="19"/>
  <c r="H383" i="19"/>
  <c r="G383" i="19"/>
  <c r="F383" i="19"/>
  <c r="AD382" i="19"/>
  <c r="AD459" i="19" s="1"/>
  <c r="T382" i="19"/>
  <c r="T459" i="19" s="1"/>
  <c r="S382" i="19"/>
  <c r="R382" i="19"/>
  <c r="R459" i="19" s="1"/>
  <c r="Q382" i="19"/>
  <c r="P382" i="19"/>
  <c r="P459" i="19" s="1"/>
  <c r="O382" i="19"/>
  <c r="N382" i="19"/>
  <c r="N459" i="19" s="1"/>
  <c r="M382" i="19"/>
  <c r="L382" i="19"/>
  <c r="L459" i="19" s="1"/>
  <c r="K382" i="19"/>
  <c r="H382" i="19"/>
  <c r="G382" i="19"/>
  <c r="F382" i="19"/>
  <c r="T381" i="19"/>
  <c r="S381" i="19"/>
  <c r="S458" i="19" s="1"/>
  <c r="R381" i="19"/>
  <c r="Q381" i="19"/>
  <c r="Q458" i="19" s="1"/>
  <c r="P381" i="19"/>
  <c r="O381" i="19"/>
  <c r="O458" i="19" s="1"/>
  <c r="N381" i="19"/>
  <c r="M381" i="19"/>
  <c r="M458" i="19" s="1"/>
  <c r="L381" i="19"/>
  <c r="K381" i="19"/>
  <c r="H381" i="19"/>
  <c r="G381" i="19"/>
  <c r="F381" i="19"/>
  <c r="AD380" i="19"/>
  <c r="AD457" i="19" s="1"/>
  <c r="T380" i="19"/>
  <c r="T457" i="19" s="1"/>
  <c r="S380" i="19"/>
  <c r="R380" i="19"/>
  <c r="R457" i="19" s="1"/>
  <c r="Q380" i="19"/>
  <c r="P380" i="19"/>
  <c r="P457" i="19" s="1"/>
  <c r="O380" i="19"/>
  <c r="N380" i="19"/>
  <c r="N457" i="19" s="1"/>
  <c r="M380" i="19"/>
  <c r="L380" i="19"/>
  <c r="L457" i="19" s="1"/>
  <c r="K380" i="19"/>
  <c r="H380" i="19"/>
  <c r="G380" i="19"/>
  <c r="F380" i="19"/>
  <c r="T379" i="19"/>
  <c r="S379" i="19"/>
  <c r="S456" i="19" s="1"/>
  <c r="R379" i="19"/>
  <c r="Q379" i="19"/>
  <c r="Q456" i="19" s="1"/>
  <c r="P379" i="19"/>
  <c r="O379" i="19"/>
  <c r="O456" i="19" s="1"/>
  <c r="N379" i="19"/>
  <c r="M379" i="19"/>
  <c r="M456" i="19" s="1"/>
  <c r="L379" i="19"/>
  <c r="K379" i="19"/>
  <c r="H379" i="19"/>
  <c r="G379" i="19"/>
  <c r="F379" i="19"/>
  <c r="E378" i="19"/>
  <c r="F377" i="19"/>
  <c r="T376" i="19"/>
  <c r="S376" i="19"/>
  <c r="S453" i="19" s="1"/>
  <c r="R376" i="19"/>
  <c r="Q376" i="19"/>
  <c r="Q453" i="19" s="1"/>
  <c r="P376" i="19"/>
  <c r="O376" i="19"/>
  <c r="O453" i="19" s="1"/>
  <c r="N376" i="19"/>
  <c r="M376" i="19"/>
  <c r="M453" i="19" s="1"/>
  <c r="L376" i="19"/>
  <c r="K376" i="19"/>
  <c r="H376" i="19"/>
  <c r="G376" i="19"/>
  <c r="F376" i="19"/>
  <c r="T375" i="19"/>
  <c r="T452" i="19" s="1"/>
  <c r="S375" i="19"/>
  <c r="R375" i="19"/>
  <c r="R452" i="19" s="1"/>
  <c r="Q375" i="19"/>
  <c r="P375" i="19"/>
  <c r="P452" i="19" s="1"/>
  <c r="O375" i="19"/>
  <c r="N375" i="19"/>
  <c r="N452" i="19" s="1"/>
  <c r="M375" i="19"/>
  <c r="L375" i="19"/>
  <c r="L452" i="19" s="1"/>
  <c r="K375" i="19"/>
  <c r="H375" i="19"/>
  <c r="G375" i="19"/>
  <c r="F375" i="19"/>
  <c r="T374" i="19"/>
  <c r="S374" i="19"/>
  <c r="S451" i="19" s="1"/>
  <c r="R374" i="19"/>
  <c r="Q374" i="19"/>
  <c r="Q451" i="19" s="1"/>
  <c r="P374" i="19"/>
  <c r="O374" i="19"/>
  <c r="O451" i="19" s="1"/>
  <c r="N374" i="19"/>
  <c r="M374" i="19"/>
  <c r="M451" i="19" s="1"/>
  <c r="L374" i="19"/>
  <c r="K374" i="19"/>
  <c r="H374" i="19"/>
  <c r="G374" i="19"/>
  <c r="F374" i="19"/>
  <c r="T373" i="19"/>
  <c r="T450" i="19" s="1"/>
  <c r="S373" i="19"/>
  <c r="R373" i="19"/>
  <c r="R450" i="19" s="1"/>
  <c r="Q373" i="19"/>
  <c r="P373" i="19"/>
  <c r="P450" i="19" s="1"/>
  <c r="O373" i="19"/>
  <c r="N373" i="19"/>
  <c r="N450" i="19" s="1"/>
  <c r="M373" i="19"/>
  <c r="L373" i="19"/>
  <c r="L450" i="19" s="1"/>
  <c r="K373" i="19"/>
  <c r="H373" i="19"/>
  <c r="G373" i="19"/>
  <c r="F373" i="19"/>
  <c r="T372" i="19"/>
  <c r="S372" i="19"/>
  <c r="S449" i="19" s="1"/>
  <c r="R372" i="19"/>
  <c r="Q372" i="19"/>
  <c r="Q449" i="19" s="1"/>
  <c r="P372" i="19"/>
  <c r="O372" i="19"/>
  <c r="O449" i="19" s="1"/>
  <c r="N372" i="19"/>
  <c r="M372" i="19"/>
  <c r="M449" i="19" s="1"/>
  <c r="L372" i="19"/>
  <c r="K372" i="19"/>
  <c r="H372" i="19"/>
  <c r="G372" i="19"/>
  <c r="F372" i="19"/>
  <c r="E371" i="19"/>
  <c r="T369" i="19"/>
  <c r="S369" i="19"/>
  <c r="S446" i="19" s="1"/>
  <c r="R369" i="19"/>
  <c r="Q369" i="19"/>
  <c r="Q446" i="19" s="1"/>
  <c r="P369" i="19"/>
  <c r="O369" i="19"/>
  <c r="O446" i="19" s="1"/>
  <c r="N369" i="19"/>
  <c r="M369" i="19"/>
  <c r="M446" i="19" s="1"/>
  <c r="L369" i="19"/>
  <c r="K369" i="19"/>
  <c r="H369" i="19"/>
  <c r="G369" i="19"/>
  <c r="F369" i="19"/>
  <c r="AD368" i="19"/>
  <c r="AD445" i="19" s="1"/>
  <c r="T368" i="19"/>
  <c r="T445" i="19" s="1"/>
  <c r="S368" i="19"/>
  <c r="R368" i="19"/>
  <c r="R445" i="19" s="1"/>
  <c r="Q368" i="19"/>
  <c r="P368" i="19"/>
  <c r="P445" i="19" s="1"/>
  <c r="O368" i="19"/>
  <c r="N368" i="19"/>
  <c r="N445" i="19" s="1"/>
  <c r="M368" i="19"/>
  <c r="L368" i="19"/>
  <c r="L445" i="19" s="1"/>
  <c r="K368" i="19"/>
  <c r="H368" i="19"/>
  <c r="G368" i="19"/>
  <c r="F368" i="19"/>
  <c r="T367" i="19"/>
  <c r="S367" i="19"/>
  <c r="S444" i="19" s="1"/>
  <c r="R367" i="19"/>
  <c r="Q367" i="19"/>
  <c r="Q444" i="19" s="1"/>
  <c r="P367" i="19"/>
  <c r="O367" i="19"/>
  <c r="O444" i="19" s="1"/>
  <c r="N367" i="19"/>
  <c r="M367" i="19"/>
  <c r="M444" i="19" s="1"/>
  <c r="L367" i="19"/>
  <c r="K367" i="19"/>
  <c r="H367" i="19"/>
  <c r="G367" i="19"/>
  <c r="F367" i="19"/>
  <c r="AD366" i="19"/>
  <c r="AD443" i="19" s="1"/>
  <c r="T366" i="19"/>
  <c r="T443" i="19" s="1"/>
  <c r="S366" i="19"/>
  <c r="R366" i="19"/>
  <c r="R443" i="19" s="1"/>
  <c r="Q366" i="19"/>
  <c r="P366" i="19"/>
  <c r="P443" i="19" s="1"/>
  <c r="O366" i="19"/>
  <c r="N366" i="19"/>
  <c r="N443" i="19" s="1"/>
  <c r="M366" i="19"/>
  <c r="L366" i="19"/>
  <c r="L443" i="19" s="1"/>
  <c r="K366" i="19"/>
  <c r="H366" i="19"/>
  <c r="G366" i="19"/>
  <c r="F366" i="19"/>
  <c r="T365" i="19"/>
  <c r="S365" i="19"/>
  <c r="S442" i="19" s="1"/>
  <c r="R365" i="19"/>
  <c r="Q365" i="19"/>
  <c r="Q442" i="19" s="1"/>
  <c r="P365" i="19"/>
  <c r="O365" i="19"/>
  <c r="O442" i="19" s="1"/>
  <c r="N365" i="19"/>
  <c r="M365" i="19"/>
  <c r="M442" i="19" s="1"/>
  <c r="L365" i="19"/>
  <c r="K365" i="19"/>
  <c r="H365" i="19"/>
  <c r="G365" i="19"/>
  <c r="F365" i="19"/>
  <c r="E364" i="19"/>
  <c r="T362" i="19"/>
  <c r="S362" i="19"/>
  <c r="S439" i="19" s="1"/>
  <c r="R362" i="19"/>
  <c r="Q362" i="19"/>
  <c r="Q439" i="19" s="1"/>
  <c r="P362" i="19"/>
  <c r="O362" i="19"/>
  <c r="O439" i="19" s="1"/>
  <c r="N362" i="19"/>
  <c r="M362" i="19"/>
  <c r="M439" i="19" s="1"/>
  <c r="L362" i="19"/>
  <c r="K362" i="19"/>
  <c r="H362" i="19"/>
  <c r="G362" i="19"/>
  <c r="F362" i="19"/>
  <c r="T361" i="19"/>
  <c r="T438" i="19" s="1"/>
  <c r="S361" i="19"/>
  <c r="R361" i="19"/>
  <c r="R438" i="19" s="1"/>
  <c r="Q361" i="19"/>
  <c r="P361" i="19"/>
  <c r="P438" i="19" s="1"/>
  <c r="O361" i="19"/>
  <c r="N361" i="19"/>
  <c r="N438" i="19" s="1"/>
  <c r="M361" i="19"/>
  <c r="L361" i="19"/>
  <c r="L438" i="19" s="1"/>
  <c r="K361" i="19"/>
  <c r="H361" i="19"/>
  <c r="G361" i="19"/>
  <c r="F361" i="19"/>
  <c r="T360" i="19"/>
  <c r="S360" i="19"/>
  <c r="S437" i="19" s="1"/>
  <c r="R360" i="19"/>
  <c r="Q360" i="19"/>
  <c r="Q437" i="19" s="1"/>
  <c r="P360" i="19"/>
  <c r="O360" i="19"/>
  <c r="O437" i="19" s="1"/>
  <c r="N360" i="19"/>
  <c r="M360" i="19"/>
  <c r="M437" i="19" s="1"/>
  <c r="L360" i="19"/>
  <c r="K360" i="19"/>
  <c r="H360" i="19"/>
  <c r="G360" i="19"/>
  <c r="F360" i="19"/>
  <c r="T359" i="19"/>
  <c r="T436" i="19" s="1"/>
  <c r="S359" i="19"/>
  <c r="R359" i="19"/>
  <c r="R436" i="19" s="1"/>
  <c r="Q359" i="19"/>
  <c r="P359" i="19"/>
  <c r="P436" i="19" s="1"/>
  <c r="O359" i="19"/>
  <c r="N359" i="19"/>
  <c r="N436" i="19" s="1"/>
  <c r="M359" i="19"/>
  <c r="L359" i="19"/>
  <c r="L436" i="19" s="1"/>
  <c r="K359" i="19"/>
  <c r="H359" i="19"/>
  <c r="G359" i="19"/>
  <c r="F359" i="19"/>
  <c r="T358" i="19"/>
  <c r="S358" i="19"/>
  <c r="S435" i="19" s="1"/>
  <c r="R358" i="19"/>
  <c r="Q358" i="19"/>
  <c r="Q435" i="19" s="1"/>
  <c r="P358" i="19"/>
  <c r="O358" i="19"/>
  <c r="O435" i="19" s="1"/>
  <c r="N358" i="19"/>
  <c r="M358" i="19"/>
  <c r="M435" i="19" s="1"/>
  <c r="L358" i="19"/>
  <c r="K358" i="19"/>
  <c r="H358" i="19"/>
  <c r="G358" i="19"/>
  <c r="F358" i="19"/>
  <c r="E357" i="19"/>
  <c r="T355" i="19"/>
  <c r="S355" i="19"/>
  <c r="S432" i="19" s="1"/>
  <c r="R355" i="19"/>
  <c r="Q355" i="19"/>
  <c r="Q432" i="19" s="1"/>
  <c r="P355" i="19"/>
  <c r="O355" i="19"/>
  <c r="O432" i="19" s="1"/>
  <c r="N355" i="19"/>
  <c r="M355" i="19"/>
  <c r="M432" i="19" s="1"/>
  <c r="L355" i="19"/>
  <c r="K355" i="19"/>
  <c r="H355" i="19"/>
  <c r="G355" i="19"/>
  <c r="F355" i="19"/>
  <c r="AD354" i="19"/>
  <c r="AD431" i="19" s="1"/>
  <c r="T354" i="19"/>
  <c r="T431" i="19" s="1"/>
  <c r="S354" i="19"/>
  <c r="R354" i="19"/>
  <c r="R431" i="19" s="1"/>
  <c r="Q354" i="19"/>
  <c r="P354" i="19"/>
  <c r="P431" i="19" s="1"/>
  <c r="O354" i="19"/>
  <c r="N354" i="19"/>
  <c r="N431" i="19" s="1"/>
  <c r="M354" i="19"/>
  <c r="L354" i="19"/>
  <c r="L431" i="19" s="1"/>
  <c r="K354" i="19"/>
  <c r="H354" i="19"/>
  <c r="G354" i="19"/>
  <c r="F354" i="19"/>
  <c r="T353" i="19"/>
  <c r="S353" i="19"/>
  <c r="S430" i="19" s="1"/>
  <c r="G353" i="19"/>
  <c r="F353" i="19"/>
  <c r="T352" i="19"/>
  <c r="T429" i="19" s="1"/>
  <c r="S352" i="19"/>
  <c r="G352" i="19"/>
  <c r="F352" i="19"/>
  <c r="T351" i="19"/>
  <c r="S351" i="19"/>
  <c r="S428" i="19" s="1"/>
  <c r="G351" i="19"/>
  <c r="F351" i="19"/>
  <c r="E350" i="19"/>
  <c r="AA348" i="19"/>
  <c r="AA425" i="19" s="1"/>
  <c r="T348" i="19"/>
  <c r="S348" i="19"/>
  <c r="S425" i="19" s="1"/>
  <c r="R348" i="19"/>
  <c r="Q348" i="19"/>
  <c r="Q425" i="19" s="1"/>
  <c r="P348" i="19"/>
  <c r="O348" i="19"/>
  <c r="O425" i="19" s="1"/>
  <c r="N348" i="19"/>
  <c r="M348" i="19"/>
  <c r="M425" i="19" s="1"/>
  <c r="L348" i="19"/>
  <c r="K348" i="19"/>
  <c r="H348" i="19"/>
  <c r="G348" i="19"/>
  <c r="F348" i="19"/>
  <c r="T347" i="19"/>
  <c r="T424" i="19" s="1"/>
  <c r="S347" i="19"/>
  <c r="R347" i="19"/>
  <c r="R424" i="19" s="1"/>
  <c r="Q347" i="19"/>
  <c r="P347" i="19"/>
  <c r="P424" i="19" s="1"/>
  <c r="O347" i="19"/>
  <c r="N347" i="19"/>
  <c r="N424" i="19" s="1"/>
  <c r="M347" i="19"/>
  <c r="L347" i="19"/>
  <c r="L424" i="19" s="1"/>
  <c r="K347" i="19"/>
  <c r="H347" i="19"/>
  <c r="G347" i="19"/>
  <c r="F347" i="19"/>
  <c r="AA346" i="19"/>
  <c r="AA423" i="19" s="1"/>
  <c r="T346" i="19"/>
  <c r="S346" i="19"/>
  <c r="S423" i="19" s="1"/>
  <c r="G346" i="19"/>
  <c r="F346" i="19"/>
  <c r="T345" i="19"/>
  <c r="T422" i="19" s="1"/>
  <c r="S345" i="19"/>
  <c r="G345" i="19"/>
  <c r="F345" i="19"/>
  <c r="AC344" i="19"/>
  <c r="AC421" i="19" s="1"/>
  <c r="T344" i="19"/>
  <c r="S344" i="19"/>
  <c r="S421" i="19" s="1"/>
  <c r="G344" i="19"/>
  <c r="F344" i="19"/>
  <c r="E343" i="19"/>
  <c r="T341" i="19"/>
  <c r="S341" i="19"/>
  <c r="S418" i="19" s="1"/>
  <c r="R341" i="19"/>
  <c r="Q341" i="19"/>
  <c r="Q418" i="19" s="1"/>
  <c r="P341" i="19"/>
  <c r="O341" i="19"/>
  <c r="O418" i="19" s="1"/>
  <c r="N341" i="19"/>
  <c r="M341" i="19"/>
  <c r="M418" i="19" s="1"/>
  <c r="L341" i="19"/>
  <c r="K341" i="19"/>
  <c r="H341" i="19"/>
  <c r="G341" i="19"/>
  <c r="F341" i="19"/>
  <c r="AD340" i="19"/>
  <c r="AD417" i="19" s="1"/>
  <c r="T340" i="19"/>
  <c r="T417" i="19" s="1"/>
  <c r="S340" i="19"/>
  <c r="R340" i="19"/>
  <c r="R417" i="19" s="1"/>
  <c r="Q340" i="19"/>
  <c r="P340" i="19"/>
  <c r="P417" i="19" s="1"/>
  <c r="O340" i="19"/>
  <c r="N340" i="19"/>
  <c r="N417" i="19" s="1"/>
  <c r="M340" i="19"/>
  <c r="L340" i="19"/>
  <c r="L417" i="19" s="1"/>
  <c r="K340" i="19"/>
  <c r="H340" i="19"/>
  <c r="G340" i="19"/>
  <c r="F340" i="19"/>
  <c r="T339" i="19"/>
  <c r="S339" i="19"/>
  <c r="S416" i="19" s="1"/>
  <c r="R339" i="19"/>
  <c r="Q339" i="19"/>
  <c r="Q416" i="19" s="1"/>
  <c r="P339" i="19"/>
  <c r="O339" i="19"/>
  <c r="O416" i="19" s="1"/>
  <c r="N339" i="19"/>
  <c r="M339" i="19"/>
  <c r="M416" i="19" s="1"/>
  <c r="L339" i="19"/>
  <c r="K339" i="19"/>
  <c r="H339" i="19"/>
  <c r="G339" i="19"/>
  <c r="F339" i="19"/>
  <c r="AD338" i="19"/>
  <c r="AD415" i="19" s="1"/>
  <c r="T338" i="19"/>
  <c r="T415" i="19" s="1"/>
  <c r="S338" i="19"/>
  <c r="G338" i="19"/>
  <c r="F338" i="19"/>
  <c r="T337" i="19"/>
  <c r="S337" i="19"/>
  <c r="S414" i="19" s="1"/>
  <c r="G337" i="19"/>
  <c r="F337" i="19"/>
  <c r="E336" i="19"/>
  <c r="AC334" i="19"/>
  <c r="AC411" i="19" s="1"/>
  <c r="T334" i="19"/>
  <c r="T411" i="19" s="1"/>
  <c r="S334" i="19"/>
  <c r="S411" i="19" s="1"/>
  <c r="R334" i="19"/>
  <c r="Q334" i="19"/>
  <c r="Q411" i="19" s="1"/>
  <c r="P334" i="19"/>
  <c r="P411" i="19" s="1"/>
  <c r="O334" i="19"/>
  <c r="O411" i="19" s="1"/>
  <c r="N334" i="19"/>
  <c r="M334" i="19"/>
  <c r="M411" i="19" s="1"/>
  <c r="L334" i="19"/>
  <c r="L411" i="19" s="1"/>
  <c r="K334" i="19"/>
  <c r="H334" i="19"/>
  <c r="H411" i="19" s="1"/>
  <c r="G334" i="19"/>
  <c r="F334" i="19"/>
  <c r="AB333" i="19"/>
  <c r="AB410" i="19" s="1"/>
  <c r="T333" i="19"/>
  <c r="T410" i="19" s="1"/>
  <c r="S333" i="19"/>
  <c r="S410" i="19" s="1"/>
  <c r="R333" i="19"/>
  <c r="R410" i="19" s="1"/>
  <c r="Q333" i="19"/>
  <c r="P333" i="19"/>
  <c r="P410" i="19" s="1"/>
  <c r="O333" i="19"/>
  <c r="O410" i="19" s="1"/>
  <c r="N333" i="19"/>
  <c r="N410" i="19" s="1"/>
  <c r="M333" i="19"/>
  <c r="L333" i="19"/>
  <c r="L410" i="19" s="1"/>
  <c r="K333" i="19"/>
  <c r="K410" i="19" s="1"/>
  <c r="H333" i="19"/>
  <c r="G333" i="19"/>
  <c r="F333" i="19"/>
  <c r="AC332" i="19"/>
  <c r="AC409" i="19" s="1"/>
  <c r="T332" i="19"/>
  <c r="S332" i="19"/>
  <c r="S409" i="19" s="1"/>
  <c r="G332" i="19"/>
  <c r="F332" i="19"/>
  <c r="T331" i="19"/>
  <c r="T408" i="19" s="1"/>
  <c r="S331" i="19"/>
  <c r="G331" i="19"/>
  <c r="F331" i="19"/>
  <c r="AA330" i="19"/>
  <c r="AA407" i="19" s="1"/>
  <c r="T330" i="19"/>
  <c r="T407" i="19" s="1"/>
  <c r="S330" i="19"/>
  <c r="S407" i="19" s="1"/>
  <c r="G330" i="19"/>
  <c r="F330" i="19"/>
  <c r="E329" i="19"/>
  <c r="T327" i="19"/>
  <c r="S327" i="19"/>
  <c r="S404" i="19" s="1"/>
  <c r="R327" i="19"/>
  <c r="R404" i="19" s="1"/>
  <c r="Q327" i="19"/>
  <c r="Q404" i="19" s="1"/>
  <c r="P327" i="19"/>
  <c r="O327" i="19"/>
  <c r="O404" i="19" s="1"/>
  <c r="N327" i="19"/>
  <c r="N404" i="19" s="1"/>
  <c r="M327" i="19"/>
  <c r="M404" i="19" s="1"/>
  <c r="L327" i="19"/>
  <c r="K327" i="19"/>
  <c r="H327" i="19"/>
  <c r="G327" i="19"/>
  <c r="F327" i="19"/>
  <c r="T326" i="19"/>
  <c r="T403" i="19" s="1"/>
  <c r="S326" i="19"/>
  <c r="G326" i="19"/>
  <c r="F326" i="19"/>
  <c r="T325" i="19"/>
  <c r="T402" i="19" s="1"/>
  <c r="S325" i="19"/>
  <c r="S402" i="19" s="1"/>
  <c r="G325" i="19"/>
  <c r="F325" i="19"/>
  <c r="AD324" i="19"/>
  <c r="AD401" i="19" s="1"/>
  <c r="Z324" i="19"/>
  <c r="Z401" i="19" s="1"/>
  <c r="T324" i="19"/>
  <c r="T401" i="19" s="1"/>
  <c r="S324" i="19"/>
  <c r="S401" i="19" s="1"/>
  <c r="G324" i="19"/>
  <c r="F324" i="19"/>
  <c r="T323" i="19"/>
  <c r="S323" i="19"/>
  <c r="S400" i="19" s="1"/>
  <c r="G323" i="19"/>
  <c r="F323" i="19"/>
  <c r="E322" i="19"/>
  <c r="AD320" i="19"/>
  <c r="AC320" i="19"/>
  <c r="AB320" i="19"/>
  <c r="AA320" i="19"/>
  <c r="Z320" i="19"/>
  <c r="Y320" i="19"/>
  <c r="X320" i="19"/>
  <c r="W320" i="19"/>
  <c r="V320" i="19"/>
  <c r="U320" i="19"/>
  <c r="T320" i="19"/>
  <c r="S320" i="19"/>
  <c r="R320" i="19"/>
  <c r="Q320" i="19"/>
  <c r="P320" i="19"/>
  <c r="O320" i="19"/>
  <c r="N320" i="19"/>
  <c r="M320" i="19"/>
  <c r="L320" i="19"/>
  <c r="K320" i="19"/>
  <c r="E318" i="19"/>
  <c r="G312" i="19"/>
  <c r="F312" i="19"/>
  <c r="H311" i="19"/>
  <c r="G311" i="19"/>
  <c r="F311" i="19"/>
  <c r="G310" i="19"/>
  <c r="F310" i="19"/>
  <c r="AD309" i="19"/>
  <c r="G309" i="19"/>
  <c r="F309" i="19"/>
  <c r="G308" i="19"/>
  <c r="F308" i="19"/>
  <c r="E307" i="19"/>
  <c r="R305" i="19"/>
  <c r="P305" i="19"/>
  <c r="N305" i="19"/>
  <c r="L305" i="19"/>
  <c r="H305" i="19"/>
  <c r="G305" i="19"/>
  <c r="F305" i="19"/>
  <c r="S304" i="19"/>
  <c r="Q304" i="19"/>
  <c r="O304" i="19"/>
  <c r="M304" i="19"/>
  <c r="K304" i="19"/>
  <c r="G304" i="19"/>
  <c r="F304" i="19"/>
  <c r="T303" i="19"/>
  <c r="R303" i="19"/>
  <c r="P303" i="19"/>
  <c r="N303" i="19"/>
  <c r="L303" i="19"/>
  <c r="H303" i="19"/>
  <c r="G303" i="19"/>
  <c r="F303" i="19"/>
  <c r="S302" i="19"/>
  <c r="Q302" i="19"/>
  <c r="O302" i="19"/>
  <c r="M302" i="19"/>
  <c r="K302" i="19"/>
  <c r="G302" i="19"/>
  <c r="F302" i="19"/>
  <c r="T301" i="19"/>
  <c r="R301" i="19"/>
  <c r="P301" i="19"/>
  <c r="N301" i="19"/>
  <c r="L301" i="19"/>
  <c r="H301" i="19"/>
  <c r="G301" i="19"/>
  <c r="F301" i="19"/>
  <c r="E300" i="19"/>
  <c r="T298" i="19"/>
  <c r="R298" i="19"/>
  <c r="P298" i="19"/>
  <c r="N298" i="19"/>
  <c r="L298" i="19"/>
  <c r="H298" i="19"/>
  <c r="G298" i="19"/>
  <c r="F298" i="19"/>
  <c r="S297" i="19"/>
  <c r="Q297" i="19"/>
  <c r="O297" i="19"/>
  <c r="M297" i="19"/>
  <c r="K297" i="19"/>
  <c r="G297" i="19"/>
  <c r="F297" i="19"/>
  <c r="T296" i="19"/>
  <c r="R296" i="19"/>
  <c r="P296" i="19"/>
  <c r="N296" i="19"/>
  <c r="L296" i="19"/>
  <c r="H296" i="19"/>
  <c r="G296" i="19"/>
  <c r="F296" i="19"/>
  <c r="S295" i="19"/>
  <c r="Q295" i="19"/>
  <c r="O295" i="19"/>
  <c r="M295" i="19"/>
  <c r="K295" i="19"/>
  <c r="G295" i="19"/>
  <c r="F295" i="19"/>
  <c r="T294" i="19"/>
  <c r="R294" i="19"/>
  <c r="P294" i="19"/>
  <c r="N294" i="19"/>
  <c r="L294" i="19"/>
  <c r="H294" i="19"/>
  <c r="G294" i="19"/>
  <c r="F294" i="19"/>
  <c r="E293" i="19"/>
  <c r="T291" i="19"/>
  <c r="R291" i="19"/>
  <c r="P291" i="19"/>
  <c r="N291" i="19"/>
  <c r="L291" i="19"/>
  <c r="H291" i="19"/>
  <c r="G291" i="19"/>
  <c r="F291" i="19"/>
  <c r="S290" i="19"/>
  <c r="Q290" i="19"/>
  <c r="O290" i="19"/>
  <c r="M290" i="19"/>
  <c r="K290" i="19"/>
  <c r="G290" i="19"/>
  <c r="F290" i="19"/>
  <c r="T289" i="19"/>
  <c r="R289" i="19"/>
  <c r="P289" i="19"/>
  <c r="N289" i="19"/>
  <c r="L289" i="19"/>
  <c r="H289" i="19"/>
  <c r="G289" i="19"/>
  <c r="F289" i="19"/>
  <c r="S288" i="19"/>
  <c r="Q288" i="19"/>
  <c r="O288" i="19"/>
  <c r="M288" i="19"/>
  <c r="K288" i="19"/>
  <c r="G288" i="19"/>
  <c r="F288" i="19"/>
  <c r="T287" i="19"/>
  <c r="R287" i="19"/>
  <c r="P287" i="19"/>
  <c r="N287" i="19"/>
  <c r="L287" i="19"/>
  <c r="H287" i="19"/>
  <c r="G287" i="19"/>
  <c r="F287" i="19"/>
  <c r="E286" i="19"/>
  <c r="T284" i="19"/>
  <c r="R284" i="19"/>
  <c r="P284" i="19"/>
  <c r="N284" i="19"/>
  <c r="L284" i="19"/>
  <c r="H284" i="19"/>
  <c r="G284" i="19"/>
  <c r="F284" i="19"/>
  <c r="S283" i="19"/>
  <c r="Q283" i="19"/>
  <c r="O283" i="19"/>
  <c r="M283" i="19"/>
  <c r="K283" i="19"/>
  <c r="G283" i="19"/>
  <c r="F283" i="19"/>
  <c r="T282" i="19"/>
  <c r="R282" i="19"/>
  <c r="P282" i="19"/>
  <c r="N282" i="19"/>
  <c r="L282" i="19"/>
  <c r="H282" i="19"/>
  <c r="G282" i="19"/>
  <c r="F282" i="19"/>
  <c r="S281" i="19"/>
  <c r="Q281" i="19"/>
  <c r="O281" i="19"/>
  <c r="M281" i="19"/>
  <c r="K281" i="19"/>
  <c r="G281" i="19"/>
  <c r="F281" i="19"/>
  <c r="T280" i="19"/>
  <c r="R280" i="19"/>
  <c r="P280" i="19"/>
  <c r="N280" i="19"/>
  <c r="L280" i="19"/>
  <c r="H280" i="19"/>
  <c r="G280" i="19"/>
  <c r="F280" i="19"/>
  <c r="E279" i="19"/>
  <c r="T277" i="19"/>
  <c r="R277" i="19"/>
  <c r="P277" i="19"/>
  <c r="N277" i="19"/>
  <c r="L277" i="19"/>
  <c r="H277" i="19"/>
  <c r="G277" i="19"/>
  <c r="F277" i="19"/>
  <c r="S276" i="19"/>
  <c r="Q276" i="19"/>
  <c r="O276" i="19"/>
  <c r="M276" i="19"/>
  <c r="K276" i="19"/>
  <c r="G276" i="19"/>
  <c r="F276" i="19"/>
  <c r="T275" i="19"/>
  <c r="G275" i="19"/>
  <c r="F275" i="19"/>
  <c r="S274" i="19"/>
  <c r="G274" i="19"/>
  <c r="F274" i="19"/>
  <c r="T273" i="19"/>
  <c r="G273" i="19"/>
  <c r="F273" i="19"/>
  <c r="E272" i="19"/>
  <c r="T270" i="19"/>
  <c r="R270" i="19"/>
  <c r="P270" i="19"/>
  <c r="N270" i="19"/>
  <c r="L270" i="19"/>
  <c r="H270" i="19"/>
  <c r="G270" i="19"/>
  <c r="F270" i="19"/>
  <c r="S269" i="19"/>
  <c r="Q269" i="19"/>
  <c r="O269" i="19"/>
  <c r="M269" i="19"/>
  <c r="K269" i="19"/>
  <c r="G269" i="19"/>
  <c r="F269" i="19"/>
  <c r="T268" i="19"/>
  <c r="G268" i="19"/>
  <c r="F268" i="19"/>
  <c r="S267" i="19"/>
  <c r="G267" i="19"/>
  <c r="F267" i="19"/>
  <c r="T266" i="19"/>
  <c r="G266" i="19"/>
  <c r="F266" i="19"/>
  <c r="E265" i="19"/>
  <c r="T263" i="19"/>
  <c r="R263" i="19"/>
  <c r="P263" i="19"/>
  <c r="N263" i="19"/>
  <c r="L263" i="19"/>
  <c r="H263" i="19"/>
  <c r="G263" i="19"/>
  <c r="F263" i="19"/>
  <c r="S262" i="19"/>
  <c r="Q262" i="19"/>
  <c r="O262" i="19"/>
  <c r="M262" i="19"/>
  <c r="K262" i="19"/>
  <c r="G262" i="19"/>
  <c r="F262" i="19"/>
  <c r="T261" i="19"/>
  <c r="R261" i="19"/>
  <c r="P261" i="19"/>
  <c r="N261" i="19"/>
  <c r="L261" i="19"/>
  <c r="H261" i="19"/>
  <c r="G261" i="19"/>
  <c r="F261" i="19"/>
  <c r="S260" i="19"/>
  <c r="G260" i="19"/>
  <c r="F260" i="19"/>
  <c r="T259" i="19"/>
  <c r="G259" i="19"/>
  <c r="F259" i="19"/>
  <c r="E258" i="19"/>
  <c r="T256" i="19"/>
  <c r="R256" i="19"/>
  <c r="P256" i="19"/>
  <c r="N256" i="19"/>
  <c r="L256" i="19"/>
  <c r="H256" i="19"/>
  <c r="G256" i="19"/>
  <c r="F256" i="19"/>
  <c r="S255" i="19"/>
  <c r="Q255" i="19"/>
  <c r="O255" i="19"/>
  <c r="M255" i="19"/>
  <c r="K255" i="19"/>
  <c r="G255" i="19"/>
  <c r="F255" i="19"/>
  <c r="T254" i="19"/>
  <c r="G254" i="19"/>
  <c r="F254" i="19"/>
  <c r="S253" i="19"/>
  <c r="G253" i="19"/>
  <c r="F253" i="19"/>
  <c r="T252" i="19"/>
  <c r="G252" i="19"/>
  <c r="F252" i="19"/>
  <c r="E251" i="19"/>
  <c r="T249" i="19"/>
  <c r="R249" i="19"/>
  <c r="P249" i="19"/>
  <c r="N249" i="19"/>
  <c r="L249" i="19"/>
  <c r="H249" i="19"/>
  <c r="G249" i="19"/>
  <c r="F249" i="19"/>
  <c r="S248" i="19"/>
  <c r="G248" i="19"/>
  <c r="F248" i="19"/>
  <c r="T247" i="19"/>
  <c r="G247" i="19"/>
  <c r="F247" i="19"/>
  <c r="S246" i="19"/>
  <c r="G246" i="19"/>
  <c r="F246" i="19"/>
  <c r="T245" i="19"/>
  <c r="G245" i="19"/>
  <c r="F245" i="19"/>
  <c r="E244" i="19"/>
  <c r="AD242" i="19"/>
  <c r="AC242" i="19"/>
  <c r="AB242" i="19"/>
  <c r="AA242" i="19"/>
  <c r="Z242" i="19"/>
  <c r="Y242" i="19"/>
  <c r="X242" i="19"/>
  <c r="W242" i="19"/>
  <c r="V242" i="19"/>
  <c r="U242" i="19"/>
  <c r="T242" i="19"/>
  <c r="S242" i="19"/>
  <c r="R242" i="19"/>
  <c r="Q242" i="19"/>
  <c r="P242" i="19"/>
  <c r="O242" i="19"/>
  <c r="N242" i="19"/>
  <c r="M242" i="19"/>
  <c r="L242" i="19"/>
  <c r="K242" i="19"/>
  <c r="E240" i="19"/>
  <c r="F237" i="19"/>
  <c r="T235" i="19"/>
  <c r="T312" i="19" s="1"/>
  <c r="S235" i="19"/>
  <c r="S312" i="19" s="1"/>
  <c r="R235" i="19"/>
  <c r="R312" i="19" s="1"/>
  <c r="Q235" i="19"/>
  <c r="Q312" i="19" s="1"/>
  <c r="P235" i="19"/>
  <c r="P312" i="19" s="1"/>
  <c r="O235" i="19"/>
  <c r="O312" i="19" s="1"/>
  <c r="N235" i="19"/>
  <c r="N312" i="19" s="1"/>
  <c r="M235" i="19"/>
  <c r="M312" i="19" s="1"/>
  <c r="L235" i="19"/>
  <c r="L312" i="19" s="1"/>
  <c r="K235" i="19"/>
  <c r="H235" i="19"/>
  <c r="H312" i="19" s="1"/>
  <c r="G235" i="19"/>
  <c r="F235" i="19"/>
  <c r="AD234" i="19"/>
  <c r="AD311" i="19" s="1"/>
  <c r="Z234" i="19"/>
  <c r="Z311" i="19" s="1"/>
  <c r="T234" i="19"/>
  <c r="T311" i="19" s="1"/>
  <c r="S234" i="19"/>
  <c r="S311" i="19" s="1"/>
  <c r="R234" i="19"/>
  <c r="R311" i="19" s="1"/>
  <c r="Q234" i="19"/>
  <c r="Q311" i="19" s="1"/>
  <c r="P234" i="19"/>
  <c r="P311" i="19" s="1"/>
  <c r="O234" i="19"/>
  <c r="O311" i="19" s="1"/>
  <c r="N234" i="19"/>
  <c r="N311" i="19" s="1"/>
  <c r="M234" i="19"/>
  <c r="M311" i="19" s="1"/>
  <c r="L234" i="19"/>
  <c r="L311" i="19" s="1"/>
  <c r="K234" i="19"/>
  <c r="K311" i="19" s="1"/>
  <c r="H234" i="19"/>
  <c r="G234" i="19"/>
  <c r="F234" i="19"/>
  <c r="T233" i="19"/>
  <c r="T310" i="19" s="1"/>
  <c r="S233" i="19"/>
  <c r="S310" i="19" s="1"/>
  <c r="R233" i="19"/>
  <c r="R310" i="19" s="1"/>
  <c r="Q233" i="19"/>
  <c r="Q310" i="19" s="1"/>
  <c r="P233" i="19"/>
  <c r="P310" i="19" s="1"/>
  <c r="O233" i="19"/>
  <c r="O310" i="19" s="1"/>
  <c r="N233" i="19"/>
  <c r="N310" i="19" s="1"/>
  <c r="M233" i="19"/>
  <c r="M310" i="19" s="1"/>
  <c r="L233" i="19"/>
  <c r="L310" i="19" s="1"/>
  <c r="K233" i="19"/>
  <c r="K310" i="19" s="1"/>
  <c r="H233" i="19"/>
  <c r="H310" i="19" s="1"/>
  <c r="G233" i="19"/>
  <c r="F233" i="19"/>
  <c r="AD232" i="19"/>
  <c r="Z232" i="19"/>
  <c r="Z309" i="19" s="1"/>
  <c r="T232" i="19"/>
  <c r="T309" i="19" s="1"/>
  <c r="S232" i="19"/>
  <c r="S309" i="19" s="1"/>
  <c r="R232" i="19"/>
  <c r="R309" i="19" s="1"/>
  <c r="Q232" i="19"/>
  <c r="Q309" i="19" s="1"/>
  <c r="P232" i="19"/>
  <c r="P309" i="19" s="1"/>
  <c r="O232" i="19"/>
  <c r="O309" i="19" s="1"/>
  <c r="N232" i="19"/>
  <c r="N309" i="19" s="1"/>
  <c r="M232" i="19"/>
  <c r="M309" i="19" s="1"/>
  <c r="L232" i="19"/>
  <c r="L309" i="19" s="1"/>
  <c r="K232" i="19"/>
  <c r="K309" i="19" s="1"/>
  <c r="H232" i="19"/>
  <c r="G232" i="19"/>
  <c r="F232" i="19"/>
  <c r="T231" i="19"/>
  <c r="T308" i="19" s="1"/>
  <c r="S231" i="19"/>
  <c r="S308" i="19" s="1"/>
  <c r="R231" i="19"/>
  <c r="R308" i="19" s="1"/>
  <c r="Q231" i="19"/>
  <c r="Q308" i="19" s="1"/>
  <c r="P231" i="19"/>
  <c r="P308" i="19" s="1"/>
  <c r="O231" i="19"/>
  <c r="O308" i="19" s="1"/>
  <c r="N231" i="19"/>
  <c r="N308" i="19" s="1"/>
  <c r="M231" i="19"/>
  <c r="M308" i="19" s="1"/>
  <c r="L231" i="19"/>
  <c r="L308" i="19" s="1"/>
  <c r="K231" i="19"/>
  <c r="H231" i="19"/>
  <c r="H308" i="19" s="1"/>
  <c r="G231" i="19"/>
  <c r="F231" i="19"/>
  <c r="E230" i="19"/>
  <c r="AC228" i="19"/>
  <c r="AC305" i="19" s="1"/>
  <c r="AA228" i="19"/>
  <c r="AA305" i="19" s="1"/>
  <c r="T228" i="19"/>
  <c r="T305" i="19" s="1"/>
  <c r="S228" i="19"/>
  <c r="S305" i="19" s="1"/>
  <c r="R228" i="19"/>
  <c r="Q228" i="19"/>
  <c r="Q305" i="19" s="1"/>
  <c r="P228" i="19"/>
  <c r="O228" i="19"/>
  <c r="O305" i="19" s="1"/>
  <c r="N228" i="19"/>
  <c r="M228" i="19"/>
  <c r="M305" i="19" s="1"/>
  <c r="L228" i="19"/>
  <c r="K228" i="19"/>
  <c r="H228" i="19"/>
  <c r="G228" i="19"/>
  <c r="F228" i="19"/>
  <c r="AB227" i="19"/>
  <c r="AB304" i="19" s="1"/>
  <c r="T227" i="19"/>
  <c r="T304" i="19" s="1"/>
  <c r="S227" i="19"/>
  <c r="R227" i="19"/>
  <c r="R304" i="19" s="1"/>
  <c r="Q227" i="19"/>
  <c r="P227" i="19"/>
  <c r="P304" i="19" s="1"/>
  <c r="O227" i="19"/>
  <c r="N227" i="19"/>
  <c r="N304" i="19" s="1"/>
  <c r="M227" i="19"/>
  <c r="L227" i="19"/>
  <c r="L304" i="19" s="1"/>
  <c r="K227" i="19"/>
  <c r="H227" i="19"/>
  <c r="G227" i="19"/>
  <c r="F227" i="19"/>
  <c r="AC226" i="19"/>
  <c r="AC303" i="19" s="1"/>
  <c r="AA226" i="19"/>
  <c r="AA303" i="19" s="1"/>
  <c r="T226" i="19"/>
  <c r="S226" i="19"/>
  <c r="S303" i="19" s="1"/>
  <c r="R226" i="19"/>
  <c r="Q226" i="19"/>
  <c r="Q303" i="19" s="1"/>
  <c r="P226" i="19"/>
  <c r="O226" i="19"/>
  <c r="O303" i="19" s="1"/>
  <c r="N226" i="19"/>
  <c r="M226" i="19"/>
  <c r="M303" i="19" s="1"/>
  <c r="L226" i="19"/>
  <c r="K226" i="19"/>
  <c r="H226" i="19"/>
  <c r="G226" i="19"/>
  <c r="F226" i="19"/>
  <c r="AB225" i="19"/>
  <c r="AB302" i="19" s="1"/>
  <c r="T225" i="19"/>
  <c r="T302" i="19" s="1"/>
  <c r="S225" i="19"/>
  <c r="R225" i="19"/>
  <c r="R302" i="19" s="1"/>
  <c r="Q225" i="19"/>
  <c r="P225" i="19"/>
  <c r="P302" i="19" s="1"/>
  <c r="O225" i="19"/>
  <c r="N225" i="19"/>
  <c r="N302" i="19" s="1"/>
  <c r="M225" i="19"/>
  <c r="L225" i="19"/>
  <c r="L302" i="19" s="1"/>
  <c r="K225" i="19"/>
  <c r="H225" i="19"/>
  <c r="G225" i="19"/>
  <c r="F225" i="19"/>
  <c r="AC224" i="19"/>
  <c r="AC301" i="19" s="1"/>
  <c r="AA224" i="19"/>
  <c r="AA301" i="19" s="1"/>
  <c r="T224" i="19"/>
  <c r="S224" i="19"/>
  <c r="S301" i="19" s="1"/>
  <c r="R224" i="19"/>
  <c r="Q224" i="19"/>
  <c r="Q301" i="19" s="1"/>
  <c r="P224" i="19"/>
  <c r="O224" i="19"/>
  <c r="O301" i="19" s="1"/>
  <c r="N224" i="19"/>
  <c r="M224" i="19"/>
  <c r="M301" i="19" s="1"/>
  <c r="L224" i="19"/>
  <c r="K224" i="19"/>
  <c r="H224" i="19"/>
  <c r="G224" i="19"/>
  <c r="F224" i="19"/>
  <c r="E223" i="19"/>
  <c r="T221" i="19"/>
  <c r="S221" i="19"/>
  <c r="S298" i="19" s="1"/>
  <c r="R221" i="19"/>
  <c r="Q221" i="19"/>
  <c r="Q298" i="19" s="1"/>
  <c r="P221" i="19"/>
  <c r="O221" i="19"/>
  <c r="O298" i="19" s="1"/>
  <c r="N221" i="19"/>
  <c r="M221" i="19"/>
  <c r="M298" i="19" s="1"/>
  <c r="L221" i="19"/>
  <c r="K221" i="19"/>
  <c r="H221" i="19"/>
  <c r="G221" i="19"/>
  <c r="F221" i="19"/>
  <c r="AD220" i="19"/>
  <c r="AD297" i="19" s="1"/>
  <c r="Z220" i="19"/>
  <c r="Z297" i="19" s="1"/>
  <c r="T220" i="19"/>
  <c r="T297" i="19" s="1"/>
  <c r="S220" i="19"/>
  <c r="R220" i="19"/>
  <c r="R297" i="19" s="1"/>
  <c r="Q220" i="19"/>
  <c r="P220" i="19"/>
  <c r="P297" i="19" s="1"/>
  <c r="O220" i="19"/>
  <c r="N220" i="19"/>
  <c r="N297" i="19" s="1"/>
  <c r="M220" i="19"/>
  <c r="L220" i="19"/>
  <c r="L297" i="19" s="1"/>
  <c r="K220" i="19"/>
  <c r="H220" i="19"/>
  <c r="G220" i="19"/>
  <c r="F220" i="19"/>
  <c r="T219" i="19"/>
  <c r="S219" i="19"/>
  <c r="S296" i="19" s="1"/>
  <c r="R219" i="19"/>
  <c r="Q219" i="19"/>
  <c r="Q296" i="19" s="1"/>
  <c r="P219" i="19"/>
  <c r="O219" i="19"/>
  <c r="O296" i="19" s="1"/>
  <c r="N219" i="19"/>
  <c r="M219" i="19"/>
  <c r="M296" i="19" s="1"/>
  <c r="L219" i="19"/>
  <c r="K219" i="19"/>
  <c r="H219" i="19"/>
  <c r="G219" i="19"/>
  <c r="F219" i="19"/>
  <c r="AD218" i="19"/>
  <c r="AD295" i="19" s="1"/>
  <c r="Z218" i="19"/>
  <c r="Z295" i="19" s="1"/>
  <c r="T218" i="19"/>
  <c r="T295" i="19" s="1"/>
  <c r="S218" i="19"/>
  <c r="R218" i="19"/>
  <c r="R295" i="19" s="1"/>
  <c r="Q218" i="19"/>
  <c r="P218" i="19"/>
  <c r="P295" i="19" s="1"/>
  <c r="O218" i="19"/>
  <c r="N218" i="19"/>
  <c r="N295" i="19" s="1"/>
  <c r="M218" i="19"/>
  <c r="L218" i="19"/>
  <c r="L295" i="19" s="1"/>
  <c r="K218" i="19"/>
  <c r="H218" i="19"/>
  <c r="G218" i="19"/>
  <c r="F218" i="19"/>
  <c r="T217" i="19"/>
  <c r="S217" i="19"/>
  <c r="S294" i="19" s="1"/>
  <c r="R217" i="19"/>
  <c r="Q217" i="19"/>
  <c r="Q294" i="19" s="1"/>
  <c r="P217" i="19"/>
  <c r="O217" i="19"/>
  <c r="O294" i="19" s="1"/>
  <c r="N217" i="19"/>
  <c r="M217" i="19"/>
  <c r="M294" i="19" s="1"/>
  <c r="L217" i="19"/>
  <c r="K217" i="19"/>
  <c r="H217" i="19"/>
  <c r="G217" i="19"/>
  <c r="F217" i="19"/>
  <c r="E216" i="19"/>
  <c r="AC214" i="19"/>
  <c r="AC291" i="19" s="1"/>
  <c r="AA214" i="19"/>
  <c r="AA291" i="19" s="1"/>
  <c r="T214" i="19"/>
  <c r="S214" i="19"/>
  <c r="S291" i="19" s="1"/>
  <c r="R214" i="19"/>
  <c r="Q214" i="19"/>
  <c r="Q291" i="19" s="1"/>
  <c r="P214" i="19"/>
  <c r="O214" i="19"/>
  <c r="O291" i="19" s="1"/>
  <c r="N214" i="19"/>
  <c r="M214" i="19"/>
  <c r="M291" i="19" s="1"/>
  <c r="L214" i="19"/>
  <c r="K214" i="19"/>
  <c r="H214" i="19"/>
  <c r="G214" i="19"/>
  <c r="F214" i="19"/>
  <c r="AB213" i="19"/>
  <c r="AB290" i="19" s="1"/>
  <c r="T213" i="19"/>
  <c r="T290" i="19" s="1"/>
  <c r="S213" i="19"/>
  <c r="R213" i="19"/>
  <c r="R290" i="19" s="1"/>
  <c r="Q213" i="19"/>
  <c r="P213" i="19"/>
  <c r="P290" i="19" s="1"/>
  <c r="O213" i="19"/>
  <c r="N213" i="19"/>
  <c r="N290" i="19" s="1"/>
  <c r="M213" i="19"/>
  <c r="L213" i="19"/>
  <c r="L290" i="19" s="1"/>
  <c r="K213" i="19"/>
  <c r="H213" i="19"/>
  <c r="G213" i="19"/>
  <c r="F213" i="19"/>
  <c r="AC212" i="19"/>
  <c r="AC289" i="19" s="1"/>
  <c r="AA212" i="19"/>
  <c r="AA289" i="19" s="1"/>
  <c r="T212" i="19"/>
  <c r="S212" i="19"/>
  <c r="S289" i="19" s="1"/>
  <c r="R212" i="19"/>
  <c r="Q212" i="19"/>
  <c r="Q289" i="19" s="1"/>
  <c r="P212" i="19"/>
  <c r="O212" i="19"/>
  <c r="O289" i="19" s="1"/>
  <c r="N212" i="19"/>
  <c r="M212" i="19"/>
  <c r="M289" i="19" s="1"/>
  <c r="L212" i="19"/>
  <c r="K212" i="19"/>
  <c r="H212" i="19"/>
  <c r="G212" i="19"/>
  <c r="F212" i="19"/>
  <c r="AB211" i="19"/>
  <c r="AB288" i="19" s="1"/>
  <c r="T211" i="19"/>
  <c r="T288" i="19" s="1"/>
  <c r="S211" i="19"/>
  <c r="R211" i="19"/>
  <c r="R288" i="19" s="1"/>
  <c r="Q211" i="19"/>
  <c r="P211" i="19"/>
  <c r="P288" i="19" s="1"/>
  <c r="O211" i="19"/>
  <c r="N211" i="19"/>
  <c r="N288" i="19" s="1"/>
  <c r="M211" i="19"/>
  <c r="L211" i="19"/>
  <c r="L288" i="19" s="1"/>
  <c r="K211" i="19"/>
  <c r="H211" i="19"/>
  <c r="G211" i="19"/>
  <c r="F211" i="19"/>
  <c r="AC210" i="19"/>
  <c r="AC287" i="19" s="1"/>
  <c r="AA210" i="19"/>
  <c r="AA287" i="19" s="1"/>
  <c r="T210" i="19"/>
  <c r="S210" i="19"/>
  <c r="S287" i="19" s="1"/>
  <c r="R210" i="19"/>
  <c r="Q210" i="19"/>
  <c r="Q287" i="19" s="1"/>
  <c r="P210" i="19"/>
  <c r="O210" i="19"/>
  <c r="O287" i="19" s="1"/>
  <c r="N210" i="19"/>
  <c r="M210" i="19"/>
  <c r="M287" i="19" s="1"/>
  <c r="L210" i="19"/>
  <c r="K210" i="19"/>
  <c r="H210" i="19"/>
  <c r="G210" i="19"/>
  <c r="F210" i="19"/>
  <c r="E209" i="19"/>
  <c r="T207" i="19"/>
  <c r="S207" i="19"/>
  <c r="S284" i="19" s="1"/>
  <c r="R207" i="19"/>
  <c r="Q207" i="19"/>
  <c r="Q284" i="19" s="1"/>
  <c r="P207" i="19"/>
  <c r="O207" i="19"/>
  <c r="O284" i="19" s="1"/>
  <c r="N207" i="19"/>
  <c r="M207" i="19"/>
  <c r="M284" i="19" s="1"/>
  <c r="L207" i="19"/>
  <c r="K207" i="19"/>
  <c r="H207" i="19"/>
  <c r="G207" i="19"/>
  <c r="F207" i="19"/>
  <c r="AD206" i="19"/>
  <c r="AD283" i="19" s="1"/>
  <c r="Z206" i="19"/>
  <c r="Z283" i="19" s="1"/>
  <c r="T206" i="19"/>
  <c r="T283" i="19" s="1"/>
  <c r="S206" i="19"/>
  <c r="R206" i="19"/>
  <c r="R283" i="19" s="1"/>
  <c r="Q206" i="19"/>
  <c r="P206" i="19"/>
  <c r="P283" i="19" s="1"/>
  <c r="O206" i="19"/>
  <c r="N206" i="19"/>
  <c r="N283" i="19" s="1"/>
  <c r="M206" i="19"/>
  <c r="L206" i="19"/>
  <c r="L283" i="19" s="1"/>
  <c r="K206" i="19"/>
  <c r="H206" i="19"/>
  <c r="G206" i="19"/>
  <c r="F206" i="19"/>
  <c r="T205" i="19"/>
  <c r="S205" i="19"/>
  <c r="S282" i="19" s="1"/>
  <c r="R205" i="19"/>
  <c r="Q205" i="19"/>
  <c r="Q282" i="19" s="1"/>
  <c r="P205" i="19"/>
  <c r="O205" i="19"/>
  <c r="O282" i="19" s="1"/>
  <c r="N205" i="19"/>
  <c r="M205" i="19"/>
  <c r="M282" i="19" s="1"/>
  <c r="L205" i="19"/>
  <c r="K205" i="19"/>
  <c r="H205" i="19"/>
  <c r="G205" i="19"/>
  <c r="F205" i="19"/>
  <c r="AD204" i="19"/>
  <c r="AD281" i="19" s="1"/>
  <c r="Z204" i="19"/>
  <c r="Z281" i="19" s="1"/>
  <c r="T204" i="19"/>
  <c r="T281" i="19" s="1"/>
  <c r="S204" i="19"/>
  <c r="R204" i="19"/>
  <c r="R281" i="19" s="1"/>
  <c r="Q204" i="19"/>
  <c r="P204" i="19"/>
  <c r="P281" i="19" s="1"/>
  <c r="O204" i="19"/>
  <c r="N204" i="19"/>
  <c r="N281" i="19" s="1"/>
  <c r="M204" i="19"/>
  <c r="L204" i="19"/>
  <c r="L281" i="19" s="1"/>
  <c r="K204" i="19"/>
  <c r="H204" i="19"/>
  <c r="G204" i="19"/>
  <c r="F204" i="19"/>
  <c r="T203" i="19"/>
  <c r="S203" i="19"/>
  <c r="S280" i="19" s="1"/>
  <c r="R203" i="19"/>
  <c r="Q203" i="19"/>
  <c r="Q280" i="19" s="1"/>
  <c r="P203" i="19"/>
  <c r="O203" i="19"/>
  <c r="O280" i="19" s="1"/>
  <c r="N203" i="19"/>
  <c r="M203" i="19"/>
  <c r="M280" i="19" s="1"/>
  <c r="L203" i="19"/>
  <c r="K203" i="19"/>
  <c r="H203" i="19"/>
  <c r="G203" i="19"/>
  <c r="F203" i="19"/>
  <c r="E202" i="19"/>
  <c r="AC200" i="19"/>
  <c r="AC277" i="19" s="1"/>
  <c r="AA200" i="19"/>
  <c r="AA277" i="19" s="1"/>
  <c r="T200" i="19"/>
  <c r="S200" i="19"/>
  <c r="S277" i="19" s="1"/>
  <c r="R200" i="19"/>
  <c r="Q200" i="19"/>
  <c r="Q277" i="19" s="1"/>
  <c r="P200" i="19"/>
  <c r="O200" i="19"/>
  <c r="O277" i="19" s="1"/>
  <c r="N200" i="19"/>
  <c r="M200" i="19"/>
  <c r="M277" i="19" s="1"/>
  <c r="L200" i="19"/>
  <c r="K200" i="19"/>
  <c r="H200" i="19"/>
  <c r="G200" i="19"/>
  <c r="F200" i="19"/>
  <c r="AB199" i="19"/>
  <c r="AB276" i="19" s="1"/>
  <c r="T199" i="19"/>
  <c r="T276" i="19" s="1"/>
  <c r="S199" i="19"/>
  <c r="R199" i="19"/>
  <c r="R276" i="19" s="1"/>
  <c r="Q199" i="19"/>
  <c r="P199" i="19"/>
  <c r="P276" i="19" s="1"/>
  <c r="O199" i="19"/>
  <c r="N199" i="19"/>
  <c r="N276" i="19" s="1"/>
  <c r="M199" i="19"/>
  <c r="L199" i="19"/>
  <c r="L276" i="19" s="1"/>
  <c r="K199" i="19"/>
  <c r="H199" i="19"/>
  <c r="G199" i="19"/>
  <c r="F199" i="19"/>
  <c r="AC198" i="19"/>
  <c r="AC275" i="19" s="1"/>
  <c r="AA198" i="19"/>
  <c r="AA275" i="19" s="1"/>
  <c r="T198" i="19"/>
  <c r="S198" i="19"/>
  <c r="S275" i="19" s="1"/>
  <c r="G198" i="19"/>
  <c r="F198" i="19"/>
  <c r="AB197" i="19"/>
  <c r="AB274" i="19" s="1"/>
  <c r="T197" i="19"/>
  <c r="T274" i="19" s="1"/>
  <c r="S197" i="19"/>
  <c r="G197" i="19"/>
  <c r="F197" i="19"/>
  <c r="AC196" i="19"/>
  <c r="AC273" i="19" s="1"/>
  <c r="AA196" i="19"/>
  <c r="AA273" i="19" s="1"/>
  <c r="T196" i="19"/>
  <c r="S196" i="19"/>
  <c r="S273" i="19" s="1"/>
  <c r="G196" i="19"/>
  <c r="F196" i="19"/>
  <c r="E195" i="19"/>
  <c r="T193" i="19"/>
  <c r="S193" i="19"/>
  <c r="S270" i="19" s="1"/>
  <c r="R193" i="19"/>
  <c r="Q193" i="19"/>
  <c r="Q270" i="19" s="1"/>
  <c r="P193" i="19"/>
  <c r="O193" i="19"/>
  <c r="O270" i="19" s="1"/>
  <c r="N193" i="19"/>
  <c r="M193" i="19"/>
  <c r="M270" i="19" s="1"/>
  <c r="L193" i="19"/>
  <c r="K193" i="19"/>
  <c r="H193" i="19"/>
  <c r="G193" i="19"/>
  <c r="F193" i="19"/>
  <c r="AD192" i="19"/>
  <c r="AD269" i="19" s="1"/>
  <c r="Z192" i="19"/>
  <c r="Z269" i="19" s="1"/>
  <c r="T192" i="19"/>
  <c r="T269" i="19" s="1"/>
  <c r="S192" i="19"/>
  <c r="R192" i="19"/>
  <c r="R269" i="19" s="1"/>
  <c r="Q192" i="19"/>
  <c r="P192" i="19"/>
  <c r="P269" i="19" s="1"/>
  <c r="O192" i="19"/>
  <c r="N192" i="19"/>
  <c r="N269" i="19" s="1"/>
  <c r="M192" i="19"/>
  <c r="L192" i="19"/>
  <c r="L269" i="19" s="1"/>
  <c r="K192" i="19"/>
  <c r="H192" i="19"/>
  <c r="G192" i="19"/>
  <c r="F192" i="19"/>
  <c r="T191" i="19"/>
  <c r="S191" i="19"/>
  <c r="S268" i="19" s="1"/>
  <c r="G191" i="19"/>
  <c r="F191" i="19"/>
  <c r="AD190" i="19"/>
  <c r="AD267" i="19" s="1"/>
  <c r="Z190" i="19"/>
  <c r="Z267" i="19" s="1"/>
  <c r="T190" i="19"/>
  <c r="T267" i="19" s="1"/>
  <c r="S190" i="19"/>
  <c r="G190" i="19"/>
  <c r="F190" i="19"/>
  <c r="T189" i="19"/>
  <c r="S189" i="19"/>
  <c r="S266" i="19" s="1"/>
  <c r="G189" i="19"/>
  <c r="F189" i="19"/>
  <c r="E188" i="19"/>
  <c r="AC186" i="19"/>
  <c r="AC263" i="19" s="1"/>
  <c r="AA186" i="19"/>
  <c r="AA263" i="19" s="1"/>
  <c r="T186" i="19"/>
  <c r="S186" i="19"/>
  <c r="S263" i="19" s="1"/>
  <c r="R186" i="19"/>
  <c r="Q186" i="19"/>
  <c r="Q263" i="19" s="1"/>
  <c r="P186" i="19"/>
  <c r="O186" i="19"/>
  <c r="O263" i="19" s="1"/>
  <c r="N186" i="19"/>
  <c r="M186" i="19"/>
  <c r="M263" i="19" s="1"/>
  <c r="L186" i="19"/>
  <c r="K186" i="19"/>
  <c r="H186" i="19"/>
  <c r="G186" i="19"/>
  <c r="F186" i="19"/>
  <c r="AB185" i="19"/>
  <c r="AB262" i="19" s="1"/>
  <c r="T185" i="19"/>
  <c r="T262" i="19" s="1"/>
  <c r="S185" i="19"/>
  <c r="R185" i="19"/>
  <c r="R262" i="19" s="1"/>
  <c r="Q185" i="19"/>
  <c r="P185" i="19"/>
  <c r="P262" i="19" s="1"/>
  <c r="O185" i="19"/>
  <c r="N185" i="19"/>
  <c r="N262" i="19" s="1"/>
  <c r="M185" i="19"/>
  <c r="L185" i="19"/>
  <c r="L262" i="19" s="1"/>
  <c r="K185" i="19"/>
  <c r="H185" i="19"/>
  <c r="G185" i="19"/>
  <c r="F185" i="19"/>
  <c r="AC184" i="19"/>
  <c r="AC261" i="19" s="1"/>
  <c r="AA184" i="19"/>
  <c r="AA261" i="19" s="1"/>
  <c r="T184" i="19"/>
  <c r="S184" i="19"/>
  <c r="S261" i="19" s="1"/>
  <c r="R184" i="19"/>
  <c r="Q184" i="19"/>
  <c r="Q261" i="19" s="1"/>
  <c r="P184" i="19"/>
  <c r="O184" i="19"/>
  <c r="O261" i="19" s="1"/>
  <c r="N184" i="19"/>
  <c r="M184" i="19"/>
  <c r="M261" i="19" s="1"/>
  <c r="L184" i="19"/>
  <c r="K184" i="19"/>
  <c r="H184" i="19"/>
  <c r="G184" i="19"/>
  <c r="F184" i="19"/>
  <c r="AB183" i="19"/>
  <c r="AB260" i="19" s="1"/>
  <c r="T183" i="19"/>
  <c r="T260" i="19" s="1"/>
  <c r="S183" i="19"/>
  <c r="G183" i="19"/>
  <c r="F183" i="19"/>
  <c r="AC182" i="19"/>
  <c r="AC259" i="19" s="1"/>
  <c r="AA182" i="19"/>
  <c r="AA259" i="19" s="1"/>
  <c r="T182" i="19"/>
  <c r="S182" i="19"/>
  <c r="S259" i="19" s="1"/>
  <c r="G182" i="19"/>
  <c r="F182" i="19"/>
  <c r="E181" i="19"/>
  <c r="F187" i="19" s="1"/>
  <c r="T179" i="19"/>
  <c r="S179" i="19"/>
  <c r="S256" i="19" s="1"/>
  <c r="R179" i="19"/>
  <c r="Q179" i="19"/>
  <c r="Q256" i="19" s="1"/>
  <c r="P179" i="19"/>
  <c r="O179" i="19"/>
  <c r="O256" i="19" s="1"/>
  <c r="N179" i="19"/>
  <c r="M179" i="19"/>
  <c r="M256" i="19" s="1"/>
  <c r="L179" i="19"/>
  <c r="K179" i="19"/>
  <c r="H179" i="19"/>
  <c r="G179" i="19"/>
  <c r="F179" i="19"/>
  <c r="AD178" i="19"/>
  <c r="AD255" i="19" s="1"/>
  <c r="Z178" i="19"/>
  <c r="Z255" i="19" s="1"/>
  <c r="T178" i="19"/>
  <c r="T255" i="19" s="1"/>
  <c r="S178" i="19"/>
  <c r="R178" i="19"/>
  <c r="R255" i="19" s="1"/>
  <c r="Q178" i="19"/>
  <c r="P178" i="19"/>
  <c r="P255" i="19" s="1"/>
  <c r="O178" i="19"/>
  <c r="N178" i="19"/>
  <c r="N255" i="19" s="1"/>
  <c r="M178" i="19"/>
  <c r="L178" i="19"/>
  <c r="L255" i="19" s="1"/>
  <c r="K178" i="19"/>
  <c r="H178" i="19"/>
  <c r="G178" i="19"/>
  <c r="F178" i="19"/>
  <c r="T177" i="19"/>
  <c r="S177" i="19"/>
  <c r="S254" i="19" s="1"/>
  <c r="G177" i="19"/>
  <c r="F177" i="19"/>
  <c r="AD176" i="19"/>
  <c r="AD253" i="19" s="1"/>
  <c r="Z176" i="19"/>
  <c r="Z253" i="19" s="1"/>
  <c r="T176" i="19"/>
  <c r="T253" i="19" s="1"/>
  <c r="S176" i="19"/>
  <c r="G176" i="19"/>
  <c r="F176" i="19"/>
  <c r="T175" i="19"/>
  <c r="S175" i="19"/>
  <c r="S252" i="19" s="1"/>
  <c r="G175" i="19"/>
  <c r="F175" i="19"/>
  <c r="E174" i="19"/>
  <c r="AC172" i="19"/>
  <c r="AC249" i="19" s="1"/>
  <c r="AA172" i="19"/>
  <c r="AA249" i="19" s="1"/>
  <c r="T172" i="19"/>
  <c r="S172" i="19"/>
  <c r="S249" i="19" s="1"/>
  <c r="R172" i="19"/>
  <c r="Q172" i="19"/>
  <c r="Q249" i="19" s="1"/>
  <c r="P172" i="19"/>
  <c r="O172" i="19"/>
  <c r="O249" i="19" s="1"/>
  <c r="N172" i="19"/>
  <c r="M172" i="19"/>
  <c r="M249" i="19" s="1"/>
  <c r="L172" i="19"/>
  <c r="K172" i="19"/>
  <c r="H172" i="19"/>
  <c r="G172" i="19"/>
  <c r="F172" i="19"/>
  <c r="AB171" i="19"/>
  <c r="AB248" i="19" s="1"/>
  <c r="T171" i="19"/>
  <c r="T248" i="19" s="1"/>
  <c r="S171" i="19"/>
  <c r="G171" i="19"/>
  <c r="F171" i="19"/>
  <c r="AC170" i="19"/>
  <c r="AC247" i="19" s="1"/>
  <c r="AA170" i="19"/>
  <c r="AA247" i="19" s="1"/>
  <c r="T170" i="19"/>
  <c r="S170" i="19"/>
  <c r="S247" i="19" s="1"/>
  <c r="G170" i="19"/>
  <c r="F170" i="19"/>
  <c r="AB169" i="19"/>
  <c r="AB246" i="19" s="1"/>
  <c r="T169" i="19"/>
  <c r="T246" i="19" s="1"/>
  <c r="S169" i="19"/>
  <c r="G169" i="19"/>
  <c r="F169" i="19"/>
  <c r="AC168" i="19"/>
  <c r="AC245" i="19" s="1"/>
  <c r="AA168" i="19"/>
  <c r="AA245" i="19" s="1"/>
  <c r="T168" i="19"/>
  <c r="S168" i="19"/>
  <c r="S245" i="19" s="1"/>
  <c r="G168" i="19"/>
  <c r="F168" i="19"/>
  <c r="E167" i="19"/>
  <c r="AD165" i="19"/>
  <c r="AC165" i="19"/>
  <c r="AB165" i="19"/>
  <c r="AA165" i="19"/>
  <c r="Z165" i="19"/>
  <c r="Y165" i="19"/>
  <c r="X165" i="19"/>
  <c r="W165" i="19"/>
  <c r="V165" i="19"/>
  <c r="U165" i="19"/>
  <c r="T165" i="19"/>
  <c r="S165" i="19"/>
  <c r="R165" i="19"/>
  <c r="Q165" i="19"/>
  <c r="P165" i="19"/>
  <c r="O165" i="19"/>
  <c r="N165" i="19"/>
  <c r="M165" i="19"/>
  <c r="L165" i="19"/>
  <c r="K165" i="19"/>
  <c r="E163" i="19"/>
  <c r="F159" i="19"/>
  <c r="G157" i="19"/>
  <c r="F157" i="19"/>
  <c r="G156" i="19"/>
  <c r="F156" i="19"/>
  <c r="G155" i="19"/>
  <c r="F155" i="19"/>
  <c r="G154" i="19"/>
  <c r="F154" i="19"/>
  <c r="G153" i="19"/>
  <c r="F153" i="19"/>
  <c r="E152" i="19"/>
  <c r="F158" i="19" s="1"/>
  <c r="G150" i="19"/>
  <c r="F150" i="19"/>
  <c r="G149" i="19"/>
  <c r="F149" i="19"/>
  <c r="G148" i="19"/>
  <c r="F148" i="19"/>
  <c r="G147" i="19"/>
  <c r="F147" i="19"/>
  <c r="G146" i="19"/>
  <c r="F146" i="19"/>
  <c r="E145" i="19"/>
  <c r="F151" i="19" s="1"/>
  <c r="G143" i="19"/>
  <c r="F143" i="19"/>
  <c r="G142" i="19"/>
  <c r="F142" i="19"/>
  <c r="G141" i="19"/>
  <c r="F141" i="19"/>
  <c r="G140" i="19"/>
  <c r="F140" i="19"/>
  <c r="G139" i="19"/>
  <c r="F139" i="19"/>
  <c r="E138" i="19"/>
  <c r="F144" i="19" s="1"/>
  <c r="G136" i="19"/>
  <c r="F136" i="19"/>
  <c r="G135" i="19"/>
  <c r="F135" i="19"/>
  <c r="G134" i="19"/>
  <c r="F134" i="19"/>
  <c r="G133" i="19"/>
  <c r="F133" i="19"/>
  <c r="G132" i="19"/>
  <c r="F132" i="19"/>
  <c r="E131" i="19"/>
  <c r="F137" i="19" s="1"/>
  <c r="G129" i="19"/>
  <c r="F129" i="19"/>
  <c r="G128" i="19"/>
  <c r="F128" i="19"/>
  <c r="G127" i="19"/>
  <c r="F127" i="19"/>
  <c r="G126" i="19"/>
  <c r="F126" i="19"/>
  <c r="G125" i="19"/>
  <c r="F125" i="19"/>
  <c r="E124" i="19"/>
  <c r="F130" i="19" s="1"/>
  <c r="G122" i="19"/>
  <c r="F122" i="19"/>
  <c r="G121" i="19"/>
  <c r="F121" i="19"/>
  <c r="G120" i="19"/>
  <c r="F120" i="19"/>
  <c r="G119" i="19"/>
  <c r="F119" i="19"/>
  <c r="G118" i="19"/>
  <c r="F118" i="19"/>
  <c r="E117" i="19"/>
  <c r="F123" i="19" s="1"/>
  <c r="G115" i="19"/>
  <c r="F115" i="19"/>
  <c r="G114" i="19"/>
  <c r="F114" i="19"/>
  <c r="G113" i="19"/>
  <c r="F113" i="19"/>
  <c r="G112" i="19"/>
  <c r="F112" i="19"/>
  <c r="G111" i="19"/>
  <c r="F111" i="19"/>
  <c r="E110" i="19"/>
  <c r="F116" i="19" s="1"/>
  <c r="G108" i="19"/>
  <c r="F108" i="19"/>
  <c r="G107" i="19"/>
  <c r="F107" i="19"/>
  <c r="G106" i="19"/>
  <c r="F106" i="19"/>
  <c r="G105" i="19"/>
  <c r="F105" i="19"/>
  <c r="G104" i="19"/>
  <c r="F104" i="19"/>
  <c r="E103" i="19"/>
  <c r="F109" i="19" s="1"/>
  <c r="G101" i="19"/>
  <c r="F101" i="19"/>
  <c r="G100" i="19"/>
  <c r="F100" i="19"/>
  <c r="G99" i="19"/>
  <c r="F99" i="19"/>
  <c r="G98" i="19"/>
  <c r="F98" i="19"/>
  <c r="G97" i="19"/>
  <c r="F97" i="19"/>
  <c r="E96" i="19"/>
  <c r="F102" i="19" s="1"/>
  <c r="G94" i="19"/>
  <c r="F94" i="19"/>
  <c r="G93" i="19"/>
  <c r="F93" i="19"/>
  <c r="G92" i="19"/>
  <c r="F92" i="19"/>
  <c r="G91" i="19"/>
  <c r="F91" i="19"/>
  <c r="G90" i="19"/>
  <c r="F90" i="19"/>
  <c r="E89" i="19"/>
  <c r="F95" i="19" s="1"/>
  <c r="AD87" i="19"/>
  <c r="AC87" i="19"/>
  <c r="AB87" i="19"/>
  <c r="AA87" i="19"/>
  <c r="Z87" i="19"/>
  <c r="Y87" i="19"/>
  <c r="X87" i="19"/>
  <c r="W87" i="19"/>
  <c r="V87" i="19"/>
  <c r="U87" i="19"/>
  <c r="T87" i="19"/>
  <c r="S87" i="19"/>
  <c r="R87" i="19"/>
  <c r="Q87" i="19"/>
  <c r="P87" i="19"/>
  <c r="O87" i="19"/>
  <c r="N87" i="19"/>
  <c r="M87" i="19"/>
  <c r="L87" i="19"/>
  <c r="K87" i="19"/>
  <c r="E85" i="19"/>
  <c r="G80" i="19"/>
  <c r="F80" i="19"/>
  <c r="G79" i="19"/>
  <c r="F79" i="19"/>
  <c r="G78" i="19"/>
  <c r="F78" i="19"/>
  <c r="G77" i="19"/>
  <c r="F77" i="19"/>
  <c r="G76" i="19"/>
  <c r="F76" i="19"/>
  <c r="E75" i="19"/>
  <c r="F81" i="19" s="1"/>
  <c r="G73" i="19"/>
  <c r="F73" i="19"/>
  <c r="G72" i="19"/>
  <c r="F72" i="19"/>
  <c r="G71" i="19"/>
  <c r="F71" i="19"/>
  <c r="G70" i="19"/>
  <c r="F70" i="19"/>
  <c r="G69" i="19"/>
  <c r="F69" i="19"/>
  <c r="E68" i="19"/>
  <c r="F74" i="19" s="1"/>
  <c r="G66" i="19"/>
  <c r="F66" i="19"/>
  <c r="G65" i="19"/>
  <c r="F65" i="19"/>
  <c r="G64" i="19"/>
  <c r="F64" i="19"/>
  <c r="G63" i="19"/>
  <c r="F63" i="19"/>
  <c r="G62" i="19"/>
  <c r="F62" i="19"/>
  <c r="E61" i="19"/>
  <c r="F67" i="19" s="1"/>
  <c r="G59" i="19"/>
  <c r="F59" i="19"/>
  <c r="G58" i="19"/>
  <c r="F58" i="19"/>
  <c r="G57" i="19"/>
  <c r="F57" i="19"/>
  <c r="G56" i="19"/>
  <c r="F56" i="19"/>
  <c r="G55" i="19"/>
  <c r="F55" i="19"/>
  <c r="E54" i="19"/>
  <c r="F60" i="19" s="1"/>
  <c r="G52" i="19"/>
  <c r="F52" i="19"/>
  <c r="G51" i="19"/>
  <c r="F51" i="19"/>
  <c r="G50" i="19"/>
  <c r="F50" i="19"/>
  <c r="G49" i="19"/>
  <c r="F49" i="19"/>
  <c r="G48" i="19"/>
  <c r="F48" i="19"/>
  <c r="E47" i="19"/>
  <c r="F53" i="19" s="1"/>
  <c r="G45" i="19"/>
  <c r="F45" i="19"/>
  <c r="G44" i="19"/>
  <c r="F44" i="19"/>
  <c r="G43" i="19"/>
  <c r="F43" i="19"/>
  <c r="G42" i="19"/>
  <c r="F42" i="19"/>
  <c r="G41" i="19"/>
  <c r="F41" i="19"/>
  <c r="E40" i="19"/>
  <c r="F46" i="19" s="1"/>
  <c r="G38" i="19"/>
  <c r="F38" i="19"/>
  <c r="G37" i="19"/>
  <c r="F37" i="19"/>
  <c r="G36" i="19"/>
  <c r="F36" i="19"/>
  <c r="G35" i="19"/>
  <c r="F35" i="19"/>
  <c r="G34" i="19"/>
  <c r="F34" i="19"/>
  <c r="E33" i="19"/>
  <c r="F39" i="19" s="1"/>
  <c r="G31" i="19"/>
  <c r="F31" i="19"/>
  <c r="G30" i="19"/>
  <c r="F30" i="19"/>
  <c r="G29" i="19"/>
  <c r="F29" i="19"/>
  <c r="G28" i="19"/>
  <c r="F28" i="19"/>
  <c r="G27" i="19"/>
  <c r="F27" i="19"/>
  <c r="E26" i="19"/>
  <c r="F32" i="19" s="1"/>
  <c r="G24" i="19"/>
  <c r="F24" i="19"/>
  <c r="G23" i="19"/>
  <c r="F23" i="19"/>
  <c r="G22" i="19"/>
  <c r="F22" i="19"/>
  <c r="G21" i="19"/>
  <c r="F21" i="19"/>
  <c r="G20" i="19"/>
  <c r="F20" i="19"/>
  <c r="E19" i="19"/>
  <c r="F25" i="19" s="1"/>
  <c r="G17" i="19"/>
  <c r="F17" i="19"/>
  <c r="G16" i="19"/>
  <c r="F16" i="19"/>
  <c r="G15" i="19"/>
  <c r="F15" i="19"/>
  <c r="G14" i="19"/>
  <c r="F14" i="19"/>
  <c r="G13" i="19"/>
  <c r="F13" i="19"/>
  <c r="E12" i="19"/>
  <c r="F18" i="19" s="1"/>
  <c r="AD10" i="19"/>
  <c r="AC10" i="19"/>
  <c r="AB10" i="19"/>
  <c r="AA10" i="19"/>
  <c r="Z10" i="19"/>
  <c r="Y10" i="19"/>
  <c r="X10" i="19"/>
  <c r="W10" i="19"/>
  <c r="V10" i="19"/>
  <c r="U10" i="19"/>
  <c r="T10" i="19"/>
  <c r="S10" i="19"/>
  <c r="R10" i="19"/>
  <c r="Q10" i="19"/>
  <c r="P10" i="19"/>
  <c r="O10" i="19"/>
  <c r="N10" i="19"/>
  <c r="M10" i="19"/>
  <c r="L10" i="19"/>
  <c r="K10" i="19"/>
  <c r="E8" i="19"/>
  <c r="F82" i="19" s="1"/>
  <c r="B2" i="19"/>
  <c r="B1" i="19"/>
  <c r="H39" i="21" s="1"/>
  <c r="H219" i="17"/>
  <c r="H216" i="17"/>
  <c r="G216" i="17"/>
  <c r="H215" i="17"/>
  <c r="G215" i="17"/>
  <c r="H214" i="17"/>
  <c r="G214" i="17"/>
  <c r="H213" i="17"/>
  <c r="G213" i="17"/>
  <c r="H212" i="17"/>
  <c r="G212" i="17"/>
  <c r="F212" i="17"/>
  <c r="H210" i="17"/>
  <c r="G210" i="17"/>
  <c r="H209" i="17"/>
  <c r="G209" i="17"/>
  <c r="H208" i="17"/>
  <c r="G208" i="17"/>
  <c r="H207" i="17"/>
  <c r="G207" i="17"/>
  <c r="H206" i="17"/>
  <c r="G206" i="17"/>
  <c r="F206" i="17"/>
  <c r="H204" i="17"/>
  <c r="G204" i="17"/>
  <c r="H203" i="17"/>
  <c r="G203" i="17"/>
  <c r="H202" i="17"/>
  <c r="G202" i="17"/>
  <c r="H201" i="17"/>
  <c r="G201" i="17"/>
  <c r="H200" i="17"/>
  <c r="G200" i="17"/>
  <c r="F200" i="17"/>
  <c r="H198" i="17"/>
  <c r="G198" i="17"/>
  <c r="H197" i="17"/>
  <c r="G197" i="17"/>
  <c r="H196" i="17"/>
  <c r="G196" i="17"/>
  <c r="H195" i="17"/>
  <c r="G195" i="17"/>
  <c r="H194" i="17"/>
  <c r="G194" i="17"/>
  <c r="F194" i="17"/>
  <c r="H192" i="17"/>
  <c r="G192" i="17"/>
  <c r="H191" i="17"/>
  <c r="G191" i="17"/>
  <c r="H190" i="17"/>
  <c r="G190" i="17"/>
  <c r="H189" i="17"/>
  <c r="G189" i="17"/>
  <c r="H188" i="17"/>
  <c r="G188" i="17"/>
  <c r="F188" i="17"/>
  <c r="H186" i="17"/>
  <c r="G186" i="17"/>
  <c r="H185" i="17"/>
  <c r="G185" i="17"/>
  <c r="H184" i="17"/>
  <c r="G184" i="17"/>
  <c r="H183" i="17"/>
  <c r="G183" i="17"/>
  <c r="H182" i="17"/>
  <c r="G182" i="17"/>
  <c r="F182" i="17"/>
  <c r="H180" i="17"/>
  <c r="G180" i="17"/>
  <c r="H179" i="17"/>
  <c r="G179" i="17"/>
  <c r="H178" i="17"/>
  <c r="G178" i="17"/>
  <c r="H177" i="17"/>
  <c r="G177" i="17"/>
  <c r="H176" i="17"/>
  <c r="G176" i="17"/>
  <c r="F176" i="17"/>
  <c r="H174" i="17"/>
  <c r="G174" i="17"/>
  <c r="H173" i="17"/>
  <c r="G173" i="17"/>
  <c r="H172" i="17"/>
  <c r="G172" i="17"/>
  <c r="H171" i="17"/>
  <c r="G171" i="17"/>
  <c r="H170" i="17"/>
  <c r="G170" i="17"/>
  <c r="F170" i="17"/>
  <c r="H168" i="17"/>
  <c r="G168" i="17"/>
  <c r="H167" i="17"/>
  <c r="G167" i="17"/>
  <c r="H166" i="17"/>
  <c r="G166" i="17"/>
  <c r="H165" i="17"/>
  <c r="G165" i="17"/>
  <c r="H164" i="17"/>
  <c r="G164" i="17"/>
  <c r="F164" i="17"/>
  <c r="H162" i="17"/>
  <c r="G162" i="17"/>
  <c r="H161" i="17"/>
  <c r="G161" i="17"/>
  <c r="H160" i="17"/>
  <c r="G160" i="17"/>
  <c r="H159" i="17"/>
  <c r="G159" i="17"/>
  <c r="H158" i="17"/>
  <c r="G158" i="17"/>
  <c r="F158" i="17"/>
  <c r="N157" i="17"/>
  <c r="M157" i="17"/>
  <c r="L157" i="17"/>
  <c r="K157" i="17"/>
  <c r="J157" i="17"/>
  <c r="E155" i="17"/>
  <c r="H153" i="17"/>
  <c r="H150" i="17"/>
  <c r="G150" i="17"/>
  <c r="H149" i="17"/>
  <c r="G149" i="17"/>
  <c r="H148" i="17"/>
  <c r="G148" i="17"/>
  <c r="H147" i="17"/>
  <c r="G147" i="17"/>
  <c r="H146" i="17"/>
  <c r="G146" i="17"/>
  <c r="F146" i="17"/>
  <c r="H144" i="17"/>
  <c r="G144" i="17"/>
  <c r="H143" i="17"/>
  <c r="G143" i="17"/>
  <c r="H142" i="17"/>
  <c r="G142" i="17"/>
  <c r="H141" i="17"/>
  <c r="G141" i="17"/>
  <c r="H140" i="17"/>
  <c r="G140" i="17"/>
  <c r="F140" i="17"/>
  <c r="H138" i="17"/>
  <c r="G138" i="17"/>
  <c r="H137" i="17"/>
  <c r="G137" i="17"/>
  <c r="H136" i="17"/>
  <c r="G136" i="17"/>
  <c r="H135" i="17"/>
  <c r="G135" i="17"/>
  <c r="H134" i="17"/>
  <c r="G134" i="17"/>
  <c r="F134" i="17"/>
  <c r="H132" i="17"/>
  <c r="G132" i="17"/>
  <c r="H131" i="17"/>
  <c r="G131" i="17"/>
  <c r="H130" i="17"/>
  <c r="G130" i="17"/>
  <c r="H129" i="17"/>
  <c r="G129" i="17"/>
  <c r="H128" i="17"/>
  <c r="G128" i="17"/>
  <c r="F128" i="17"/>
  <c r="H126" i="17"/>
  <c r="G126" i="17"/>
  <c r="H125" i="17"/>
  <c r="G125" i="17"/>
  <c r="H124" i="17"/>
  <c r="G124" i="17"/>
  <c r="H123" i="17"/>
  <c r="G123" i="17"/>
  <c r="H122" i="17"/>
  <c r="G122" i="17"/>
  <c r="F122" i="17"/>
  <c r="H120" i="17"/>
  <c r="G120" i="17"/>
  <c r="H119" i="17"/>
  <c r="G119" i="17"/>
  <c r="H118" i="17"/>
  <c r="G118" i="17"/>
  <c r="H117" i="17"/>
  <c r="G117" i="17"/>
  <c r="H116" i="17"/>
  <c r="G116" i="17"/>
  <c r="F116" i="17"/>
  <c r="H114" i="17"/>
  <c r="G114" i="17"/>
  <c r="H113" i="17"/>
  <c r="G113" i="17"/>
  <c r="H112" i="17"/>
  <c r="G112" i="17"/>
  <c r="H111" i="17"/>
  <c r="G111" i="17"/>
  <c r="H110" i="17"/>
  <c r="G110" i="17"/>
  <c r="F110" i="17"/>
  <c r="H108" i="17"/>
  <c r="G108" i="17"/>
  <c r="H107" i="17"/>
  <c r="G107" i="17"/>
  <c r="H106" i="17"/>
  <c r="G106" i="17"/>
  <c r="H105" i="17"/>
  <c r="G105" i="17"/>
  <c r="H104" i="17"/>
  <c r="G104" i="17"/>
  <c r="F104" i="17"/>
  <c r="H102" i="17"/>
  <c r="G102" i="17"/>
  <c r="H101" i="17"/>
  <c r="G101" i="17"/>
  <c r="H100" i="17"/>
  <c r="G100" i="17"/>
  <c r="H99" i="17"/>
  <c r="G99" i="17"/>
  <c r="H98" i="17"/>
  <c r="G98" i="17"/>
  <c r="F98" i="17"/>
  <c r="H96" i="17"/>
  <c r="G96" i="17"/>
  <c r="H95" i="17"/>
  <c r="G95" i="17"/>
  <c r="H94" i="17"/>
  <c r="G94" i="17"/>
  <c r="H93" i="17"/>
  <c r="G93" i="17"/>
  <c r="H92" i="17"/>
  <c r="G92" i="17"/>
  <c r="F92" i="17"/>
  <c r="N91" i="17"/>
  <c r="M91" i="17"/>
  <c r="L91" i="17"/>
  <c r="K91" i="17"/>
  <c r="J91" i="17"/>
  <c r="E89" i="17"/>
  <c r="F84" i="17"/>
  <c r="F83" i="17"/>
  <c r="F82" i="17"/>
  <c r="F81" i="17"/>
  <c r="N80" i="17"/>
  <c r="M80" i="17"/>
  <c r="L80" i="17"/>
  <c r="K80" i="17"/>
  <c r="J80" i="17"/>
  <c r="F79" i="17"/>
  <c r="F76" i="17"/>
  <c r="F75" i="17"/>
  <c r="F74" i="17"/>
  <c r="F73" i="17"/>
  <c r="N72" i="17"/>
  <c r="M72" i="17"/>
  <c r="L72" i="17"/>
  <c r="K72" i="17"/>
  <c r="J72" i="17"/>
  <c r="F71" i="17"/>
  <c r="F65" i="17"/>
  <c r="F64" i="17"/>
  <c r="F63" i="17"/>
  <c r="F62" i="17"/>
  <c r="F61" i="17"/>
  <c r="F60" i="17"/>
  <c r="F59" i="17"/>
  <c r="F58" i="17"/>
  <c r="F57" i="17"/>
  <c r="F56" i="17"/>
  <c r="N55" i="17"/>
  <c r="M55" i="17"/>
  <c r="L55" i="17"/>
  <c r="K55" i="17"/>
  <c r="J55" i="17"/>
  <c r="E52" i="17"/>
  <c r="F66" i="17" s="1"/>
  <c r="F48" i="17"/>
  <c r="F47" i="17"/>
  <c r="F46" i="17"/>
  <c r="F45" i="17"/>
  <c r="F44" i="17"/>
  <c r="F43" i="17"/>
  <c r="F42" i="17"/>
  <c r="F41" i="17"/>
  <c r="F40" i="17"/>
  <c r="F39" i="17"/>
  <c r="N38" i="17"/>
  <c r="M38" i="17"/>
  <c r="L38" i="17"/>
  <c r="K38" i="17"/>
  <c r="J38" i="17"/>
  <c r="E35" i="17"/>
  <c r="F49" i="17" s="1"/>
  <c r="F25" i="17"/>
  <c r="F24" i="17"/>
  <c r="N23" i="17"/>
  <c r="M23" i="17"/>
  <c r="L23" i="17"/>
  <c r="K23" i="17"/>
  <c r="J23" i="17"/>
  <c r="F18" i="17"/>
  <c r="F16" i="17"/>
  <c r="F15" i="17"/>
  <c r="N14" i="17"/>
  <c r="M14" i="17"/>
  <c r="L14" i="17"/>
  <c r="K14" i="17"/>
  <c r="J14" i="17"/>
  <c r="N9" i="17"/>
  <c r="M9" i="17"/>
  <c r="L9" i="17"/>
  <c r="K9" i="17"/>
  <c r="J9" i="17"/>
  <c r="B6" i="17"/>
  <c r="B2" i="17"/>
  <c r="B1" i="17"/>
  <c r="H38" i="21" s="1"/>
  <c r="H200" i="16"/>
  <c r="H196" i="16"/>
  <c r="H193" i="16"/>
  <c r="G193" i="16"/>
  <c r="H192" i="16"/>
  <c r="G192" i="16"/>
  <c r="H191" i="16"/>
  <c r="G191" i="16"/>
  <c r="H190" i="16"/>
  <c r="G190" i="16"/>
  <c r="H189" i="16"/>
  <c r="G189" i="16"/>
  <c r="F189" i="16"/>
  <c r="H187" i="16"/>
  <c r="G187" i="16"/>
  <c r="H186" i="16"/>
  <c r="G186" i="16"/>
  <c r="H185" i="16"/>
  <c r="G185" i="16"/>
  <c r="H184" i="16"/>
  <c r="G184" i="16"/>
  <c r="H183" i="16"/>
  <c r="G183" i="16"/>
  <c r="F183" i="16"/>
  <c r="H181" i="16"/>
  <c r="G181" i="16"/>
  <c r="H180" i="16"/>
  <c r="G180" i="16"/>
  <c r="H179" i="16"/>
  <c r="G179" i="16"/>
  <c r="H178" i="16"/>
  <c r="G178" i="16"/>
  <c r="H177" i="16"/>
  <c r="G177" i="16"/>
  <c r="F177" i="16"/>
  <c r="H175" i="16"/>
  <c r="G175" i="16"/>
  <c r="H174" i="16"/>
  <c r="G174" i="16"/>
  <c r="H173" i="16"/>
  <c r="G173" i="16"/>
  <c r="H172" i="16"/>
  <c r="G172" i="16"/>
  <c r="H171" i="16"/>
  <c r="G171" i="16"/>
  <c r="F171" i="16"/>
  <c r="H169" i="16"/>
  <c r="G169" i="16"/>
  <c r="H168" i="16"/>
  <c r="G168" i="16"/>
  <c r="H167" i="16"/>
  <c r="G167" i="16"/>
  <c r="H166" i="16"/>
  <c r="G166" i="16"/>
  <c r="H165" i="16"/>
  <c r="G165" i="16"/>
  <c r="F165" i="16"/>
  <c r="H163" i="16"/>
  <c r="G163" i="16"/>
  <c r="H162" i="16"/>
  <c r="G162" i="16"/>
  <c r="H161" i="16"/>
  <c r="G161" i="16"/>
  <c r="H160" i="16"/>
  <c r="G160" i="16"/>
  <c r="H159" i="16"/>
  <c r="G159" i="16"/>
  <c r="F159" i="16"/>
  <c r="H157" i="16"/>
  <c r="G157" i="16"/>
  <c r="H156" i="16"/>
  <c r="G156" i="16"/>
  <c r="H155" i="16"/>
  <c r="G155" i="16"/>
  <c r="H154" i="16"/>
  <c r="G154" i="16"/>
  <c r="H153" i="16"/>
  <c r="G153" i="16"/>
  <c r="F153" i="16"/>
  <c r="H151" i="16"/>
  <c r="G151" i="16"/>
  <c r="H150" i="16"/>
  <c r="G150" i="16"/>
  <c r="H149" i="16"/>
  <c r="G149" i="16"/>
  <c r="H148" i="16"/>
  <c r="G148" i="16"/>
  <c r="H147" i="16"/>
  <c r="G147" i="16"/>
  <c r="F147" i="16"/>
  <c r="H145" i="16"/>
  <c r="G145" i="16"/>
  <c r="H144" i="16"/>
  <c r="G144" i="16"/>
  <c r="H143" i="16"/>
  <c r="G143" i="16"/>
  <c r="H142" i="16"/>
  <c r="G142" i="16"/>
  <c r="H141" i="16"/>
  <c r="G141" i="16"/>
  <c r="F141" i="16"/>
  <c r="H139" i="16"/>
  <c r="G139" i="16"/>
  <c r="H138" i="16"/>
  <c r="G138" i="16"/>
  <c r="H137" i="16"/>
  <c r="G137" i="16"/>
  <c r="H136" i="16"/>
  <c r="G136" i="16"/>
  <c r="H135" i="16"/>
  <c r="G135" i="16"/>
  <c r="F135" i="16"/>
  <c r="N134" i="16"/>
  <c r="M134" i="16"/>
  <c r="L134" i="16"/>
  <c r="K134" i="16"/>
  <c r="J134" i="16"/>
  <c r="E132" i="16"/>
  <c r="H130" i="16"/>
  <c r="H127" i="16"/>
  <c r="G127" i="16"/>
  <c r="H126" i="16"/>
  <c r="G126" i="16"/>
  <c r="H125" i="16"/>
  <c r="G125" i="16"/>
  <c r="H124" i="16"/>
  <c r="G124" i="16"/>
  <c r="H123" i="16"/>
  <c r="G123" i="16"/>
  <c r="F123" i="16"/>
  <c r="H121" i="16"/>
  <c r="G121" i="16"/>
  <c r="H120" i="16"/>
  <c r="G120" i="16"/>
  <c r="H119" i="16"/>
  <c r="G119" i="16"/>
  <c r="H118" i="16"/>
  <c r="G118" i="16"/>
  <c r="H117" i="16"/>
  <c r="G117" i="16"/>
  <c r="F117" i="16"/>
  <c r="H115" i="16"/>
  <c r="G115" i="16"/>
  <c r="H114" i="16"/>
  <c r="G114" i="16"/>
  <c r="H113" i="16"/>
  <c r="G113" i="16"/>
  <c r="H112" i="16"/>
  <c r="G112" i="16"/>
  <c r="H111" i="16"/>
  <c r="G111" i="16"/>
  <c r="F111" i="16"/>
  <c r="H109" i="16"/>
  <c r="G109" i="16"/>
  <c r="H108" i="16"/>
  <c r="G108" i="16"/>
  <c r="H107" i="16"/>
  <c r="G107" i="16"/>
  <c r="H106" i="16"/>
  <c r="G106" i="16"/>
  <c r="H105" i="16"/>
  <c r="G105" i="16"/>
  <c r="F105" i="16"/>
  <c r="H103" i="16"/>
  <c r="G103" i="16"/>
  <c r="H102" i="16"/>
  <c r="G102" i="16"/>
  <c r="H101" i="16"/>
  <c r="G101" i="16"/>
  <c r="H100" i="16"/>
  <c r="G100" i="16"/>
  <c r="H99" i="16"/>
  <c r="G99" i="16"/>
  <c r="F99" i="16"/>
  <c r="H97" i="16"/>
  <c r="G97" i="16"/>
  <c r="H96" i="16"/>
  <c r="G96" i="16"/>
  <c r="H95" i="16"/>
  <c r="G95" i="16"/>
  <c r="H94" i="16"/>
  <c r="G94" i="16"/>
  <c r="H93" i="16"/>
  <c r="G93" i="16"/>
  <c r="F93" i="16"/>
  <c r="H91" i="16"/>
  <c r="G91" i="16"/>
  <c r="H90" i="16"/>
  <c r="G90" i="16"/>
  <c r="H89" i="16"/>
  <c r="G89" i="16"/>
  <c r="H88" i="16"/>
  <c r="G88" i="16"/>
  <c r="H87" i="16"/>
  <c r="G87" i="16"/>
  <c r="F87" i="16"/>
  <c r="H85" i="16"/>
  <c r="G85" i="16"/>
  <c r="H84" i="16"/>
  <c r="G84" i="16"/>
  <c r="H83" i="16"/>
  <c r="G83" i="16"/>
  <c r="H82" i="16"/>
  <c r="G82" i="16"/>
  <c r="H81" i="16"/>
  <c r="G81" i="16"/>
  <c r="F81" i="16"/>
  <c r="H79" i="16"/>
  <c r="G79" i="16"/>
  <c r="H78" i="16"/>
  <c r="G78" i="16"/>
  <c r="H77" i="16"/>
  <c r="G77" i="16"/>
  <c r="H76" i="16"/>
  <c r="G76" i="16"/>
  <c r="H75" i="16"/>
  <c r="G75" i="16"/>
  <c r="F75" i="16"/>
  <c r="H73" i="16"/>
  <c r="G73" i="16"/>
  <c r="H72" i="16"/>
  <c r="G72" i="16"/>
  <c r="H71" i="16"/>
  <c r="G71" i="16"/>
  <c r="H70" i="16"/>
  <c r="G70" i="16"/>
  <c r="H69" i="16"/>
  <c r="G69" i="16"/>
  <c r="F69" i="16"/>
  <c r="N68" i="16"/>
  <c r="M68" i="16"/>
  <c r="L68" i="16"/>
  <c r="K68" i="16"/>
  <c r="J68" i="16"/>
  <c r="E66" i="16"/>
  <c r="F61" i="16"/>
  <c r="F60" i="16"/>
  <c r="F59" i="16"/>
  <c r="F58" i="16"/>
  <c r="N57" i="16"/>
  <c r="M57" i="16"/>
  <c r="L57" i="16"/>
  <c r="K57" i="16"/>
  <c r="J57" i="16"/>
  <c r="F56" i="16"/>
  <c r="F53" i="16"/>
  <c r="F52" i="16"/>
  <c r="F51" i="16"/>
  <c r="F50" i="16"/>
  <c r="N49" i="16"/>
  <c r="M49" i="16"/>
  <c r="L49" i="16"/>
  <c r="K49" i="16"/>
  <c r="J49" i="16"/>
  <c r="F48" i="16"/>
  <c r="F43" i="16"/>
  <c r="F42" i="16"/>
  <c r="F41" i="16"/>
  <c r="F40" i="16"/>
  <c r="F39" i="16"/>
  <c r="F38" i="16"/>
  <c r="F37" i="16"/>
  <c r="F36" i="16"/>
  <c r="F35" i="16"/>
  <c r="F34" i="16"/>
  <c r="F33" i="16"/>
  <c r="N32" i="16"/>
  <c r="M32" i="16"/>
  <c r="L32" i="16"/>
  <c r="K32" i="16"/>
  <c r="J32" i="16"/>
  <c r="F31" i="16"/>
  <c r="F28" i="16"/>
  <c r="F27" i="16"/>
  <c r="F26" i="16"/>
  <c r="F25" i="16"/>
  <c r="F24" i="16"/>
  <c r="F23" i="16"/>
  <c r="F22" i="16"/>
  <c r="F21" i="16"/>
  <c r="F20" i="16"/>
  <c r="F19" i="16"/>
  <c r="F18" i="16"/>
  <c r="N17" i="16"/>
  <c r="M17" i="16"/>
  <c r="L17" i="16"/>
  <c r="K17" i="16"/>
  <c r="J17" i="16"/>
  <c r="F16" i="16"/>
  <c r="N9" i="16"/>
  <c r="M9" i="16"/>
  <c r="L9" i="16"/>
  <c r="K9" i="16"/>
  <c r="J9" i="16"/>
  <c r="B6" i="16"/>
  <c r="B2" i="16"/>
  <c r="B1" i="16"/>
  <c r="H37" i="21" s="1"/>
  <c r="H229" i="15"/>
  <c r="H201" i="16" s="1"/>
  <c r="N226" i="15"/>
  <c r="N159" i="15" s="1"/>
  <c r="M226" i="15"/>
  <c r="L226" i="15"/>
  <c r="L159" i="15" s="1"/>
  <c r="K226" i="15"/>
  <c r="J226" i="15"/>
  <c r="H226" i="15"/>
  <c r="G226" i="15"/>
  <c r="N225" i="15"/>
  <c r="N158" i="15" s="1"/>
  <c r="M225" i="15"/>
  <c r="L225" i="15"/>
  <c r="L158" i="15" s="1"/>
  <c r="K225" i="15"/>
  <c r="J225" i="15"/>
  <c r="H225" i="15"/>
  <c r="G225" i="15"/>
  <c r="N224" i="15"/>
  <c r="N157" i="15" s="1"/>
  <c r="M224" i="15"/>
  <c r="L224" i="15"/>
  <c r="L157" i="15" s="1"/>
  <c r="K224" i="15"/>
  <c r="J224" i="15"/>
  <c r="H224" i="15"/>
  <c r="G224" i="15"/>
  <c r="N223" i="15"/>
  <c r="N156" i="15" s="1"/>
  <c r="M223" i="15"/>
  <c r="L223" i="15"/>
  <c r="L156" i="15" s="1"/>
  <c r="K223" i="15"/>
  <c r="J223" i="15"/>
  <c r="H223" i="15"/>
  <c r="G223" i="15"/>
  <c r="N222" i="15"/>
  <c r="N155" i="15" s="1"/>
  <c r="M222" i="15"/>
  <c r="M227" i="15" s="1"/>
  <c r="L222" i="15"/>
  <c r="L155" i="15" s="1"/>
  <c r="K222" i="15"/>
  <c r="K227" i="15" s="1"/>
  <c r="J222" i="15"/>
  <c r="J227" i="15" s="1"/>
  <c r="J160" i="15" s="1"/>
  <c r="J59" i="15" s="1"/>
  <c r="J74" i="15" s="1"/>
  <c r="H222" i="15"/>
  <c r="G222" i="15"/>
  <c r="F222" i="15"/>
  <c r="N220" i="15"/>
  <c r="M220" i="15"/>
  <c r="M153" i="15" s="1"/>
  <c r="L220" i="15"/>
  <c r="K220" i="15"/>
  <c r="K153" i="15" s="1"/>
  <c r="J220" i="15"/>
  <c r="I220" i="15"/>
  <c r="I153" i="15" s="1"/>
  <c r="H220" i="15"/>
  <c r="G220" i="15"/>
  <c r="N219" i="15"/>
  <c r="M219" i="15"/>
  <c r="M152" i="15" s="1"/>
  <c r="L219" i="15"/>
  <c r="K219" i="15"/>
  <c r="K152" i="15" s="1"/>
  <c r="J219" i="15"/>
  <c r="I219" i="15"/>
  <c r="I152" i="15" s="1"/>
  <c r="H219" i="15"/>
  <c r="G219" i="15"/>
  <c r="N218" i="15"/>
  <c r="M218" i="15"/>
  <c r="M151" i="15" s="1"/>
  <c r="L218" i="15"/>
  <c r="K218" i="15"/>
  <c r="K151" i="15" s="1"/>
  <c r="J218" i="15"/>
  <c r="I218" i="15"/>
  <c r="I151" i="15" s="1"/>
  <c r="H218" i="15"/>
  <c r="G218" i="15"/>
  <c r="N217" i="15"/>
  <c r="M217" i="15"/>
  <c r="M150" i="15" s="1"/>
  <c r="L217" i="15"/>
  <c r="K217" i="15"/>
  <c r="K150" i="15" s="1"/>
  <c r="J217" i="15"/>
  <c r="I217" i="15"/>
  <c r="I150" i="15" s="1"/>
  <c r="H217" i="15"/>
  <c r="G217" i="15"/>
  <c r="N216" i="15"/>
  <c r="N221" i="15" s="1"/>
  <c r="M216" i="15"/>
  <c r="M149" i="15" s="1"/>
  <c r="L216" i="15"/>
  <c r="L221" i="15" s="1"/>
  <c r="K216" i="15"/>
  <c r="K149" i="15" s="1"/>
  <c r="J216" i="15"/>
  <c r="J221" i="15" s="1"/>
  <c r="I216" i="15"/>
  <c r="I149" i="15" s="1"/>
  <c r="H216" i="15"/>
  <c r="G216" i="15"/>
  <c r="F216" i="15"/>
  <c r="N214" i="15"/>
  <c r="N147" i="15" s="1"/>
  <c r="M214" i="15"/>
  <c r="L214" i="15"/>
  <c r="L147" i="15" s="1"/>
  <c r="K214" i="15"/>
  <c r="J214" i="15"/>
  <c r="H214" i="15"/>
  <c r="G214" i="15"/>
  <c r="N213" i="15"/>
  <c r="N146" i="15" s="1"/>
  <c r="M213" i="15"/>
  <c r="L213" i="15"/>
  <c r="L146" i="15" s="1"/>
  <c r="K213" i="15"/>
  <c r="J213" i="15"/>
  <c r="H213" i="15"/>
  <c r="G213" i="15"/>
  <c r="N212" i="15"/>
  <c r="N145" i="15" s="1"/>
  <c r="M212" i="15"/>
  <c r="L212" i="15"/>
  <c r="L145" i="15" s="1"/>
  <c r="K212" i="15"/>
  <c r="J212" i="15"/>
  <c r="H212" i="15"/>
  <c r="G212" i="15"/>
  <c r="N211" i="15"/>
  <c r="N144" i="15" s="1"/>
  <c r="M211" i="15"/>
  <c r="L211" i="15"/>
  <c r="L144" i="15" s="1"/>
  <c r="K211" i="15"/>
  <c r="J211" i="15"/>
  <c r="H211" i="15"/>
  <c r="G211" i="15"/>
  <c r="N210" i="15"/>
  <c r="N143" i="15" s="1"/>
  <c r="M210" i="15"/>
  <c r="M215" i="15" s="1"/>
  <c r="L210" i="15"/>
  <c r="L143" i="15" s="1"/>
  <c r="K210" i="15"/>
  <c r="K215" i="15" s="1"/>
  <c r="K148" i="15" s="1"/>
  <c r="K57" i="15" s="1"/>
  <c r="K72" i="15" s="1"/>
  <c r="J210" i="15"/>
  <c r="H210" i="15"/>
  <c r="G210" i="15"/>
  <c r="F210" i="15"/>
  <c r="K209" i="15"/>
  <c r="K142" i="15" s="1"/>
  <c r="K56" i="15" s="1"/>
  <c r="K71" i="15" s="1"/>
  <c r="N208" i="15"/>
  <c r="M208" i="15"/>
  <c r="M141" i="15" s="1"/>
  <c r="L208" i="15"/>
  <c r="K208" i="15"/>
  <c r="K141" i="15" s="1"/>
  <c r="J208" i="15"/>
  <c r="I208" i="15"/>
  <c r="I141" i="15" s="1"/>
  <c r="H208" i="15"/>
  <c r="G208" i="15"/>
  <c r="N207" i="15"/>
  <c r="M207" i="15"/>
  <c r="M140" i="15" s="1"/>
  <c r="L207" i="15"/>
  <c r="K207" i="15"/>
  <c r="K140" i="15" s="1"/>
  <c r="J207" i="15"/>
  <c r="I207" i="15"/>
  <c r="I140" i="15" s="1"/>
  <c r="H207" i="15"/>
  <c r="G207" i="15"/>
  <c r="N206" i="15"/>
  <c r="M206" i="15"/>
  <c r="M139" i="15" s="1"/>
  <c r="L206" i="15"/>
  <c r="K206" i="15"/>
  <c r="K139" i="15" s="1"/>
  <c r="J206" i="15"/>
  <c r="I206" i="15"/>
  <c r="I139" i="15" s="1"/>
  <c r="H206" i="15"/>
  <c r="G206" i="15"/>
  <c r="N205" i="15"/>
  <c r="M205" i="15"/>
  <c r="M138" i="15" s="1"/>
  <c r="L205" i="15"/>
  <c r="K205" i="15"/>
  <c r="K138" i="15" s="1"/>
  <c r="J205" i="15"/>
  <c r="I205" i="15"/>
  <c r="I138" i="15" s="1"/>
  <c r="H205" i="15"/>
  <c r="G205" i="15"/>
  <c r="N204" i="15"/>
  <c r="N209" i="15" s="1"/>
  <c r="N142" i="15" s="1"/>
  <c r="N56" i="15" s="1"/>
  <c r="N71" i="15" s="1"/>
  <c r="M204" i="15"/>
  <c r="M137" i="15" s="1"/>
  <c r="L204" i="15"/>
  <c r="L209" i="15" s="1"/>
  <c r="K204" i="15"/>
  <c r="K137" i="15" s="1"/>
  <c r="J204" i="15"/>
  <c r="J209" i="15" s="1"/>
  <c r="J142" i="15" s="1"/>
  <c r="J56" i="15" s="1"/>
  <c r="J71" i="15" s="1"/>
  <c r="I204" i="15"/>
  <c r="I137" i="15" s="1"/>
  <c r="H204" i="15"/>
  <c r="G204" i="15"/>
  <c r="F204" i="15"/>
  <c r="N202" i="15"/>
  <c r="N135" i="15" s="1"/>
  <c r="M202" i="15"/>
  <c r="L202" i="15"/>
  <c r="L135" i="15" s="1"/>
  <c r="K202" i="15"/>
  <c r="J202" i="15"/>
  <c r="H202" i="15"/>
  <c r="G202" i="15"/>
  <c r="N201" i="15"/>
  <c r="N134" i="15" s="1"/>
  <c r="M201" i="15"/>
  <c r="L201" i="15"/>
  <c r="L134" i="15" s="1"/>
  <c r="K201" i="15"/>
  <c r="J201" i="15"/>
  <c r="H201" i="15"/>
  <c r="G201" i="15"/>
  <c r="N200" i="15"/>
  <c r="N133" i="15" s="1"/>
  <c r="M200" i="15"/>
  <c r="L200" i="15"/>
  <c r="L133" i="15" s="1"/>
  <c r="K200" i="15"/>
  <c r="J200" i="15"/>
  <c r="H200" i="15"/>
  <c r="G200" i="15"/>
  <c r="N199" i="15"/>
  <c r="N132" i="15" s="1"/>
  <c r="M199" i="15"/>
  <c r="L199" i="15"/>
  <c r="L132" i="15" s="1"/>
  <c r="K199" i="15"/>
  <c r="J199" i="15"/>
  <c r="H199" i="15"/>
  <c r="G199" i="15"/>
  <c r="N198" i="15"/>
  <c r="N131" i="15" s="1"/>
  <c r="M198" i="15"/>
  <c r="M203" i="15" s="1"/>
  <c r="L198" i="15"/>
  <c r="L131" i="15" s="1"/>
  <c r="K198" i="15"/>
  <c r="K203" i="15" s="1"/>
  <c r="J198" i="15"/>
  <c r="J203" i="15" s="1"/>
  <c r="J136" i="15" s="1"/>
  <c r="J55" i="15" s="1"/>
  <c r="J70" i="15" s="1"/>
  <c r="H198" i="15"/>
  <c r="G198" i="15"/>
  <c r="F198" i="15"/>
  <c r="N196" i="15"/>
  <c r="M196" i="15"/>
  <c r="M129" i="15" s="1"/>
  <c r="L196" i="15"/>
  <c r="K196" i="15"/>
  <c r="K129" i="15" s="1"/>
  <c r="J196" i="15"/>
  <c r="I196" i="15"/>
  <c r="I129" i="15" s="1"/>
  <c r="H196" i="15"/>
  <c r="G196" i="15"/>
  <c r="N195" i="15"/>
  <c r="M195" i="15"/>
  <c r="M128" i="15" s="1"/>
  <c r="L195" i="15"/>
  <c r="K195" i="15"/>
  <c r="K128" i="15" s="1"/>
  <c r="J195" i="15"/>
  <c r="I195" i="15"/>
  <c r="I128" i="15" s="1"/>
  <c r="H195" i="15"/>
  <c r="G195" i="15"/>
  <c r="N194" i="15"/>
  <c r="M194" i="15"/>
  <c r="M127" i="15" s="1"/>
  <c r="L194" i="15"/>
  <c r="K194" i="15"/>
  <c r="K127" i="15" s="1"/>
  <c r="J194" i="15"/>
  <c r="I194" i="15"/>
  <c r="I127" i="15" s="1"/>
  <c r="H194" i="15"/>
  <c r="G194" i="15"/>
  <c r="N193" i="15"/>
  <c r="M193" i="15"/>
  <c r="M126" i="15" s="1"/>
  <c r="L193" i="15"/>
  <c r="K193" i="15"/>
  <c r="K126" i="15" s="1"/>
  <c r="J193" i="15"/>
  <c r="I193" i="15"/>
  <c r="I126" i="15" s="1"/>
  <c r="H193" i="15"/>
  <c r="G193" i="15"/>
  <c r="N192" i="15"/>
  <c r="N197" i="15" s="1"/>
  <c r="M192" i="15"/>
  <c r="M125" i="15" s="1"/>
  <c r="L192" i="15"/>
  <c r="L197" i="15" s="1"/>
  <c r="K192" i="15"/>
  <c r="K125" i="15" s="1"/>
  <c r="J192" i="15"/>
  <c r="J197" i="15" s="1"/>
  <c r="I192" i="15"/>
  <c r="I125" i="15" s="1"/>
  <c r="H192" i="15"/>
  <c r="G192" i="15"/>
  <c r="F192" i="15"/>
  <c r="N190" i="15"/>
  <c r="N123" i="15" s="1"/>
  <c r="M190" i="15"/>
  <c r="L190" i="15"/>
  <c r="L123" i="15" s="1"/>
  <c r="K190" i="15"/>
  <c r="J190" i="15"/>
  <c r="H190" i="15"/>
  <c r="G190" i="15"/>
  <c r="N189" i="15"/>
  <c r="N122" i="15" s="1"/>
  <c r="M189" i="15"/>
  <c r="L189" i="15"/>
  <c r="L122" i="15" s="1"/>
  <c r="K189" i="15"/>
  <c r="J189" i="15"/>
  <c r="H189" i="15"/>
  <c r="G189" i="15"/>
  <c r="N188" i="15"/>
  <c r="N121" i="15" s="1"/>
  <c r="M188" i="15"/>
  <c r="L188" i="15"/>
  <c r="L121" i="15" s="1"/>
  <c r="K188" i="15"/>
  <c r="J188" i="15"/>
  <c r="H188" i="15"/>
  <c r="G188" i="15"/>
  <c r="N187" i="15"/>
  <c r="N120" i="15" s="1"/>
  <c r="M187" i="15"/>
  <c r="L187" i="15"/>
  <c r="L120" i="15" s="1"/>
  <c r="K187" i="15"/>
  <c r="J187" i="15"/>
  <c r="H187" i="15"/>
  <c r="G187" i="15"/>
  <c r="N186" i="15"/>
  <c r="N119" i="15" s="1"/>
  <c r="M186" i="15"/>
  <c r="M191" i="15" s="1"/>
  <c r="L186" i="15"/>
  <c r="L119" i="15" s="1"/>
  <c r="K186" i="15"/>
  <c r="K191" i="15" s="1"/>
  <c r="K124" i="15" s="1"/>
  <c r="K53" i="15" s="1"/>
  <c r="K68" i="15" s="1"/>
  <c r="J186" i="15"/>
  <c r="H186" i="15"/>
  <c r="G186" i="15"/>
  <c r="F186" i="15"/>
  <c r="K185" i="15"/>
  <c r="K118" i="15" s="1"/>
  <c r="K52" i="15" s="1"/>
  <c r="K67" i="15" s="1"/>
  <c r="N184" i="15"/>
  <c r="M184" i="15"/>
  <c r="M117" i="15" s="1"/>
  <c r="L184" i="15"/>
  <c r="K184" i="15"/>
  <c r="K117" i="15" s="1"/>
  <c r="J184" i="15"/>
  <c r="I184" i="15"/>
  <c r="I117" i="15" s="1"/>
  <c r="H184" i="15"/>
  <c r="G184" i="15"/>
  <c r="N183" i="15"/>
  <c r="M183" i="15"/>
  <c r="M116" i="15" s="1"/>
  <c r="L183" i="15"/>
  <c r="K183" i="15"/>
  <c r="K116" i="15" s="1"/>
  <c r="J183" i="15"/>
  <c r="I183" i="15"/>
  <c r="I116" i="15" s="1"/>
  <c r="H183" i="15"/>
  <c r="G183" i="15"/>
  <c r="N182" i="15"/>
  <c r="M182" i="15"/>
  <c r="M115" i="15" s="1"/>
  <c r="L182" i="15"/>
  <c r="K182" i="15"/>
  <c r="K115" i="15" s="1"/>
  <c r="J182" i="15"/>
  <c r="I182" i="15"/>
  <c r="I115" i="15" s="1"/>
  <c r="H182" i="15"/>
  <c r="G182" i="15"/>
  <c r="N181" i="15"/>
  <c r="M181" i="15"/>
  <c r="M114" i="15" s="1"/>
  <c r="L181" i="15"/>
  <c r="K181" i="15"/>
  <c r="K114" i="15" s="1"/>
  <c r="J181" i="15"/>
  <c r="I181" i="15"/>
  <c r="I114" i="15" s="1"/>
  <c r="H181" i="15"/>
  <c r="G181" i="15"/>
  <c r="N180" i="15"/>
  <c r="N185" i="15" s="1"/>
  <c r="N118" i="15" s="1"/>
  <c r="N52" i="15" s="1"/>
  <c r="N67" i="15" s="1"/>
  <c r="M180" i="15"/>
  <c r="M113" i="15" s="1"/>
  <c r="L180" i="15"/>
  <c r="L185" i="15" s="1"/>
  <c r="K180" i="15"/>
  <c r="K113" i="15" s="1"/>
  <c r="J180" i="15"/>
  <c r="J185" i="15" s="1"/>
  <c r="J118" i="15" s="1"/>
  <c r="J52" i="15" s="1"/>
  <c r="J67" i="15" s="1"/>
  <c r="I180" i="15"/>
  <c r="I113" i="15" s="1"/>
  <c r="H180" i="15"/>
  <c r="G180" i="15"/>
  <c r="F180" i="15"/>
  <c r="N178" i="15"/>
  <c r="N111" i="15" s="1"/>
  <c r="M178" i="15"/>
  <c r="L178" i="15"/>
  <c r="L111" i="15" s="1"/>
  <c r="K178" i="15"/>
  <c r="J178" i="15"/>
  <c r="H178" i="15"/>
  <c r="G178" i="15"/>
  <c r="N177" i="15"/>
  <c r="N110" i="15" s="1"/>
  <c r="M177" i="15"/>
  <c r="L177" i="15"/>
  <c r="L110" i="15" s="1"/>
  <c r="K177" i="15"/>
  <c r="J177" i="15"/>
  <c r="H177" i="15"/>
  <c r="G177" i="15"/>
  <c r="N176" i="15"/>
  <c r="N109" i="15" s="1"/>
  <c r="M176" i="15"/>
  <c r="L176" i="15"/>
  <c r="L109" i="15" s="1"/>
  <c r="K176" i="15"/>
  <c r="J176" i="15"/>
  <c r="H176" i="15"/>
  <c r="G176" i="15"/>
  <c r="N175" i="15"/>
  <c r="N108" i="15" s="1"/>
  <c r="M175" i="15"/>
  <c r="L175" i="15"/>
  <c r="L108" i="15" s="1"/>
  <c r="K175" i="15"/>
  <c r="J175" i="15"/>
  <c r="H175" i="15"/>
  <c r="G175" i="15"/>
  <c r="N174" i="15"/>
  <c r="N107" i="15" s="1"/>
  <c r="M174" i="15"/>
  <c r="M179" i="15" s="1"/>
  <c r="L174" i="15"/>
  <c r="L107" i="15" s="1"/>
  <c r="K174" i="15"/>
  <c r="K179" i="15" s="1"/>
  <c r="J174" i="15"/>
  <c r="J179" i="15" s="1"/>
  <c r="J112" i="15" s="1"/>
  <c r="J51" i="15" s="1"/>
  <c r="J66" i="15" s="1"/>
  <c r="H174" i="15"/>
  <c r="G174" i="15"/>
  <c r="F174" i="15"/>
  <c r="N172" i="15"/>
  <c r="M172" i="15"/>
  <c r="M105" i="15" s="1"/>
  <c r="L172" i="15"/>
  <c r="K172" i="15"/>
  <c r="K105" i="15" s="1"/>
  <c r="J172" i="15"/>
  <c r="I172" i="15"/>
  <c r="I105" i="15" s="1"/>
  <c r="H172" i="15"/>
  <c r="G172" i="15"/>
  <c r="N171" i="15"/>
  <c r="M171" i="15"/>
  <c r="M104" i="15" s="1"/>
  <c r="L171" i="15"/>
  <c r="K171" i="15"/>
  <c r="K104" i="15" s="1"/>
  <c r="J171" i="15"/>
  <c r="I171" i="15"/>
  <c r="I104" i="15" s="1"/>
  <c r="H171" i="15"/>
  <c r="G171" i="15"/>
  <c r="N170" i="15"/>
  <c r="M170" i="15"/>
  <c r="M103" i="15" s="1"/>
  <c r="L170" i="15"/>
  <c r="K170" i="15"/>
  <c r="K103" i="15" s="1"/>
  <c r="J170" i="15"/>
  <c r="I170" i="15"/>
  <c r="I103" i="15" s="1"/>
  <c r="H170" i="15"/>
  <c r="G170" i="15"/>
  <c r="N169" i="15"/>
  <c r="M169" i="15"/>
  <c r="M102" i="15" s="1"/>
  <c r="L169" i="15"/>
  <c r="K169" i="15"/>
  <c r="K102" i="15" s="1"/>
  <c r="J169" i="15"/>
  <c r="I169" i="15"/>
  <c r="I102" i="15" s="1"/>
  <c r="H169" i="15"/>
  <c r="G169" i="15"/>
  <c r="N168" i="15"/>
  <c r="N173" i="15" s="1"/>
  <c r="M168" i="15"/>
  <c r="M101" i="15" s="1"/>
  <c r="L168" i="15"/>
  <c r="L173" i="15" s="1"/>
  <c r="K168" i="15"/>
  <c r="K101" i="15" s="1"/>
  <c r="J168" i="15"/>
  <c r="J173" i="15" s="1"/>
  <c r="I168" i="15"/>
  <c r="I101" i="15" s="1"/>
  <c r="H168" i="15"/>
  <c r="G168" i="15"/>
  <c r="F168" i="15"/>
  <c r="N167" i="15"/>
  <c r="M167" i="15"/>
  <c r="L167" i="15"/>
  <c r="K167" i="15"/>
  <c r="J167" i="15"/>
  <c r="E165" i="15"/>
  <c r="H162" i="15"/>
  <c r="M160" i="15"/>
  <c r="K160" i="15"/>
  <c r="M159" i="15"/>
  <c r="K159" i="15"/>
  <c r="H159" i="15"/>
  <c r="G159" i="15"/>
  <c r="M158" i="15"/>
  <c r="K158" i="15"/>
  <c r="H158" i="15"/>
  <c r="G158" i="15"/>
  <c r="M157" i="15"/>
  <c r="K157" i="15"/>
  <c r="H157" i="15"/>
  <c r="G157" i="15"/>
  <c r="M156" i="15"/>
  <c r="K156" i="15"/>
  <c r="H156" i="15"/>
  <c r="G156" i="15"/>
  <c r="M155" i="15"/>
  <c r="K155" i="15"/>
  <c r="H155" i="15"/>
  <c r="G155" i="15"/>
  <c r="F155" i="15"/>
  <c r="N154" i="15"/>
  <c r="N58" i="15" s="1"/>
  <c r="N73" i="15" s="1"/>
  <c r="L154" i="15"/>
  <c r="L58" i="15" s="1"/>
  <c r="L73" i="15" s="1"/>
  <c r="J154" i="15"/>
  <c r="J58" i="15" s="1"/>
  <c r="J73" i="15" s="1"/>
  <c r="N153" i="15"/>
  <c r="L153" i="15"/>
  <c r="J153" i="15"/>
  <c r="H153" i="15"/>
  <c r="G153" i="15"/>
  <c r="N152" i="15"/>
  <c r="L152" i="15"/>
  <c r="J152" i="15"/>
  <c r="H152" i="15"/>
  <c r="G152" i="15"/>
  <c r="N151" i="15"/>
  <c r="L151" i="15"/>
  <c r="J151" i="15"/>
  <c r="H151" i="15"/>
  <c r="G151" i="15"/>
  <c r="N150" i="15"/>
  <c r="L150" i="15"/>
  <c r="J150" i="15"/>
  <c r="H150" i="15"/>
  <c r="G150" i="15"/>
  <c r="N149" i="15"/>
  <c r="L149" i="15"/>
  <c r="J149" i="15"/>
  <c r="H149" i="15"/>
  <c r="G149" i="15"/>
  <c r="F149" i="15"/>
  <c r="M148" i="15"/>
  <c r="M147" i="15"/>
  <c r="K147" i="15"/>
  <c r="H147" i="15"/>
  <c r="G147" i="15"/>
  <c r="M146" i="15"/>
  <c r="K146" i="15"/>
  <c r="H146" i="15"/>
  <c r="G146" i="15"/>
  <c r="M145" i="15"/>
  <c r="K145" i="15"/>
  <c r="H145" i="15"/>
  <c r="G145" i="15"/>
  <c r="M144" i="15"/>
  <c r="K144" i="15"/>
  <c r="H144" i="15"/>
  <c r="G144" i="15"/>
  <c r="M143" i="15"/>
  <c r="K143" i="15"/>
  <c r="H143" i="15"/>
  <c r="G143" i="15"/>
  <c r="F143" i="15"/>
  <c r="L142" i="15"/>
  <c r="L56" i="15" s="1"/>
  <c r="L71" i="15" s="1"/>
  <c r="N141" i="15"/>
  <c r="L141" i="15"/>
  <c r="J141" i="15"/>
  <c r="H141" i="15"/>
  <c r="G141" i="15"/>
  <c r="N140" i="15"/>
  <c r="L140" i="15"/>
  <c r="J140" i="15"/>
  <c r="H140" i="15"/>
  <c r="G140" i="15"/>
  <c r="N139" i="15"/>
  <c r="L139" i="15"/>
  <c r="J139" i="15"/>
  <c r="H139" i="15"/>
  <c r="G139" i="15"/>
  <c r="N138" i="15"/>
  <c r="L138" i="15"/>
  <c r="J138" i="15"/>
  <c r="H138" i="15"/>
  <c r="G138" i="15"/>
  <c r="N137" i="15"/>
  <c r="L137" i="15"/>
  <c r="J137" i="15"/>
  <c r="H137" i="15"/>
  <c r="G137" i="15"/>
  <c r="F137" i="15"/>
  <c r="M136" i="15"/>
  <c r="K136" i="15"/>
  <c r="M135" i="15"/>
  <c r="K135" i="15"/>
  <c r="H135" i="15"/>
  <c r="G135" i="15"/>
  <c r="M134" i="15"/>
  <c r="K134" i="15"/>
  <c r="H134" i="15"/>
  <c r="G134" i="15"/>
  <c r="M133" i="15"/>
  <c r="K133" i="15"/>
  <c r="H133" i="15"/>
  <c r="G133" i="15"/>
  <c r="M132" i="15"/>
  <c r="K132" i="15"/>
  <c r="H132" i="15"/>
  <c r="G132" i="15"/>
  <c r="M131" i="15"/>
  <c r="K131" i="15"/>
  <c r="H131" i="15"/>
  <c r="G131" i="15"/>
  <c r="F131" i="15"/>
  <c r="N130" i="15"/>
  <c r="N54" i="15" s="1"/>
  <c r="N69" i="15" s="1"/>
  <c r="L130" i="15"/>
  <c r="L54" i="15" s="1"/>
  <c r="L69" i="15" s="1"/>
  <c r="J130" i="15"/>
  <c r="J54" i="15" s="1"/>
  <c r="J69" i="15" s="1"/>
  <c r="N129" i="15"/>
  <c r="L129" i="15"/>
  <c r="J129" i="15"/>
  <c r="H129" i="15"/>
  <c r="G129" i="15"/>
  <c r="N128" i="15"/>
  <c r="L128" i="15"/>
  <c r="J128" i="15"/>
  <c r="H128" i="15"/>
  <c r="G128" i="15"/>
  <c r="N127" i="15"/>
  <c r="L127" i="15"/>
  <c r="J127" i="15"/>
  <c r="H127" i="15"/>
  <c r="G127" i="15"/>
  <c r="N126" i="15"/>
  <c r="L126" i="15"/>
  <c r="J126" i="15"/>
  <c r="H126" i="15"/>
  <c r="G126" i="15"/>
  <c r="N125" i="15"/>
  <c r="L125" i="15"/>
  <c r="J125" i="15"/>
  <c r="H125" i="15"/>
  <c r="G125" i="15"/>
  <c r="F125" i="15"/>
  <c r="M124" i="15"/>
  <c r="M123" i="15"/>
  <c r="K123" i="15"/>
  <c r="H123" i="15"/>
  <c r="G123" i="15"/>
  <c r="M122" i="15"/>
  <c r="K122" i="15"/>
  <c r="H122" i="15"/>
  <c r="G122" i="15"/>
  <c r="M121" i="15"/>
  <c r="K121" i="15"/>
  <c r="H121" i="15"/>
  <c r="G121" i="15"/>
  <c r="M120" i="15"/>
  <c r="K120" i="15"/>
  <c r="H120" i="15"/>
  <c r="G120" i="15"/>
  <c r="M119" i="15"/>
  <c r="K119" i="15"/>
  <c r="H119" i="15"/>
  <c r="G119" i="15"/>
  <c r="F119" i="15"/>
  <c r="L118" i="15"/>
  <c r="L52" i="15" s="1"/>
  <c r="L67" i="15" s="1"/>
  <c r="N117" i="15"/>
  <c r="L117" i="15"/>
  <c r="J117" i="15"/>
  <c r="H117" i="15"/>
  <c r="G117" i="15"/>
  <c r="N116" i="15"/>
  <c r="L116" i="15"/>
  <c r="J116" i="15"/>
  <c r="H116" i="15"/>
  <c r="G116" i="15"/>
  <c r="N115" i="15"/>
  <c r="L115" i="15"/>
  <c r="J115" i="15"/>
  <c r="H115" i="15"/>
  <c r="G115" i="15"/>
  <c r="N114" i="15"/>
  <c r="L114" i="15"/>
  <c r="J114" i="15"/>
  <c r="H114" i="15"/>
  <c r="G114" i="15"/>
  <c r="N113" i="15"/>
  <c r="L113" i="15"/>
  <c r="J113" i="15"/>
  <c r="H113" i="15"/>
  <c r="G113" i="15"/>
  <c r="F113" i="15"/>
  <c r="M112" i="15"/>
  <c r="K112" i="15"/>
  <c r="M111" i="15"/>
  <c r="K111" i="15"/>
  <c r="H111" i="15"/>
  <c r="G111" i="15"/>
  <c r="M110" i="15"/>
  <c r="K110" i="15"/>
  <c r="H110" i="15"/>
  <c r="G110" i="15"/>
  <c r="M109" i="15"/>
  <c r="K109" i="15"/>
  <c r="H109" i="15"/>
  <c r="G109" i="15"/>
  <c r="M108" i="15"/>
  <c r="K108" i="15"/>
  <c r="H108" i="15"/>
  <c r="G108" i="15"/>
  <c r="M107" i="15"/>
  <c r="K107" i="15"/>
  <c r="H107" i="15"/>
  <c r="G107" i="15"/>
  <c r="F107" i="15"/>
  <c r="N106" i="15"/>
  <c r="N50" i="15" s="1"/>
  <c r="L106" i="15"/>
  <c r="L50" i="15" s="1"/>
  <c r="J106" i="15"/>
  <c r="J50" i="15" s="1"/>
  <c r="N105" i="15"/>
  <c r="L105" i="15"/>
  <c r="J105" i="15"/>
  <c r="H105" i="15"/>
  <c r="G105" i="15"/>
  <c r="N104" i="15"/>
  <c r="L104" i="15"/>
  <c r="J104" i="15"/>
  <c r="H104" i="15"/>
  <c r="G104" i="15"/>
  <c r="N103" i="15"/>
  <c r="L103" i="15"/>
  <c r="J103" i="15"/>
  <c r="H103" i="15"/>
  <c r="G103" i="15"/>
  <c r="N102" i="15"/>
  <c r="L102" i="15"/>
  <c r="J102" i="15"/>
  <c r="H102" i="15"/>
  <c r="G102" i="15"/>
  <c r="N101" i="15"/>
  <c r="L101" i="15"/>
  <c r="J101" i="15"/>
  <c r="H101" i="15"/>
  <c r="G101" i="15"/>
  <c r="F101" i="15"/>
  <c r="N100" i="15"/>
  <c r="M100" i="15"/>
  <c r="L100" i="15"/>
  <c r="K100" i="15"/>
  <c r="J100" i="15"/>
  <c r="E98" i="15"/>
  <c r="F93" i="15"/>
  <c r="F92" i="15"/>
  <c r="F91" i="15"/>
  <c r="F90" i="15"/>
  <c r="N89" i="15"/>
  <c r="M89" i="15"/>
  <c r="L89" i="15"/>
  <c r="K89" i="15"/>
  <c r="J89" i="15"/>
  <c r="F88" i="15"/>
  <c r="F85" i="15"/>
  <c r="F84" i="15"/>
  <c r="F83" i="15"/>
  <c r="F82" i="15"/>
  <c r="N81" i="15"/>
  <c r="M81" i="15"/>
  <c r="L81" i="15"/>
  <c r="K81" i="15"/>
  <c r="J81" i="15"/>
  <c r="F80" i="15"/>
  <c r="F75" i="15"/>
  <c r="F74" i="15"/>
  <c r="F73" i="15"/>
  <c r="F72" i="15"/>
  <c r="F71" i="15"/>
  <c r="F70" i="15"/>
  <c r="F69" i="15"/>
  <c r="F68" i="15"/>
  <c r="F67" i="15"/>
  <c r="F66" i="15"/>
  <c r="F65" i="15"/>
  <c r="N64" i="15"/>
  <c r="M64" i="15"/>
  <c r="L64" i="15"/>
  <c r="K64" i="15"/>
  <c r="J64" i="15"/>
  <c r="F63" i="15"/>
  <c r="F60" i="15"/>
  <c r="M59" i="15"/>
  <c r="M74" i="15" s="1"/>
  <c r="K59" i="15"/>
  <c r="K74" i="15" s="1"/>
  <c r="F59" i="15"/>
  <c r="F58" i="15"/>
  <c r="M57" i="15"/>
  <c r="M72" i="15" s="1"/>
  <c r="F57" i="15"/>
  <c r="F56" i="15"/>
  <c r="M55" i="15"/>
  <c r="M70" i="15" s="1"/>
  <c r="K55" i="15"/>
  <c r="K70" i="15" s="1"/>
  <c r="F55" i="15"/>
  <c r="F54" i="15"/>
  <c r="M53" i="15"/>
  <c r="M68" i="15" s="1"/>
  <c r="F53" i="15"/>
  <c r="F52" i="15"/>
  <c r="M51" i="15"/>
  <c r="M66" i="15" s="1"/>
  <c r="K51" i="15"/>
  <c r="K66" i="15" s="1"/>
  <c r="F51" i="15"/>
  <c r="F50" i="15"/>
  <c r="N49" i="15"/>
  <c r="M49" i="15"/>
  <c r="L49" i="15"/>
  <c r="K49" i="15"/>
  <c r="J49" i="15"/>
  <c r="F48" i="15"/>
  <c r="F43" i="15"/>
  <c r="F42" i="15"/>
  <c r="F41" i="15"/>
  <c r="F40" i="15"/>
  <c r="F39" i="15"/>
  <c r="F38" i="15"/>
  <c r="F37" i="15"/>
  <c r="F36" i="15"/>
  <c r="F35" i="15"/>
  <c r="F34" i="15"/>
  <c r="N33" i="15"/>
  <c r="M33" i="15"/>
  <c r="L33" i="15"/>
  <c r="K33" i="15"/>
  <c r="J33" i="15"/>
  <c r="F31" i="15"/>
  <c r="F28" i="15"/>
  <c r="F27" i="15"/>
  <c r="F26" i="15"/>
  <c r="F25" i="15"/>
  <c r="F24" i="15"/>
  <c r="F23" i="15"/>
  <c r="F22" i="15"/>
  <c r="F21" i="15"/>
  <c r="F20" i="15"/>
  <c r="F19" i="15"/>
  <c r="N18" i="15"/>
  <c r="M18" i="15"/>
  <c r="L18" i="15"/>
  <c r="K18" i="15"/>
  <c r="J18" i="15"/>
  <c r="F16" i="15"/>
  <c r="N9" i="15"/>
  <c r="M9" i="15"/>
  <c r="L9" i="15"/>
  <c r="K9" i="15"/>
  <c r="J9" i="15"/>
  <c r="B6" i="15"/>
  <c r="B2" i="15"/>
  <c r="B1" i="15"/>
  <c r="H36" i="21" s="1"/>
  <c r="H229" i="63"/>
  <c r="N226" i="63"/>
  <c r="J226" i="63"/>
  <c r="H226" i="63"/>
  <c r="G226" i="63"/>
  <c r="H225" i="63"/>
  <c r="G225" i="63"/>
  <c r="N224" i="63"/>
  <c r="J224" i="63"/>
  <c r="H224" i="63"/>
  <c r="G224" i="63"/>
  <c r="H223" i="63"/>
  <c r="G223" i="63"/>
  <c r="N222" i="63"/>
  <c r="J222" i="63"/>
  <c r="H222" i="63"/>
  <c r="G222" i="63"/>
  <c r="F222" i="63"/>
  <c r="K220" i="63"/>
  <c r="H220" i="63"/>
  <c r="G220" i="63"/>
  <c r="M219" i="63"/>
  <c r="H219" i="63"/>
  <c r="G219" i="63"/>
  <c r="K218" i="63"/>
  <c r="H218" i="63"/>
  <c r="G218" i="63"/>
  <c r="M217" i="63"/>
  <c r="H217" i="63"/>
  <c r="G217" i="63"/>
  <c r="K216" i="63"/>
  <c r="H216" i="63"/>
  <c r="G216" i="63"/>
  <c r="F216" i="63"/>
  <c r="H214" i="63"/>
  <c r="G214" i="63"/>
  <c r="L213" i="63"/>
  <c r="H213" i="63"/>
  <c r="G213" i="63"/>
  <c r="H212" i="63"/>
  <c r="G212" i="63"/>
  <c r="L211" i="63"/>
  <c r="H211" i="63"/>
  <c r="G211" i="63"/>
  <c r="H210" i="63"/>
  <c r="G210" i="63"/>
  <c r="F210" i="63"/>
  <c r="H208" i="63"/>
  <c r="G208" i="63"/>
  <c r="H207" i="63"/>
  <c r="G207" i="63"/>
  <c r="H206" i="63"/>
  <c r="G206" i="63"/>
  <c r="H205" i="63"/>
  <c r="G205" i="63"/>
  <c r="H204" i="63"/>
  <c r="G204" i="63"/>
  <c r="F204" i="63"/>
  <c r="N202" i="63"/>
  <c r="J202" i="63"/>
  <c r="H202" i="63"/>
  <c r="G202" i="63"/>
  <c r="H201" i="63"/>
  <c r="G201" i="63"/>
  <c r="N200" i="63"/>
  <c r="J200" i="63"/>
  <c r="H200" i="63"/>
  <c r="G200" i="63"/>
  <c r="H199" i="63"/>
  <c r="G199" i="63"/>
  <c r="N198" i="63"/>
  <c r="J198" i="63"/>
  <c r="H198" i="63"/>
  <c r="G198" i="63"/>
  <c r="F198" i="63"/>
  <c r="K196" i="63"/>
  <c r="H196" i="63"/>
  <c r="G196" i="63"/>
  <c r="M195" i="63"/>
  <c r="H195" i="63"/>
  <c r="G195" i="63"/>
  <c r="H194" i="63"/>
  <c r="G194" i="63"/>
  <c r="H193" i="63"/>
  <c r="G193" i="63"/>
  <c r="H192" i="63"/>
  <c r="G192" i="63"/>
  <c r="F192" i="63"/>
  <c r="N190" i="63"/>
  <c r="J190" i="63"/>
  <c r="H190" i="63"/>
  <c r="G190" i="63"/>
  <c r="H189" i="63"/>
  <c r="G189" i="63"/>
  <c r="H188" i="63"/>
  <c r="G188" i="63"/>
  <c r="H187" i="63"/>
  <c r="G187" i="63"/>
  <c r="H186" i="63"/>
  <c r="G186" i="63"/>
  <c r="F186" i="63"/>
  <c r="K184" i="63"/>
  <c r="H184" i="63"/>
  <c r="G184" i="63"/>
  <c r="M183" i="63"/>
  <c r="H183" i="63"/>
  <c r="G183" i="63"/>
  <c r="K182" i="63"/>
  <c r="H182" i="63"/>
  <c r="G182" i="63"/>
  <c r="H181" i="63"/>
  <c r="G181" i="63"/>
  <c r="H180" i="63"/>
  <c r="G180" i="63"/>
  <c r="F180" i="63"/>
  <c r="H178" i="63"/>
  <c r="G178" i="63"/>
  <c r="L177" i="63"/>
  <c r="H177" i="63"/>
  <c r="G177" i="63"/>
  <c r="H176" i="63"/>
  <c r="G176" i="63"/>
  <c r="H175" i="63"/>
  <c r="G175" i="63"/>
  <c r="H174" i="63"/>
  <c r="G174" i="63"/>
  <c r="F174" i="63"/>
  <c r="H172" i="63"/>
  <c r="G172" i="63"/>
  <c r="H171" i="63"/>
  <c r="G171" i="63"/>
  <c r="H170" i="63"/>
  <c r="G170" i="63"/>
  <c r="H169" i="63"/>
  <c r="G169" i="63"/>
  <c r="G168" i="63"/>
  <c r="F168" i="63"/>
  <c r="N167" i="63"/>
  <c r="M167" i="63"/>
  <c r="L167" i="63"/>
  <c r="K167" i="63"/>
  <c r="J167" i="63"/>
  <c r="E165" i="63"/>
  <c r="H162" i="63"/>
  <c r="N159" i="63"/>
  <c r="M159" i="63"/>
  <c r="M226" i="63" s="1"/>
  <c r="L159" i="63"/>
  <c r="L226" i="63" s="1"/>
  <c r="K159" i="63"/>
  <c r="K226" i="63" s="1"/>
  <c r="J159" i="63"/>
  <c r="H159" i="63"/>
  <c r="G159" i="63"/>
  <c r="N158" i="63"/>
  <c r="N225" i="63" s="1"/>
  <c r="M158" i="63"/>
  <c r="M225" i="63" s="1"/>
  <c r="L158" i="63"/>
  <c r="L225" i="63" s="1"/>
  <c r="K158" i="63"/>
  <c r="K225" i="63" s="1"/>
  <c r="J158" i="63"/>
  <c r="J225" i="63" s="1"/>
  <c r="H158" i="63"/>
  <c r="G158" i="63"/>
  <c r="N157" i="63"/>
  <c r="M157" i="63"/>
  <c r="M224" i="63" s="1"/>
  <c r="L157" i="63"/>
  <c r="L224" i="63" s="1"/>
  <c r="K157" i="63"/>
  <c r="K224" i="63" s="1"/>
  <c r="J157" i="63"/>
  <c r="H157" i="63"/>
  <c r="G157" i="63"/>
  <c r="N156" i="63"/>
  <c r="N223" i="63" s="1"/>
  <c r="M156" i="63"/>
  <c r="M223" i="63" s="1"/>
  <c r="L156" i="63"/>
  <c r="L223" i="63" s="1"/>
  <c r="K156" i="63"/>
  <c r="K223" i="63" s="1"/>
  <c r="J156" i="63"/>
  <c r="J223" i="63" s="1"/>
  <c r="H156" i="63"/>
  <c r="G156" i="63"/>
  <c r="N155" i="63"/>
  <c r="M155" i="63"/>
  <c r="M222" i="63" s="1"/>
  <c r="L155" i="63"/>
  <c r="L222" i="63" s="1"/>
  <c r="K155" i="63"/>
  <c r="K222" i="63" s="1"/>
  <c r="J155" i="63"/>
  <c r="H155" i="63"/>
  <c r="G155" i="63"/>
  <c r="F155" i="63"/>
  <c r="N153" i="63"/>
  <c r="N220" i="63" s="1"/>
  <c r="M153" i="63"/>
  <c r="M220" i="63" s="1"/>
  <c r="L153" i="63"/>
  <c r="L220" i="63" s="1"/>
  <c r="K153" i="63"/>
  <c r="J153" i="63"/>
  <c r="J220" i="63" s="1"/>
  <c r="H153" i="63"/>
  <c r="G153" i="63"/>
  <c r="N152" i="63"/>
  <c r="N219" i="63" s="1"/>
  <c r="M152" i="63"/>
  <c r="L152" i="63"/>
  <c r="L219" i="63" s="1"/>
  <c r="K152" i="63"/>
  <c r="K219" i="63" s="1"/>
  <c r="J152" i="63"/>
  <c r="J219" i="63" s="1"/>
  <c r="H152" i="63"/>
  <c r="G152" i="63"/>
  <c r="N151" i="63"/>
  <c r="N218" i="63" s="1"/>
  <c r="M151" i="63"/>
  <c r="M218" i="63" s="1"/>
  <c r="L151" i="63"/>
  <c r="L218" i="63" s="1"/>
  <c r="K151" i="63"/>
  <c r="J151" i="63"/>
  <c r="J218" i="63" s="1"/>
  <c r="H151" i="63"/>
  <c r="G151" i="63"/>
  <c r="N150" i="63"/>
  <c r="N217" i="63" s="1"/>
  <c r="M150" i="63"/>
  <c r="L150" i="63"/>
  <c r="L217" i="63" s="1"/>
  <c r="K150" i="63"/>
  <c r="K217" i="63" s="1"/>
  <c r="J150" i="63"/>
  <c r="J217" i="63" s="1"/>
  <c r="H150" i="63"/>
  <c r="G150" i="63"/>
  <c r="N149" i="63"/>
  <c r="N216" i="63" s="1"/>
  <c r="M149" i="63"/>
  <c r="M216" i="63" s="1"/>
  <c r="L149" i="63"/>
  <c r="L216" i="63" s="1"/>
  <c r="K149" i="63"/>
  <c r="J149" i="63"/>
  <c r="J216" i="63" s="1"/>
  <c r="H149" i="63"/>
  <c r="G149" i="63"/>
  <c r="F149" i="63"/>
  <c r="N147" i="63"/>
  <c r="N214" i="63" s="1"/>
  <c r="M147" i="63"/>
  <c r="M214" i="63" s="1"/>
  <c r="L147" i="63"/>
  <c r="L214" i="63" s="1"/>
  <c r="K147" i="63"/>
  <c r="K214" i="63" s="1"/>
  <c r="J147" i="63"/>
  <c r="J214" i="63" s="1"/>
  <c r="H147" i="63"/>
  <c r="G147" i="63"/>
  <c r="N146" i="63"/>
  <c r="N213" i="63" s="1"/>
  <c r="M146" i="63"/>
  <c r="M213" i="63" s="1"/>
  <c r="L146" i="63"/>
  <c r="K146" i="63"/>
  <c r="K213" i="63" s="1"/>
  <c r="J146" i="63"/>
  <c r="J213" i="63" s="1"/>
  <c r="H146" i="63"/>
  <c r="G146" i="63"/>
  <c r="N145" i="63"/>
  <c r="N212" i="63" s="1"/>
  <c r="M145" i="63"/>
  <c r="M212" i="63" s="1"/>
  <c r="L145" i="63"/>
  <c r="L212" i="63" s="1"/>
  <c r="K145" i="63"/>
  <c r="K212" i="63" s="1"/>
  <c r="J145" i="63"/>
  <c r="J212" i="63" s="1"/>
  <c r="H145" i="63"/>
  <c r="G145" i="63"/>
  <c r="N144" i="63"/>
  <c r="N211" i="63" s="1"/>
  <c r="M144" i="63"/>
  <c r="M211" i="63" s="1"/>
  <c r="L144" i="63"/>
  <c r="K144" i="63"/>
  <c r="K211" i="63" s="1"/>
  <c r="J144" i="63"/>
  <c r="J211" i="63" s="1"/>
  <c r="H144" i="63"/>
  <c r="G144" i="63"/>
  <c r="N143" i="63"/>
  <c r="N210" i="63" s="1"/>
  <c r="M143" i="63"/>
  <c r="M210" i="63" s="1"/>
  <c r="L143" i="63"/>
  <c r="L210" i="63" s="1"/>
  <c r="K143" i="63"/>
  <c r="K210" i="63" s="1"/>
  <c r="J143" i="63"/>
  <c r="J210" i="63" s="1"/>
  <c r="H143" i="63"/>
  <c r="G143" i="63"/>
  <c r="F143" i="63"/>
  <c r="N141" i="63"/>
  <c r="N208" i="63" s="1"/>
  <c r="M141" i="63"/>
  <c r="M208" i="63" s="1"/>
  <c r="L141" i="63"/>
  <c r="L208" i="63" s="1"/>
  <c r="K141" i="63"/>
  <c r="K208" i="63" s="1"/>
  <c r="J141" i="63"/>
  <c r="J208" i="63" s="1"/>
  <c r="H141" i="63"/>
  <c r="G141" i="63"/>
  <c r="N140" i="63"/>
  <c r="N207" i="63" s="1"/>
  <c r="M140" i="63"/>
  <c r="M207" i="63" s="1"/>
  <c r="L140" i="63"/>
  <c r="L207" i="63" s="1"/>
  <c r="K140" i="63"/>
  <c r="K207" i="63" s="1"/>
  <c r="J140" i="63"/>
  <c r="J207" i="63" s="1"/>
  <c r="H140" i="63"/>
  <c r="G140" i="63"/>
  <c r="N139" i="63"/>
  <c r="N206" i="63" s="1"/>
  <c r="M139" i="63"/>
  <c r="M206" i="63" s="1"/>
  <c r="L139" i="63"/>
  <c r="L206" i="63" s="1"/>
  <c r="K139" i="63"/>
  <c r="K206" i="63" s="1"/>
  <c r="J139" i="63"/>
  <c r="J206" i="63" s="1"/>
  <c r="H139" i="63"/>
  <c r="G139" i="63"/>
  <c r="N138" i="63"/>
  <c r="N205" i="63" s="1"/>
  <c r="M138" i="63"/>
  <c r="M205" i="63" s="1"/>
  <c r="L138" i="63"/>
  <c r="L205" i="63" s="1"/>
  <c r="K138" i="63"/>
  <c r="K205" i="63" s="1"/>
  <c r="J138" i="63"/>
  <c r="J205" i="63" s="1"/>
  <c r="H138" i="63"/>
  <c r="G138" i="63"/>
  <c r="N137" i="63"/>
  <c r="N204" i="63" s="1"/>
  <c r="M137" i="63"/>
  <c r="M204" i="63" s="1"/>
  <c r="L137" i="63"/>
  <c r="L204" i="63" s="1"/>
  <c r="K137" i="63"/>
  <c r="K204" i="63" s="1"/>
  <c r="J137" i="63"/>
  <c r="J204" i="63" s="1"/>
  <c r="H137" i="63"/>
  <c r="G137" i="63"/>
  <c r="F137" i="63"/>
  <c r="N135" i="63"/>
  <c r="M135" i="63"/>
  <c r="M202" i="63" s="1"/>
  <c r="L135" i="63"/>
  <c r="L202" i="63" s="1"/>
  <c r="K135" i="63"/>
  <c r="K202" i="63" s="1"/>
  <c r="J135" i="63"/>
  <c r="H135" i="63"/>
  <c r="G135" i="63"/>
  <c r="N134" i="63"/>
  <c r="N201" i="63" s="1"/>
  <c r="M134" i="63"/>
  <c r="M201" i="63" s="1"/>
  <c r="L134" i="63"/>
  <c r="L201" i="63" s="1"/>
  <c r="K134" i="63"/>
  <c r="K201" i="63" s="1"/>
  <c r="J134" i="63"/>
  <c r="J201" i="63" s="1"/>
  <c r="H134" i="63"/>
  <c r="G134" i="63"/>
  <c r="N133" i="63"/>
  <c r="M133" i="63"/>
  <c r="M200" i="63" s="1"/>
  <c r="L133" i="63"/>
  <c r="L200" i="63" s="1"/>
  <c r="K133" i="63"/>
  <c r="K200" i="63" s="1"/>
  <c r="J133" i="63"/>
  <c r="H133" i="63"/>
  <c r="G133" i="63"/>
  <c r="N132" i="63"/>
  <c r="N199" i="63" s="1"/>
  <c r="M132" i="63"/>
  <c r="M199" i="63" s="1"/>
  <c r="L132" i="63"/>
  <c r="L199" i="63" s="1"/>
  <c r="K132" i="63"/>
  <c r="K199" i="63" s="1"/>
  <c r="J132" i="63"/>
  <c r="J199" i="63" s="1"/>
  <c r="H132" i="63"/>
  <c r="G132" i="63"/>
  <c r="N131" i="63"/>
  <c r="M131" i="63"/>
  <c r="M198" i="63" s="1"/>
  <c r="L131" i="63"/>
  <c r="L198" i="63" s="1"/>
  <c r="K131" i="63"/>
  <c r="K198" i="63" s="1"/>
  <c r="J131" i="63"/>
  <c r="H131" i="63"/>
  <c r="G131" i="63"/>
  <c r="F131" i="63"/>
  <c r="N129" i="63"/>
  <c r="N196" i="63" s="1"/>
  <c r="M129" i="63"/>
  <c r="M196" i="63" s="1"/>
  <c r="L129" i="63"/>
  <c r="L196" i="63" s="1"/>
  <c r="K129" i="63"/>
  <c r="J129" i="63"/>
  <c r="J196" i="63" s="1"/>
  <c r="H129" i="63"/>
  <c r="G129" i="63"/>
  <c r="N128" i="63"/>
  <c r="N195" i="63" s="1"/>
  <c r="M128" i="63"/>
  <c r="L128" i="63"/>
  <c r="L195" i="63" s="1"/>
  <c r="K128" i="63"/>
  <c r="K195" i="63" s="1"/>
  <c r="J128" i="63"/>
  <c r="J195" i="63" s="1"/>
  <c r="H128" i="63"/>
  <c r="G128" i="63"/>
  <c r="H127" i="63"/>
  <c r="G127" i="63"/>
  <c r="H126" i="63"/>
  <c r="G126" i="63"/>
  <c r="H125" i="63"/>
  <c r="G125" i="63"/>
  <c r="F125" i="63"/>
  <c r="N123" i="63"/>
  <c r="M123" i="63"/>
  <c r="M190" i="63" s="1"/>
  <c r="L123" i="63"/>
  <c r="L190" i="63" s="1"/>
  <c r="K123" i="63"/>
  <c r="K190" i="63" s="1"/>
  <c r="J123" i="63"/>
  <c r="H123" i="63"/>
  <c r="G123" i="63"/>
  <c r="N122" i="63"/>
  <c r="N189" i="63" s="1"/>
  <c r="M122" i="63"/>
  <c r="M189" i="63" s="1"/>
  <c r="L122" i="63"/>
  <c r="L189" i="63" s="1"/>
  <c r="K122" i="63"/>
  <c r="K189" i="63" s="1"/>
  <c r="J122" i="63"/>
  <c r="J189" i="63" s="1"/>
  <c r="H122" i="63"/>
  <c r="G122" i="63"/>
  <c r="H121" i="63"/>
  <c r="G121" i="63"/>
  <c r="H120" i="63"/>
  <c r="G120" i="63"/>
  <c r="H119" i="63"/>
  <c r="G119" i="63"/>
  <c r="F119" i="63"/>
  <c r="N117" i="63"/>
  <c r="N184" i="63" s="1"/>
  <c r="M117" i="63"/>
  <c r="M184" i="63" s="1"/>
  <c r="L117" i="63"/>
  <c r="L184" i="63" s="1"/>
  <c r="K117" i="63"/>
  <c r="J117" i="63"/>
  <c r="J184" i="63" s="1"/>
  <c r="H117" i="63"/>
  <c r="G117" i="63"/>
  <c r="N116" i="63"/>
  <c r="N183" i="63" s="1"/>
  <c r="M116" i="63"/>
  <c r="L116" i="63"/>
  <c r="L183" i="63" s="1"/>
  <c r="K116" i="63"/>
  <c r="K183" i="63" s="1"/>
  <c r="J116" i="63"/>
  <c r="J183" i="63" s="1"/>
  <c r="H116" i="63"/>
  <c r="G116" i="63"/>
  <c r="N115" i="63"/>
  <c r="N182" i="63" s="1"/>
  <c r="M115" i="63"/>
  <c r="M182" i="63" s="1"/>
  <c r="L115" i="63"/>
  <c r="L182" i="63" s="1"/>
  <c r="K115" i="63"/>
  <c r="J115" i="63"/>
  <c r="J182" i="63" s="1"/>
  <c r="H115" i="63"/>
  <c r="G115" i="63"/>
  <c r="H114" i="63"/>
  <c r="G114" i="63"/>
  <c r="H113" i="63"/>
  <c r="G113" i="63"/>
  <c r="F113" i="63"/>
  <c r="N111" i="63"/>
  <c r="N178" i="63" s="1"/>
  <c r="M111" i="63"/>
  <c r="M178" i="63" s="1"/>
  <c r="L111" i="63"/>
  <c r="L178" i="63" s="1"/>
  <c r="K111" i="63"/>
  <c r="K178" i="63" s="1"/>
  <c r="J111" i="63"/>
  <c r="J178" i="63" s="1"/>
  <c r="H111" i="63"/>
  <c r="G111" i="63"/>
  <c r="N110" i="63"/>
  <c r="N177" i="63" s="1"/>
  <c r="M110" i="63"/>
  <c r="M177" i="63" s="1"/>
  <c r="L110" i="63"/>
  <c r="K110" i="63"/>
  <c r="K177" i="63" s="1"/>
  <c r="J110" i="63"/>
  <c r="J177" i="63" s="1"/>
  <c r="H110" i="63"/>
  <c r="G110" i="63"/>
  <c r="H109" i="63"/>
  <c r="G109" i="63"/>
  <c r="H108" i="63"/>
  <c r="G108" i="63"/>
  <c r="H107" i="63"/>
  <c r="G107" i="63"/>
  <c r="F107" i="63"/>
  <c r="N105" i="63"/>
  <c r="N172" i="63" s="1"/>
  <c r="M105" i="63"/>
  <c r="M172" i="63" s="1"/>
  <c r="L105" i="63"/>
  <c r="L172" i="63" s="1"/>
  <c r="K105" i="63"/>
  <c r="K172" i="63" s="1"/>
  <c r="J105" i="63"/>
  <c r="J172" i="63" s="1"/>
  <c r="H105" i="63"/>
  <c r="G105" i="63"/>
  <c r="H104" i="63"/>
  <c r="G104" i="63"/>
  <c r="H103" i="63"/>
  <c r="G103" i="63"/>
  <c r="H102" i="63"/>
  <c r="G102" i="63"/>
  <c r="H101" i="63"/>
  <c r="G101" i="63"/>
  <c r="F101" i="63"/>
  <c r="N100" i="63"/>
  <c r="M100" i="63"/>
  <c r="L100" i="63"/>
  <c r="K100" i="63"/>
  <c r="J100" i="63"/>
  <c r="E98" i="63"/>
  <c r="F93" i="63"/>
  <c r="F92" i="63"/>
  <c r="F91" i="63"/>
  <c r="F90" i="63"/>
  <c r="N89" i="63"/>
  <c r="M89" i="63"/>
  <c r="L89" i="63"/>
  <c r="K89" i="63"/>
  <c r="J89" i="63"/>
  <c r="F88" i="63"/>
  <c r="F85" i="63"/>
  <c r="F84" i="63"/>
  <c r="F83" i="63"/>
  <c r="F82" i="63"/>
  <c r="N81" i="63"/>
  <c r="M81" i="63"/>
  <c r="L81" i="63"/>
  <c r="K81" i="63"/>
  <c r="J81" i="63"/>
  <c r="F80" i="63"/>
  <c r="F75" i="63"/>
  <c r="F74" i="63"/>
  <c r="F73" i="63"/>
  <c r="F72" i="63"/>
  <c r="F71" i="63"/>
  <c r="F70" i="63"/>
  <c r="F69" i="63"/>
  <c r="F68" i="63"/>
  <c r="F67" i="63"/>
  <c r="F66" i="63"/>
  <c r="F65" i="63"/>
  <c r="N64" i="63"/>
  <c r="M64" i="63"/>
  <c r="L64" i="63"/>
  <c r="K64" i="63"/>
  <c r="J64" i="63"/>
  <c r="F63" i="63"/>
  <c r="F60" i="63"/>
  <c r="F59" i="63"/>
  <c r="F58" i="63"/>
  <c r="F57" i="63"/>
  <c r="F56" i="63"/>
  <c r="F55" i="63"/>
  <c r="F54" i="63"/>
  <c r="F53" i="63"/>
  <c r="F52" i="63"/>
  <c r="F51" i="63"/>
  <c r="F50" i="63"/>
  <c r="N49" i="63"/>
  <c r="M49" i="63"/>
  <c r="L49" i="63"/>
  <c r="K49" i="63"/>
  <c r="J49" i="63"/>
  <c r="F48" i="63"/>
  <c r="F44" i="63"/>
  <c r="F43" i="63"/>
  <c r="F42" i="63"/>
  <c r="F41" i="63"/>
  <c r="F40" i="63"/>
  <c r="F39" i="63"/>
  <c r="F38" i="63"/>
  <c r="F37" i="63"/>
  <c r="F36" i="63"/>
  <c r="F35" i="63"/>
  <c r="F34" i="63"/>
  <c r="N33" i="63"/>
  <c r="M33" i="63"/>
  <c r="L33" i="63"/>
  <c r="K33" i="63"/>
  <c r="J33" i="63"/>
  <c r="F31" i="63"/>
  <c r="F29" i="63"/>
  <c r="F28" i="63"/>
  <c r="F27" i="63"/>
  <c r="F26" i="63"/>
  <c r="F25" i="63"/>
  <c r="F24" i="63"/>
  <c r="F23" i="63"/>
  <c r="F22" i="63"/>
  <c r="F21" i="63"/>
  <c r="F20" i="63"/>
  <c r="F19" i="63"/>
  <c r="N18" i="63"/>
  <c r="M18" i="63"/>
  <c r="L18" i="63"/>
  <c r="K18" i="63"/>
  <c r="J18" i="63"/>
  <c r="F16" i="63"/>
  <c r="N9" i="63"/>
  <c r="M9" i="63"/>
  <c r="L9" i="63"/>
  <c r="K9" i="63"/>
  <c r="J9" i="63"/>
  <c r="B6" i="63"/>
  <c r="B2" i="63"/>
  <c r="B1" i="63"/>
  <c r="H35" i="21" s="1"/>
  <c r="E34" i="7"/>
  <c r="E33" i="7"/>
  <c r="E32" i="7"/>
  <c r="E31" i="7"/>
  <c r="E28" i="7"/>
  <c r="E27" i="7"/>
  <c r="E26" i="7"/>
  <c r="E23" i="7"/>
  <c r="E22" i="7"/>
  <c r="E21" i="7"/>
  <c r="E20" i="7"/>
  <c r="C11" i="7"/>
  <c r="F169" i="46"/>
  <c r="F168" i="46"/>
  <c r="F167" i="46"/>
  <c r="F166" i="46"/>
  <c r="N165" i="46"/>
  <c r="M165" i="46"/>
  <c r="L165" i="46"/>
  <c r="K165" i="46"/>
  <c r="J165" i="46"/>
  <c r="F164" i="46"/>
  <c r="F162" i="46"/>
  <c r="F161" i="46"/>
  <c r="F160" i="46"/>
  <c r="F159" i="46"/>
  <c r="N158" i="46"/>
  <c r="M158" i="46"/>
  <c r="L158" i="46"/>
  <c r="K158" i="46"/>
  <c r="J158" i="46"/>
  <c r="F157" i="46"/>
  <c r="B155" i="46"/>
  <c r="H152" i="46"/>
  <c r="K150" i="46"/>
  <c r="AD391" i="19" s="1"/>
  <c r="AD468" i="19" s="1"/>
  <c r="N149" i="46"/>
  <c r="AD855" i="19" s="1"/>
  <c r="AD932" i="19" s="1"/>
  <c r="M149" i="46"/>
  <c r="AD700" i="19" s="1"/>
  <c r="AD777" i="19" s="1"/>
  <c r="L149" i="46"/>
  <c r="AD545" i="19" s="1"/>
  <c r="AD622" i="19" s="1"/>
  <c r="K149" i="46"/>
  <c r="AD390" i="19" s="1"/>
  <c r="AD467" i="19" s="1"/>
  <c r="J149" i="46"/>
  <c r="AD235" i="19" s="1"/>
  <c r="AD312" i="19" s="1"/>
  <c r="I149" i="46"/>
  <c r="AD80" i="19" s="1"/>
  <c r="AD157" i="19" s="1"/>
  <c r="H149" i="46"/>
  <c r="G149" i="46"/>
  <c r="N148" i="46"/>
  <c r="AD854" i="19" s="1"/>
  <c r="AD931" i="19" s="1"/>
  <c r="M148" i="46"/>
  <c r="AD699" i="19" s="1"/>
  <c r="AD776" i="19" s="1"/>
  <c r="L148" i="46"/>
  <c r="AD544" i="19" s="1"/>
  <c r="AD621" i="19" s="1"/>
  <c r="K148" i="46"/>
  <c r="AD389" i="19" s="1"/>
  <c r="AD466" i="19" s="1"/>
  <c r="J148" i="46"/>
  <c r="H148" i="46"/>
  <c r="G148" i="46"/>
  <c r="N147" i="46"/>
  <c r="AD853" i="19" s="1"/>
  <c r="AD930" i="19" s="1"/>
  <c r="M147" i="46"/>
  <c r="AD698" i="19" s="1"/>
  <c r="AD775" i="19" s="1"/>
  <c r="L147" i="46"/>
  <c r="AD543" i="19" s="1"/>
  <c r="AD620" i="19" s="1"/>
  <c r="K147" i="46"/>
  <c r="AD388" i="19" s="1"/>
  <c r="AD465" i="19" s="1"/>
  <c r="J147" i="46"/>
  <c r="AD233" i="19" s="1"/>
  <c r="AD310" i="19" s="1"/>
  <c r="I147" i="46"/>
  <c r="AD78" i="19" s="1"/>
  <c r="AD155" i="19" s="1"/>
  <c r="H147" i="46"/>
  <c r="G147" i="46"/>
  <c r="N146" i="46"/>
  <c r="AD852" i="19" s="1"/>
  <c r="AD929" i="19" s="1"/>
  <c r="M146" i="46"/>
  <c r="AD697" i="19" s="1"/>
  <c r="AD774" i="19" s="1"/>
  <c r="L146" i="46"/>
  <c r="AD542" i="19" s="1"/>
  <c r="AD619" i="19" s="1"/>
  <c r="K146" i="46"/>
  <c r="AD387" i="19" s="1"/>
  <c r="AD464" i="19" s="1"/>
  <c r="J146" i="46"/>
  <c r="H146" i="46"/>
  <c r="G146" i="46"/>
  <c r="N145" i="46"/>
  <c r="AD851" i="19" s="1"/>
  <c r="AD928" i="19" s="1"/>
  <c r="M145" i="46"/>
  <c r="AD696" i="19" s="1"/>
  <c r="AD773" i="19" s="1"/>
  <c r="L145" i="46"/>
  <c r="AD541" i="19" s="1"/>
  <c r="AD618" i="19" s="1"/>
  <c r="K145" i="46"/>
  <c r="AD386" i="19" s="1"/>
  <c r="AD463" i="19" s="1"/>
  <c r="J145" i="46"/>
  <c r="AD231" i="19" s="1"/>
  <c r="AD308" i="19" s="1"/>
  <c r="I145" i="46"/>
  <c r="AD76" i="19" s="1"/>
  <c r="AD153" i="19" s="1"/>
  <c r="H145" i="46"/>
  <c r="G145" i="46"/>
  <c r="F145" i="46"/>
  <c r="N143" i="46"/>
  <c r="AD848" i="19" s="1"/>
  <c r="AD925" i="19" s="1"/>
  <c r="M143" i="46"/>
  <c r="AD693" i="19" s="1"/>
  <c r="AD770" i="19" s="1"/>
  <c r="L143" i="46"/>
  <c r="AD538" i="19" s="1"/>
  <c r="AD615" i="19" s="1"/>
  <c r="K143" i="46"/>
  <c r="AD383" i="19" s="1"/>
  <c r="AD460" i="19" s="1"/>
  <c r="J143" i="46"/>
  <c r="AD228" i="19" s="1"/>
  <c r="AD305" i="19" s="1"/>
  <c r="H143" i="46"/>
  <c r="G143" i="46"/>
  <c r="N142" i="46"/>
  <c r="AD847" i="19" s="1"/>
  <c r="AD924" i="19" s="1"/>
  <c r="M142" i="46"/>
  <c r="L142" i="46"/>
  <c r="AD537" i="19" s="1"/>
  <c r="AD614" i="19" s="1"/>
  <c r="K142" i="46"/>
  <c r="J142" i="46"/>
  <c r="AD227" i="19" s="1"/>
  <c r="AD304" i="19" s="1"/>
  <c r="H142" i="46"/>
  <c r="G142" i="46"/>
  <c r="N141" i="46"/>
  <c r="AD846" i="19" s="1"/>
  <c r="AD923" i="19" s="1"/>
  <c r="M141" i="46"/>
  <c r="AD691" i="19" s="1"/>
  <c r="AD768" i="19" s="1"/>
  <c r="L141" i="46"/>
  <c r="AD536" i="19" s="1"/>
  <c r="AD613" i="19" s="1"/>
  <c r="K141" i="46"/>
  <c r="AD381" i="19" s="1"/>
  <c r="J141" i="46"/>
  <c r="AD226" i="19" s="1"/>
  <c r="AD303" i="19" s="1"/>
  <c r="H141" i="46"/>
  <c r="G141" i="46"/>
  <c r="N140" i="46"/>
  <c r="AD845" i="19" s="1"/>
  <c r="AD922" i="19" s="1"/>
  <c r="M140" i="46"/>
  <c r="L140" i="46"/>
  <c r="AD535" i="19" s="1"/>
  <c r="AD612" i="19" s="1"/>
  <c r="K140" i="46"/>
  <c r="J140" i="46"/>
  <c r="AD225" i="19" s="1"/>
  <c r="AD302" i="19" s="1"/>
  <c r="H140" i="46"/>
  <c r="G140" i="46"/>
  <c r="N139" i="46"/>
  <c r="AD844" i="19" s="1"/>
  <c r="AD921" i="19" s="1"/>
  <c r="M139" i="46"/>
  <c r="AD689" i="19" s="1"/>
  <c r="AD766" i="19" s="1"/>
  <c r="L139" i="46"/>
  <c r="AD534" i="19" s="1"/>
  <c r="AD611" i="19" s="1"/>
  <c r="K139" i="46"/>
  <c r="AD379" i="19" s="1"/>
  <c r="AD456" i="19" s="1"/>
  <c r="J139" i="46"/>
  <c r="AD224" i="19" s="1"/>
  <c r="AD301" i="19" s="1"/>
  <c r="H139" i="46"/>
  <c r="G139" i="46"/>
  <c r="F139" i="46"/>
  <c r="N137" i="46"/>
  <c r="AD841" i="19" s="1"/>
  <c r="AD918" i="19" s="1"/>
  <c r="M137" i="46"/>
  <c r="AD686" i="19" s="1"/>
  <c r="AD763" i="19" s="1"/>
  <c r="L137" i="46"/>
  <c r="AD531" i="19" s="1"/>
  <c r="AD608" i="19" s="1"/>
  <c r="K137" i="46"/>
  <c r="AD376" i="19" s="1"/>
  <c r="AD453" i="19" s="1"/>
  <c r="J137" i="46"/>
  <c r="AD221" i="19" s="1"/>
  <c r="AD298" i="19" s="1"/>
  <c r="I137" i="46"/>
  <c r="AD66" i="19" s="1"/>
  <c r="AD143" i="19" s="1"/>
  <c r="H137" i="46"/>
  <c r="G137" i="46"/>
  <c r="N136" i="46"/>
  <c r="AD840" i="19" s="1"/>
  <c r="AD917" i="19" s="1"/>
  <c r="M136" i="46"/>
  <c r="AD685" i="19" s="1"/>
  <c r="AD762" i="19" s="1"/>
  <c r="L136" i="46"/>
  <c r="AD530" i="19" s="1"/>
  <c r="AD607" i="19" s="1"/>
  <c r="K136" i="46"/>
  <c r="AD375" i="19" s="1"/>
  <c r="AD452" i="19" s="1"/>
  <c r="J136" i="46"/>
  <c r="H136" i="46"/>
  <c r="G136" i="46"/>
  <c r="N135" i="46"/>
  <c r="AD839" i="19" s="1"/>
  <c r="AD916" i="19" s="1"/>
  <c r="M135" i="46"/>
  <c r="AD684" i="19" s="1"/>
  <c r="AD761" i="19" s="1"/>
  <c r="L135" i="46"/>
  <c r="AD529" i="19" s="1"/>
  <c r="AD606" i="19" s="1"/>
  <c r="K135" i="46"/>
  <c r="AD374" i="19" s="1"/>
  <c r="AD451" i="19" s="1"/>
  <c r="J135" i="46"/>
  <c r="AD219" i="19" s="1"/>
  <c r="AD296" i="19" s="1"/>
  <c r="I135" i="46"/>
  <c r="AD64" i="19" s="1"/>
  <c r="AD141" i="19" s="1"/>
  <c r="H135" i="46"/>
  <c r="G135" i="46"/>
  <c r="N134" i="46"/>
  <c r="AD838" i="19" s="1"/>
  <c r="AD915" i="19" s="1"/>
  <c r="M134" i="46"/>
  <c r="AD683" i="19" s="1"/>
  <c r="AD760" i="19" s="1"/>
  <c r="L134" i="46"/>
  <c r="AD528" i="19" s="1"/>
  <c r="AD605" i="19" s="1"/>
  <c r="K134" i="46"/>
  <c r="AD373" i="19" s="1"/>
  <c r="AD450" i="19" s="1"/>
  <c r="J134" i="46"/>
  <c r="H134" i="46"/>
  <c r="G134" i="46"/>
  <c r="N133" i="46"/>
  <c r="AD837" i="19" s="1"/>
  <c r="AD914" i="19" s="1"/>
  <c r="M133" i="46"/>
  <c r="AD682" i="19" s="1"/>
  <c r="AD759" i="19" s="1"/>
  <c r="L133" i="46"/>
  <c r="AD527" i="19" s="1"/>
  <c r="AD604" i="19" s="1"/>
  <c r="K133" i="46"/>
  <c r="AD372" i="19" s="1"/>
  <c r="AD449" i="19" s="1"/>
  <c r="J133" i="46"/>
  <c r="AD217" i="19" s="1"/>
  <c r="AD294" i="19" s="1"/>
  <c r="I133" i="46"/>
  <c r="AD62" i="19" s="1"/>
  <c r="AD139" i="19" s="1"/>
  <c r="H133" i="46"/>
  <c r="G133" i="46"/>
  <c r="F133" i="46"/>
  <c r="N131" i="46"/>
  <c r="AD834" i="19" s="1"/>
  <c r="AD911" i="19" s="1"/>
  <c r="M131" i="46"/>
  <c r="AD679" i="19" s="1"/>
  <c r="AD756" i="19" s="1"/>
  <c r="L131" i="46"/>
  <c r="AD524" i="19" s="1"/>
  <c r="AD601" i="19" s="1"/>
  <c r="K131" i="46"/>
  <c r="AD369" i="19" s="1"/>
  <c r="AD446" i="19" s="1"/>
  <c r="J131" i="46"/>
  <c r="AD214" i="19" s="1"/>
  <c r="AD291" i="19" s="1"/>
  <c r="H131" i="46"/>
  <c r="G131" i="46"/>
  <c r="N130" i="46"/>
  <c r="AD833" i="19" s="1"/>
  <c r="AD910" i="19" s="1"/>
  <c r="M130" i="46"/>
  <c r="AD678" i="19" s="1"/>
  <c r="AD755" i="19" s="1"/>
  <c r="L130" i="46"/>
  <c r="AD523" i="19" s="1"/>
  <c r="AD600" i="19" s="1"/>
  <c r="K130" i="46"/>
  <c r="J130" i="46"/>
  <c r="AD213" i="19" s="1"/>
  <c r="AD290" i="19" s="1"/>
  <c r="H130" i="46"/>
  <c r="G130" i="46"/>
  <c r="N129" i="46"/>
  <c r="AD832" i="19" s="1"/>
  <c r="AD909" i="19" s="1"/>
  <c r="M129" i="46"/>
  <c r="AD677" i="19" s="1"/>
  <c r="AD754" i="19" s="1"/>
  <c r="L129" i="46"/>
  <c r="AD522" i="19" s="1"/>
  <c r="AD599" i="19" s="1"/>
  <c r="K129" i="46"/>
  <c r="AD367" i="19" s="1"/>
  <c r="J129" i="46"/>
  <c r="AD212" i="19" s="1"/>
  <c r="AD289" i="19" s="1"/>
  <c r="H129" i="46"/>
  <c r="G129" i="46"/>
  <c r="N128" i="46"/>
  <c r="AD831" i="19" s="1"/>
  <c r="AD908" i="19" s="1"/>
  <c r="M128" i="46"/>
  <c r="AD676" i="19" s="1"/>
  <c r="AD753" i="19" s="1"/>
  <c r="L128" i="46"/>
  <c r="AD521" i="19" s="1"/>
  <c r="AD598" i="19" s="1"/>
  <c r="K128" i="46"/>
  <c r="J128" i="46"/>
  <c r="J132" i="46" s="1"/>
  <c r="AD215" i="19" s="1"/>
  <c r="AD292" i="19" s="1"/>
  <c r="H128" i="46"/>
  <c r="G128" i="46"/>
  <c r="N127" i="46"/>
  <c r="AD830" i="19" s="1"/>
  <c r="AD907" i="19" s="1"/>
  <c r="M127" i="46"/>
  <c r="AD675" i="19" s="1"/>
  <c r="AD752" i="19" s="1"/>
  <c r="L127" i="46"/>
  <c r="AD520" i="19" s="1"/>
  <c r="AD597" i="19" s="1"/>
  <c r="K127" i="46"/>
  <c r="AD365" i="19" s="1"/>
  <c r="AD442" i="19" s="1"/>
  <c r="J127" i="46"/>
  <c r="AD210" i="19" s="1"/>
  <c r="AD287" i="19" s="1"/>
  <c r="H127" i="46"/>
  <c r="G127" i="46"/>
  <c r="F127" i="46"/>
  <c r="K126" i="46"/>
  <c r="AD363" i="19" s="1"/>
  <c r="AD440" i="19" s="1"/>
  <c r="N125" i="46"/>
  <c r="AD827" i="19" s="1"/>
  <c r="AD904" i="19" s="1"/>
  <c r="M125" i="46"/>
  <c r="AD672" i="19" s="1"/>
  <c r="AD749" i="19" s="1"/>
  <c r="L125" i="46"/>
  <c r="AD517" i="19" s="1"/>
  <c r="AD594" i="19" s="1"/>
  <c r="K125" i="46"/>
  <c r="AD362" i="19" s="1"/>
  <c r="AD439" i="19" s="1"/>
  <c r="J125" i="46"/>
  <c r="AD207" i="19" s="1"/>
  <c r="AD284" i="19" s="1"/>
  <c r="I125" i="46"/>
  <c r="AD52" i="19" s="1"/>
  <c r="AD129" i="19" s="1"/>
  <c r="H125" i="46"/>
  <c r="G125" i="46"/>
  <c r="N124" i="46"/>
  <c r="AD826" i="19" s="1"/>
  <c r="AD903" i="19" s="1"/>
  <c r="M124" i="46"/>
  <c r="AD671" i="19" s="1"/>
  <c r="AD748" i="19" s="1"/>
  <c r="L124" i="46"/>
  <c r="AD516" i="19" s="1"/>
  <c r="AD593" i="19" s="1"/>
  <c r="K124" i="46"/>
  <c r="AD361" i="19" s="1"/>
  <c r="AD438" i="19" s="1"/>
  <c r="J124" i="46"/>
  <c r="H124" i="46"/>
  <c r="G124" i="46"/>
  <c r="N123" i="46"/>
  <c r="AD825" i="19" s="1"/>
  <c r="AD902" i="19" s="1"/>
  <c r="M123" i="46"/>
  <c r="AD670" i="19" s="1"/>
  <c r="AD747" i="19" s="1"/>
  <c r="L123" i="46"/>
  <c r="AD515" i="19" s="1"/>
  <c r="AD592" i="19" s="1"/>
  <c r="K123" i="46"/>
  <c r="AD360" i="19" s="1"/>
  <c r="AD437" i="19" s="1"/>
  <c r="J123" i="46"/>
  <c r="AD205" i="19" s="1"/>
  <c r="AD282" i="19" s="1"/>
  <c r="I123" i="46"/>
  <c r="AD50" i="19" s="1"/>
  <c r="AD127" i="19" s="1"/>
  <c r="H123" i="46"/>
  <c r="G123" i="46"/>
  <c r="N122" i="46"/>
  <c r="AD824" i="19" s="1"/>
  <c r="AD901" i="19" s="1"/>
  <c r="M122" i="46"/>
  <c r="AD669" i="19" s="1"/>
  <c r="AD746" i="19" s="1"/>
  <c r="L122" i="46"/>
  <c r="AD514" i="19" s="1"/>
  <c r="AD591" i="19" s="1"/>
  <c r="K122" i="46"/>
  <c r="AD359" i="19" s="1"/>
  <c r="AD436" i="19" s="1"/>
  <c r="J122" i="46"/>
  <c r="H122" i="46"/>
  <c r="G122" i="46"/>
  <c r="N121" i="46"/>
  <c r="AD823" i="19" s="1"/>
  <c r="AD900" i="19" s="1"/>
  <c r="M121" i="46"/>
  <c r="AD668" i="19" s="1"/>
  <c r="AD745" i="19" s="1"/>
  <c r="L121" i="46"/>
  <c r="AD513" i="19" s="1"/>
  <c r="AD590" i="19" s="1"/>
  <c r="K121" i="46"/>
  <c r="AD358" i="19" s="1"/>
  <c r="AD435" i="19" s="1"/>
  <c r="J121" i="46"/>
  <c r="AD203" i="19" s="1"/>
  <c r="AD280" i="19" s="1"/>
  <c r="I121" i="46"/>
  <c r="AD48" i="19" s="1"/>
  <c r="AD125" i="19" s="1"/>
  <c r="H121" i="46"/>
  <c r="G121" i="46"/>
  <c r="F121" i="46"/>
  <c r="N119" i="46"/>
  <c r="AD820" i="19" s="1"/>
  <c r="AD897" i="19" s="1"/>
  <c r="M119" i="46"/>
  <c r="AD665" i="19" s="1"/>
  <c r="AD742" i="19" s="1"/>
  <c r="L119" i="46"/>
  <c r="AD510" i="19" s="1"/>
  <c r="AD587" i="19" s="1"/>
  <c r="K119" i="46"/>
  <c r="AD355" i="19" s="1"/>
  <c r="AD432" i="19" s="1"/>
  <c r="J119" i="46"/>
  <c r="AD200" i="19" s="1"/>
  <c r="AD277" i="19" s="1"/>
  <c r="H119" i="46"/>
  <c r="G119" i="46"/>
  <c r="N118" i="46"/>
  <c r="AD819" i="19" s="1"/>
  <c r="AD896" i="19" s="1"/>
  <c r="M118" i="46"/>
  <c r="AD664" i="19" s="1"/>
  <c r="AD741" i="19" s="1"/>
  <c r="L118" i="46"/>
  <c r="AD509" i="19" s="1"/>
  <c r="AD586" i="19" s="1"/>
  <c r="K118" i="46"/>
  <c r="J118" i="46"/>
  <c r="AD199" i="19" s="1"/>
  <c r="AD276" i="19" s="1"/>
  <c r="H118" i="46"/>
  <c r="G118" i="46"/>
  <c r="N117" i="46"/>
  <c r="AD818" i="19" s="1"/>
  <c r="AD895" i="19" s="1"/>
  <c r="M117" i="46"/>
  <c r="AD663" i="19" s="1"/>
  <c r="AD740" i="19" s="1"/>
  <c r="L117" i="46"/>
  <c r="AD508" i="19" s="1"/>
  <c r="AD585" i="19" s="1"/>
  <c r="K117" i="46"/>
  <c r="AD353" i="19" s="1"/>
  <c r="J117" i="46"/>
  <c r="AD198" i="19" s="1"/>
  <c r="AD275" i="19" s="1"/>
  <c r="H117" i="46"/>
  <c r="G117" i="46"/>
  <c r="N116" i="46"/>
  <c r="AD817" i="19" s="1"/>
  <c r="AD894" i="19" s="1"/>
  <c r="M116" i="46"/>
  <c r="AD662" i="19" s="1"/>
  <c r="AD739" i="19" s="1"/>
  <c r="L116" i="46"/>
  <c r="AD507" i="19" s="1"/>
  <c r="AD584" i="19" s="1"/>
  <c r="K116" i="46"/>
  <c r="AD352" i="19" s="1"/>
  <c r="AD429" i="19" s="1"/>
  <c r="J116" i="46"/>
  <c r="AD197" i="19" s="1"/>
  <c r="AD274" i="19" s="1"/>
  <c r="H116" i="46"/>
  <c r="G116" i="46"/>
  <c r="N115" i="46"/>
  <c r="AD816" i="19" s="1"/>
  <c r="AD893" i="19" s="1"/>
  <c r="M115" i="46"/>
  <c r="AD661" i="19" s="1"/>
  <c r="AD738" i="19" s="1"/>
  <c r="L115" i="46"/>
  <c r="L120" i="46" s="1"/>
  <c r="AD511" i="19" s="1"/>
  <c r="AD588" i="19" s="1"/>
  <c r="K115" i="46"/>
  <c r="AD351" i="19" s="1"/>
  <c r="AD428" i="19" s="1"/>
  <c r="J115" i="46"/>
  <c r="AD196" i="19" s="1"/>
  <c r="AD273" i="19" s="1"/>
  <c r="H115" i="46"/>
  <c r="G115" i="46"/>
  <c r="F115" i="46"/>
  <c r="N113" i="46"/>
  <c r="AD813" i="19" s="1"/>
  <c r="AD890" i="19" s="1"/>
  <c r="M113" i="46"/>
  <c r="AD658" i="19" s="1"/>
  <c r="AD735" i="19" s="1"/>
  <c r="L113" i="46"/>
  <c r="AD503" i="19" s="1"/>
  <c r="AD580" i="19" s="1"/>
  <c r="K113" i="46"/>
  <c r="AD348" i="19" s="1"/>
  <c r="AD425" i="19" s="1"/>
  <c r="J113" i="46"/>
  <c r="AD193" i="19" s="1"/>
  <c r="AD270" i="19" s="1"/>
  <c r="I113" i="46"/>
  <c r="AD38" i="19" s="1"/>
  <c r="AD115" i="19" s="1"/>
  <c r="H113" i="46"/>
  <c r="G113" i="46"/>
  <c r="N112" i="46"/>
  <c r="AD812" i="19" s="1"/>
  <c r="AD889" i="19" s="1"/>
  <c r="M112" i="46"/>
  <c r="AD657" i="19" s="1"/>
  <c r="AD734" i="19" s="1"/>
  <c r="L112" i="46"/>
  <c r="AD502" i="19" s="1"/>
  <c r="AD579" i="19" s="1"/>
  <c r="K112" i="46"/>
  <c r="AD347" i="19" s="1"/>
  <c r="AD424" i="19" s="1"/>
  <c r="J112" i="46"/>
  <c r="H112" i="46"/>
  <c r="G112" i="46"/>
  <c r="N111" i="46"/>
  <c r="AD811" i="19" s="1"/>
  <c r="AD888" i="19" s="1"/>
  <c r="M111" i="46"/>
  <c r="AD656" i="19" s="1"/>
  <c r="AD733" i="19" s="1"/>
  <c r="L111" i="46"/>
  <c r="AD501" i="19" s="1"/>
  <c r="AD578" i="19" s="1"/>
  <c r="K111" i="46"/>
  <c r="AD346" i="19" s="1"/>
  <c r="AD423" i="19" s="1"/>
  <c r="J111" i="46"/>
  <c r="AD191" i="19" s="1"/>
  <c r="AD268" i="19" s="1"/>
  <c r="I111" i="46"/>
  <c r="AD36" i="19" s="1"/>
  <c r="AD113" i="19" s="1"/>
  <c r="H111" i="46"/>
  <c r="G111" i="46"/>
  <c r="N110" i="46"/>
  <c r="AD810" i="19" s="1"/>
  <c r="AD887" i="19" s="1"/>
  <c r="M110" i="46"/>
  <c r="AD655" i="19" s="1"/>
  <c r="AD732" i="19" s="1"/>
  <c r="L110" i="46"/>
  <c r="AD500" i="19" s="1"/>
  <c r="K110" i="46"/>
  <c r="AD345" i="19" s="1"/>
  <c r="AD422" i="19" s="1"/>
  <c r="J110" i="46"/>
  <c r="H110" i="46"/>
  <c r="G110" i="46"/>
  <c r="N109" i="46"/>
  <c r="AD809" i="19" s="1"/>
  <c r="AD886" i="19" s="1"/>
  <c r="M109" i="46"/>
  <c r="AD654" i="19" s="1"/>
  <c r="AD731" i="19" s="1"/>
  <c r="L109" i="46"/>
  <c r="AD499" i="19" s="1"/>
  <c r="AD576" i="19" s="1"/>
  <c r="K109" i="46"/>
  <c r="AD344" i="19" s="1"/>
  <c r="AD421" i="19" s="1"/>
  <c r="J109" i="46"/>
  <c r="AD189" i="19" s="1"/>
  <c r="AD266" i="19" s="1"/>
  <c r="I109" i="46"/>
  <c r="AD34" i="19" s="1"/>
  <c r="AD111" i="19" s="1"/>
  <c r="H109" i="46"/>
  <c r="G109" i="46"/>
  <c r="F109" i="46"/>
  <c r="N107" i="46"/>
  <c r="AD806" i="19" s="1"/>
  <c r="AD883" i="19" s="1"/>
  <c r="M107" i="46"/>
  <c r="AD651" i="19" s="1"/>
  <c r="AD728" i="19" s="1"/>
  <c r="L107" i="46"/>
  <c r="AD496" i="19" s="1"/>
  <c r="AD573" i="19" s="1"/>
  <c r="K107" i="46"/>
  <c r="AD341" i="19" s="1"/>
  <c r="AD418" i="19" s="1"/>
  <c r="J107" i="46"/>
  <c r="AD186" i="19" s="1"/>
  <c r="AD263" i="19" s="1"/>
  <c r="H107" i="46"/>
  <c r="G107" i="46"/>
  <c r="N106" i="46"/>
  <c r="AD805" i="19" s="1"/>
  <c r="AD882" i="19" s="1"/>
  <c r="M106" i="46"/>
  <c r="AD650" i="19" s="1"/>
  <c r="AD727" i="19" s="1"/>
  <c r="L106" i="46"/>
  <c r="AD495" i="19" s="1"/>
  <c r="AD572" i="19" s="1"/>
  <c r="K106" i="46"/>
  <c r="J106" i="46"/>
  <c r="AD185" i="19" s="1"/>
  <c r="AD262" i="19" s="1"/>
  <c r="H106" i="46"/>
  <c r="G106" i="46"/>
  <c r="N105" i="46"/>
  <c r="AD804" i="19" s="1"/>
  <c r="AD881" i="19" s="1"/>
  <c r="M105" i="46"/>
  <c r="AD649" i="19" s="1"/>
  <c r="AD726" i="19" s="1"/>
  <c r="L105" i="46"/>
  <c r="AD494" i="19" s="1"/>
  <c r="AD571" i="19" s="1"/>
  <c r="K105" i="46"/>
  <c r="AD339" i="19" s="1"/>
  <c r="J105" i="46"/>
  <c r="AD184" i="19" s="1"/>
  <c r="AD261" i="19" s="1"/>
  <c r="H105" i="46"/>
  <c r="G105" i="46"/>
  <c r="N104" i="46"/>
  <c r="AD803" i="19" s="1"/>
  <c r="AD880" i="19" s="1"/>
  <c r="M104" i="46"/>
  <c r="AD648" i="19" s="1"/>
  <c r="AD725" i="19" s="1"/>
  <c r="L104" i="46"/>
  <c r="AD493" i="19" s="1"/>
  <c r="AD570" i="19" s="1"/>
  <c r="K104" i="46"/>
  <c r="J104" i="46"/>
  <c r="J108" i="46" s="1"/>
  <c r="AD187" i="19" s="1"/>
  <c r="AD264" i="19" s="1"/>
  <c r="H104" i="46"/>
  <c r="G104" i="46"/>
  <c r="N103" i="46"/>
  <c r="AD802" i="19" s="1"/>
  <c r="AD879" i="19" s="1"/>
  <c r="M103" i="46"/>
  <c r="AD647" i="19" s="1"/>
  <c r="AD724" i="19" s="1"/>
  <c r="L103" i="46"/>
  <c r="AD492" i="19" s="1"/>
  <c r="AD569" i="19" s="1"/>
  <c r="K103" i="46"/>
  <c r="AD337" i="19" s="1"/>
  <c r="AD414" i="19" s="1"/>
  <c r="J103" i="46"/>
  <c r="AD182" i="19" s="1"/>
  <c r="AD259" i="19" s="1"/>
  <c r="H103" i="46"/>
  <c r="G103" i="46"/>
  <c r="F103" i="46"/>
  <c r="K102" i="46"/>
  <c r="AD335" i="19" s="1"/>
  <c r="AD412" i="19" s="1"/>
  <c r="N101" i="46"/>
  <c r="AD799" i="19" s="1"/>
  <c r="AD876" i="19" s="1"/>
  <c r="M101" i="46"/>
  <c r="AD644" i="19" s="1"/>
  <c r="AD721" i="19" s="1"/>
  <c r="L101" i="46"/>
  <c r="K101" i="46"/>
  <c r="AD334" i="19" s="1"/>
  <c r="AD411" i="19" s="1"/>
  <c r="J101" i="46"/>
  <c r="AD179" i="19" s="1"/>
  <c r="AD256" i="19" s="1"/>
  <c r="I101" i="46"/>
  <c r="AD24" i="19" s="1"/>
  <c r="AD101" i="19" s="1"/>
  <c r="H101" i="46"/>
  <c r="G101" i="46"/>
  <c r="N100" i="46"/>
  <c r="AD798" i="19" s="1"/>
  <c r="AD875" i="19" s="1"/>
  <c r="M100" i="46"/>
  <c r="AD643" i="19" s="1"/>
  <c r="AD720" i="19" s="1"/>
  <c r="L100" i="46"/>
  <c r="AD488" i="19" s="1"/>
  <c r="AD565" i="19" s="1"/>
  <c r="K100" i="46"/>
  <c r="AD333" i="19" s="1"/>
  <c r="AD410" i="19" s="1"/>
  <c r="J100" i="46"/>
  <c r="H100" i="46"/>
  <c r="G100" i="46"/>
  <c r="N99" i="46"/>
  <c r="AD797" i="19" s="1"/>
  <c r="AD874" i="19" s="1"/>
  <c r="M99" i="46"/>
  <c r="AD642" i="19" s="1"/>
  <c r="AD719" i="19" s="1"/>
  <c r="L99" i="46"/>
  <c r="K99" i="46"/>
  <c r="AD332" i="19" s="1"/>
  <c r="AD409" i="19" s="1"/>
  <c r="J99" i="46"/>
  <c r="AD177" i="19" s="1"/>
  <c r="AD254" i="19" s="1"/>
  <c r="I99" i="46"/>
  <c r="AD22" i="19" s="1"/>
  <c r="AD99" i="19" s="1"/>
  <c r="H99" i="46"/>
  <c r="G99" i="46"/>
  <c r="N98" i="46"/>
  <c r="AD796" i="19" s="1"/>
  <c r="M98" i="46"/>
  <c r="AD641" i="19" s="1"/>
  <c r="AD718" i="19" s="1"/>
  <c r="L98" i="46"/>
  <c r="AD486" i="19" s="1"/>
  <c r="K98" i="46"/>
  <c r="AD331" i="19" s="1"/>
  <c r="AD408" i="19" s="1"/>
  <c r="J98" i="46"/>
  <c r="H98" i="46"/>
  <c r="G98" i="46"/>
  <c r="N97" i="46"/>
  <c r="AD795" i="19" s="1"/>
  <c r="AD872" i="19" s="1"/>
  <c r="M97" i="46"/>
  <c r="AD640" i="19" s="1"/>
  <c r="AD717" i="19" s="1"/>
  <c r="L97" i="46"/>
  <c r="AD485" i="19" s="1"/>
  <c r="AD562" i="19" s="1"/>
  <c r="K97" i="46"/>
  <c r="AD330" i="19" s="1"/>
  <c r="AD407" i="19" s="1"/>
  <c r="J97" i="46"/>
  <c r="AD175" i="19" s="1"/>
  <c r="AD252" i="19" s="1"/>
  <c r="I97" i="46"/>
  <c r="AD20" i="19" s="1"/>
  <c r="AD97" i="19" s="1"/>
  <c r="H97" i="46"/>
  <c r="G97" i="46"/>
  <c r="F97" i="46"/>
  <c r="N96" i="46"/>
  <c r="AD793" i="19" s="1"/>
  <c r="L96" i="46"/>
  <c r="AD483" i="19" s="1"/>
  <c r="J96" i="46"/>
  <c r="AD173" i="19" s="1"/>
  <c r="N95" i="46"/>
  <c r="AD792" i="19" s="1"/>
  <c r="AD869" i="19" s="1"/>
  <c r="M95" i="46"/>
  <c r="AD637" i="19" s="1"/>
  <c r="AD714" i="19" s="1"/>
  <c r="L95" i="46"/>
  <c r="AD482" i="19" s="1"/>
  <c r="AD559" i="19" s="1"/>
  <c r="K95" i="46"/>
  <c r="AD327" i="19" s="1"/>
  <c r="AD404" i="19" s="1"/>
  <c r="J95" i="46"/>
  <c r="AD172" i="19" s="1"/>
  <c r="AD249" i="19" s="1"/>
  <c r="H95" i="46"/>
  <c r="G95" i="46"/>
  <c r="N94" i="46"/>
  <c r="AD791" i="19" s="1"/>
  <c r="AD868" i="19" s="1"/>
  <c r="M94" i="46"/>
  <c r="AD636" i="19" s="1"/>
  <c r="AD713" i="19" s="1"/>
  <c r="L94" i="46"/>
  <c r="AD481" i="19" s="1"/>
  <c r="AD558" i="19" s="1"/>
  <c r="K94" i="46"/>
  <c r="AD326" i="19" s="1"/>
  <c r="AD403" i="19" s="1"/>
  <c r="J94" i="46"/>
  <c r="AD171" i="19" s="1"/>
  <c r="AD248" i="19" s="1"/>
  <c r="H94" i="46"/>
  <c r="G94" i="46"/>
  <c r="N93" i="46"/>
  <c r="AD790" i="19" s="1"/>
  <c r="AD867" i="19" s="1"/>
  <c r="M93" i="46"/>
  <c r="AD635" i="19" s="1"/>
  <c r="AD712" i="19" s="1"/>
  <c r="L93" i="46"/>
  <c r="AD480" i="19" s="1"/>
  <c r="AD557" i="19" s="1"/>
  <c r="K93" i="46"/>
  <c r="AD325" i="19" s="1"/>
  <c r="AD402" i="19" s="1"/>
  <c r="J93" i="46"/>
  <c r="AD170" i="19" s="1"/>
  <c r="AD247" i="19" s="1"/>
  <c r="H93" i="46"/>
  <c r="G93" i="46"/>
  <c r="N92" i="46"/>
  <c r="AD789" i="19" s="1"/>
  <c r="AD866" i="19" s="1"/>
  <c r="M92" i="46"/>
  <c r="L92" i="46"/>
  <c r="AD479" i="19" s="1"/>
  <c r="AD556" i="19" s="1"/>
  <c r="K92" i="46"/>
  <c r="J92" i="46"/>
  <c r="AD169" i="19" s="1"/>
  <c r="AD246" i="19" s="1"/>
  <c r="H92" i="46"/>
  <c r="G92" i="46"/>
  <c r="N91" i="46"/>
  <c r="AD788" i="19" s="1"/>
  <c r="AD865" i="19" s="1"/>
  <c r="M91" i="46"/>
  <c r="AD633" i="19" s="1"/>
  <c r="AD710" i="19" s="1"/>
  <c r="L91" i="46"/>
  <c r="AD478" i="19" s="1"/>
  <c r="AD555" i="19" s="1"/>
  <c r="K91" i="46"/>
  <c r="AD323" i="19" s="1"/>
  <c r="AD400" i="19" s="1"/>
  <c r="J91" i="46"/>
  <c r="AD168" i="19" s="1"/>
  <c r="AD245" i="19" s="1"/>
  <c r="H91" i="46"/>
  <c r="G91" i="46"/>
  <c r="F91" i="46"/>
  <c r="N90" i="46"/>
  <c r="M90" i="46"/>
  <c r="L90" i="46"/>
  <c r="K90" i="46"/>
  <c r="J90" i="46"/>
  <c r="N81" i="46"/>
  <c r="N28" i="15" s="1"/>
  <c r="N43" i="15" s="1"/>
  <c r="L81" i="46"/>
  <c r="L28" i="15" s="1"/>
  <c r="L43" i="15" s="1"/>
  <c r="J81" i="46"/>
  <c r="J28" i="15" s="1"/>
  <c r="J43" i="15" s="1"/>
  <c r="H81" i="46"/>
  <c r="N79" i="46"/>
  <c r="M79" i="46"/>
  <c r="L79" i="46"/>
  <c r="K79" i="46"/>
  <c r="J79" i="46"/>
  <c r="I78" i="46"/>
  <c r="H78" i="46"/>
  <c r="G78" i="46"/>
  <c r="I77" i="46"/>
  <c r="I148" i="46" s="1"/>
  <c r="AD79" i="19" s="1"/>
  <c r="AD156" i="19" s="1"/>
  <c r="H77" i="46"/>
  <c r="G77" i="46"/>
  <c r="I76" i="46"/>
  <c r="H76" i="46"/>
  <c r="G76" i="46"/>
  <c r="I75" i="46"/>
  <c r="I79" i="46" s="1"/>
  <c r="I150" i="46" s="1"/>
  <c r="AD81" i="19" s="1"/>
  <c r="AD158" i="19" s="1"/>
  <c r="H75" i="46"/>
  <c r="G75" i="46"/>
  <c r="I74" i="46"/>
  <c r="H74" i="46"/>
  <c r="G74" i="46"/>
  <c r="F74" i="46"/>
  <c r="N73" i="46"/>
  <c r="M73" i="46"/>
  <c r="L73" i="46"/>
  <c r="K73" i="46"/>
  <c r="J73" i="46"/>
  <c r="I72" i="46"/>
  <c r="I143" i="46" s="1"/>
  <c r="AD73" i="19" s="1"/>
  <c r="AD150" i="19" s="1"/>
  <c r="H72" i="46"/>
  <c r="G72" i="46"/>
  <c r="I71" i="46"/>
  <c r="I142" i="46" s="1"/>
  <c r="AD72" i="19" s="1"/>
  <c r="AD149" i="19" s="1"/>
  <c r="H71" i="46"/>
  <c r="G71" i="46"/>
  <c r="I70" i="46"/>
  <c r="I141" i="46" s="1"/>
  <c r="AD71" i="19" s="1"/>
  <c r="AD148" i="19" s="1"/>
  <c r="H70" i="46"/>
  <c r="G70" i="46"/>
  <c r="I69" i="46"/>
  <c r="I140" i="46" s="1"/>
  <c r="AD70" i="19" s="1"/>
  <c r="AD147" i="19" s="1"/>
  <c r="H69" i="46"/>
  <c r="G69" i="46"/>
  <c r="I68" i="46"/>
  <c r="I139" i="46" s="1"/>
  <c r="AD69" i="19" s="1"/>
  <c r="AD146" i="19" s="1"/>
  <c r="H68" i="46"/>
  <c r="G68" i="46"/>
  <c r="F68" i="46"/>
  <c r="N67" i="46"/>
  <c r="M67" i="46"/>
  <c r="L67" i="46"/>
  <c r="K67" i="46"/>
  <c r="J67" i="46"/>
  <c r="I66" i="46"/>
  <c r="H66" i="46"/>
  <c r="G66" i="46"/>
  <c r="I65" i="46"/>
  <c r="I136" i="46" s="1"/>
  <c r="AD65" i="19" s="1"/>
  <c r="AD142" i="19" s="1"/>
  <c r="H65" i="46"/>
  <c r="G65" i="46"/>
  <c r="I64" i="46"/>
  <c r="H64" i="46"/>
  <c r="G64" i="46"/>
  <c r="I63" i="46"/>
  <c r="I134" i="46" s="1"/>
  <c r="AD63" i="19" s="1"/>
  <c r="AD140" i="19" s="1"/>
  <c r="H63" i="46"/>
  <c r="G63" i="46"/>
  <c r="I62" i="46"/>
  <c r="H62" i="46"/>
  <c r="G62" i="46"/>
  <c r="F62" i="46"/>
  <c r="N61" i="46"/>
  <c r="M61" i="46"/>
  <c r="L61" i="46"/>
  <c r="K61" i="46"/>
  <c r="J61" i="46"/>
  <c r="I60" i="46"/>
  <c r="I131" i="46" s="1"/>
  <c r="AD59" i="19" s="1"/>
  <c r="AD136" i="19" s="1"/>
  <c r="H60" i="46"/>
  <c r="G60" i="46"/>
  <c r="I59" i="46"/>
  <c r="I130" i="46" s="1"/>
  <c r="AD58" i="19" s="1"/>
  <c r="AD135" i="19" s="1"/>
  <c r="H59" i="46"/>
  <c r="G59" i="46"/>
  <c r="I58" i="46"/>
  <c r="I129" i="46" s="1"/>
  <c r="AD57" i="19" s="1"/>
  <c r="AD134" i="19" s="1"/>
  <c r="H58" i="46"/>
  <c r="G58" i="46"/>
  <c r="I57" i="46"/>
  <c r="I128" i="46" s="1"/>
  <c r="AD56" i="19" s="1"/>
  <c r="AD133" i="19" s="1"/>
  <c r="H57" i="46"/>
  <c r="G57" i="46"/>
  <c r="I56" i="46"/>
  <c r="I127" i="46" s="1"/>
  <c r="AD55" i="19" s="1"/>
  <c r="AD132" i="19" s="1"/>
  <c r="H56" i="46"/>
  <c r="G56" i="46"/>
  <c r="F56" i="46"/>
  <c r="N55" i="46"/>
  <c r="M55" i="46"/>
  <c r="L55" i="46"/>
  <c r="K55" i="46"/>
  <c r="J55" i="46"/>
  <c r="I54" i="46"/>
  <c r="H54" i="46"/>
  <c r="G54" i="46"/>
  <c r="I53" i="46"/>
  <c r="I124" i="46" s="1"/>
  <c r="AD51" i="19" s="1"/>
  <c r="AD128" i="19" s="1"/>
  <c r="H53" i="46"/>
  <c r="G53" i="46"/>
  <c r="I52" i="46"/>
  <c r="H52" i="46"/>
  <c r="G52" i="46"/>
  <c r="I51" i="46"/>
  <c r="I55" i="46" s="1"/>
  <c r="I126" i="46" s="1"/>
  <c r="AD53" i="19" s="1"/>
  <c r="AD130" i="19" s="1"/>
  <c r="H51" i="46"/>
  <c r="G51" i="46"/>
  <c r="I50" i="46"/>
  <c r="H50" i="46"/>
  <c r="G50" i="46"/>
  <c r="F50" i="46"/>
  <c r="N49" i="46"/>
  <c r="M49" i="46"/>
  <c r="L49" i="46"/>
  <c r="K49" i="46"/>
  <c r="J49" i="46"/>
  <c r="I48" i="46"/>
  <c r="I119" i="46" s="1"/>
  <c r="AD45" i="19" s="1"/>
  <c r="AD122" i="19" s="1"/>
  <c r="H48" i="46"/>
  <c r="G48" i="46"/>
  <c r="I47" i="46"/>
  <c r="I118" i="46" s="1"/>
  <c r="AD44" i="19" s="1"/>
  <c r="AD121" i="19" s="1"/>
  <c r="H47" i="46"/>
  <c r="G47" i="46"/>
  <c r="I46" i="46"/>
  <c r="I117" i="46" s="1"/>
  <c r="AD43" i="19" s="1"/>
  <c r="AD120" i="19" s="1"/>
  <c r="H46" i="46"/>
  <c r="G46" i="46"/>
  <c r="I45" i="46"/>
  <c r="I116" i="46" s="1"/>
  <c r="AD42" i="19" s="1"/>
  <c r="AD119" i="19" s="1"/>
  <c r="H45" i="46"/>
  <c r="G45" i="46"/>
  <c r="I44" i="46"/>
  <c r="I115" i="46" s="1"/>
  <c r="AD41" i="19" s="1"/>
  <c r="AD118" i="19" s="1"/>
  <c r="H44" i="46"/>
  <c r="G44" i="46"/>
  <c r="F44" i="46"/>
  <c r="N43" i="46"/>
  <c r="M43" i="46"/>
  <c r="L43" i="46"/>
  <c r="K43" i="46"/>
  <c r="J43" i="46"/>
  <c r="I42" i="46"/>
  <c r="H42" i="46"/>
  <c r="G42" i="46"/>
  <c r="I41" i="46"/>
  <c r="I112" i="46" s="1"/>
  <c r="AD37" i="19" s="1"/>
  <c r="AD114" i="19" s="1"/>
  <c r="H41" i="46"/>
  <c r="G41" i="46"/>
  <c r="I40" i="46"/>
  <c r="H40" i="46"/>
  <c r="G40" i="46"/>
  <c r="I39" i="46"/>
  <c r="I110" i="46" s="1"/>
  <c r="AD35" i="19" s="1"/>
  <c r="AD112" i="19" s="1"/>
  <c r="H39" i="46"/>
  <c r="G39" i="46"/>
  <c r="I38" i="46"/>
  <c r="H38" i="46"/>
  <c r="G38" i="46"/>
  <c r="F38" i="46"/>
  <c r="N37" i="46"/>
  <c r="M37" i="46"/>
  <c r="L37" i="46"/>
  <c r="K37" i="46"/>
  <c r="J37" i="46"/>
  <c r="I36" i="46"/>
  <c r="I107" i="46" s="1"/>
  <c r="AD31" i="19" s="1"/>
  <c r="AD108" i="19" s="1"/>
  <c r="H36" i="46"/>
  <c r="G36" i="46"/>
  <c r="I35" i="46"/>
  <c r="I106" i="46" s="1"/>
  <c r="AD30" i="19" s="1"/>
  <c r="AD107" i="19" s="1"/>
  <c r="H35" i="46"/>
  <c r="G35" i="46"/>
  <c r="I34" i="46"/>
  <c r="I105" i="46" s="1"/>
  <c r="AD29" i="19" s="1"/>
  <c r="AD106" i="19" s="1"/>
  <c r="H34" i="46"/>
  <c r="G34" i="46"/>
  <c r="I33" i="46"/>
  <c r="I104" i="46" s="1"/>
  <c r="AD28" i="19" s="1"/>
  <c r="AD105" i="19" s="1"/>
  <c r="H33" i="46"/>
  <c r="G33" i="46"/>
  <c r="I32" i="46"/>
  <c r="I103" i="46" s="1"/>
  <c r="AD27" i="19" s="1"/>
  <c r="AD104" i="19" s="1"/>
  <c r="H32" i="46"/>
  <c r="G32" i="46"/>
  <c r="F32" i="46"/>
  <c r="N31" i="46"/>
  <c r="M31" i="46"/>
  <c r="L31" i="46"/>
  <c r="K31" i="46"/>
  <c r="J31" i="46"/>
  <c r="I30" i="46"/>
  <c r="H30" i="46"/>
  <c r="G30" i="46"/>
  <c r="I29" i="46"/>
  <c r="I100" i="46" s="1"/>
  <c r="AD23" i="19" s="1"/>
  <c r="AD100" i="19" s="1"/>
  <c r="H29" i="46"/>
  <c r="G29" i="46"/>
  <c r="I28" i="46"/>
  <c r="H28" i="46"/>
  <c r="G28" i="46"/>
  <c r="I27" i="46"/>
  <c r="I31" i="46" s="1"/>
  <c r="I102" i="46" s="1"/>
  <c r="AD25" i="19" s="1"/>
  <c r="AD102" i="19" s="1"/>
  <c r="H27" i="46"/>
  <c r="G27" i="46"/>
  <c r="I26" i="46"/>
  <c r="H26" i="46"/>
  <c r="G26" i="46"/>
  <c r="F26" i="46"/>
  <c r="N25" i="46"/>
  <c r="M25" i="46"/>
  <c r="L25" i="46"/>
  <c r="K25" i="46"/>
  <c r="J25" i="46"/>
  <c r="I24" i="46"/>
  <c r="I95" i="46" s="1"/>
  <c r="AD17" i="19" s="1"/>
  <c r="AD94" i="19" s="1"/>
  <c r="H24" i="46"/>
  <c r="G24" i="46"/>
  <c r="I23" i="46"/>
  <c r="I94" i="46" s="1"/>
  <c r="AD16" i="19" s="1"/>
  <c r="AD93" i="19" s="1"/>
  <c r="H23" i="46"/>
  <c r="G23" i="46"/>
  <c r="I22" i="46"/>
  <c r="I93" i="46" s="1"/>
  <c r="AD15" i="19" s="1"/>
  <c r="AD92" i="19" s="1"/>
  <c r="H22" i="46"/>
  <c r="G22" i="46"/>
  <c r="I21" i="46"/>
  <c r="I92" i="46" s="1"/>
  <c r="AD14" i="19" s="1"/>
  <c r="AD91" i="19" s="1"/>
  <c r="H21" i="46"/>
  <c r="G21" i="46"/>
  <c r="I20" i="46"/>
  <c r="I91" i="46" s="1"/>
  <c r="AD13" i="19" s="1"/>
  <c r="AD90" i="19" s="1"/>
  <c r="H20" i="46"/>
  <c r="G20" i="46"/>
  <c r="F20" i="46"/>
  <c r="N19" i="46"/>
  <c r="M19" i="46"/>
  <c r="L19" i="46"/>
  <c r="K19" i="46"/>
  <c r="J19" i="46"/>
  <c r="B14" i="46"/>
  <c r="F12" i="46"/>
  <c r="N9" i="46"/>
  <c r="M9" i="46"/>
  <c r="L9" i="46"/>
  <c r="K9" i="46"/>
  <c r="J9" i="46"/>
  <c r="B6" i="46"/>
  <c r="B2" i="46"/>
  <c r="B1" i="46"/>
  <c r="H33" i="21" s="1"/>
  <c r="F169" i="45"/>
  <c r="F168" i="45"/>
  <c r="F167" i="45"/>
  <c r="F166" i="45"/>
  <c r="N165" i="45"/>
  <c r="M165" i="45"/>
  <c r="L165" i="45"/>
  <c r="K165" i="45"/>
  <c r="J165" i="45"/>
  <c r="F164" i="45"/>
  <c r="F162" i="45"/>
  <c r="F161" i="45"/>
  <c r="F160" i="45"/>
  <c r="F159" i="45"/>
  <c r="N158" i="45"/>
  <c r="M158" i="45"/>
  <c r="L158" i="45"/>
  <c r="K158" i="45"/>
  <c r="J158" i="45"/>
  <c r="F157" i="45"/>
  <c r="B155" i="45"/>
  <c r="M152" i="45"/>
  <c r="N149" i="45"/>
  <c r="AC855" i="19" s="1"/>
  <c r="AC932" i="19" s="1"/>
  <c r="M149" i="45"/>
  <c r="AC700" i="19" s="1"/>
  <c r="AC777" i="19" s="1"/>
  <c r="L149" i="45"/>
  <c r="AC545" i="19" s="1"/>
  <c r="AC622" i="19" s="1"/>
  <c r="K149" i="45"/>
  <c r="AC390" i="19" s="1"/>
  <c r="AC467" i="19" s="1"/>
  <c r="J149" i="45"/>
  <c r="AC235" i="19" s="1"/>
  <c r="AC312" i="19" s="1"/>
  <c r="H149" i="45"/>
  <c r="G149" i="45"/>
  <c r="N148" i="45"/>
  <c r="AC854" i="19" s="1"/>
  <c r="AC931" i="19" s="1"/>
  <c r="M148" i="45"/>
  <c r="AC699" i="19" s="1"/>
  <c r="AC776" i="19" s="1"/>
  <c r="L148" i="45"/>
  <c r="AC544" i="19" s="1"/>
  <c r="AC621" i="19" s="1"/>
  <c r="K148" i="45"/>
  <c r="AC389" i="19" s="1"/>
  <c r="J148" i="45"/>
  <c r="AC234" i="19" s="1"/>
  <c r="AC311" i="19" s="1"/>
  <c r="H148" i="45"/>
  <c r="G148" i="45"/>
  <c r="N147" i="45"/>
  <c r="AC853" i="19" s="1"/>
  <c r="AC930" i="19" s="1"/>
  <c r="M147" i="45"/>
  <c r="AC698" i="19" s="1"/>
  <c r="AC775" i="19" s="1"/>
  <c r="L147" i="45"/>
  <c r="AC543" i="19" s="1"/>
  <c r="AC620" i="19" s="1"/>
  <c r="K147" i="45"/>
  <c r="AC388" i="19" s="1"/>
  <c r="AC465" i="19" s="1"/>
  <c r="J147" i="45"/>
  <c r="AC233" i="19" s="1"/>
  <c r="AC310" i="19" s="1"/>
  <c r="H147" i="45"/>
  <c r="G147" i="45"/>
  <c r="N146" i="45"/>
  <c r="AC852" i="19" s="1"/>
  <c r="AC929" i="19" s="1"/>
  <c r="M146" i="45"/>
  <c r="AC697" i="19" s="1"/>
  <c r="AC774" i="19" s="1"/>
  <c r="L146" i="45"/>
  <c r="AC542" i="19" s="1"/>
  <c r="AC619" i="19" s="1"/>
  <c r="K146" i="45"/>
  <c r="AC387" i="19" s="1"/>
  <c r="AC464" i="19" s="1"/>
  <c r="J146" i="45"/>
  <c r="AC232" i="19" s="1"/>
  <c r="AC309" i="19" s="1"/>
  <c r="H146" i="45"/>
  <c r="G146" i="45"/>
  <c r="N145" i="45"/>
  <c r="AC851" i="19" s="1"/>
  <c r="AC928" i="19" s="1"/>
  <c r="M145" i="45"/>
  <c r="AC696" i="19" s="1"/>
  <c r="AC773" i="19" s="1"/>
  <c r="L145" i="45"/>
  <c r="AC541" i="19" s="1"/>
  <c r="AC618" i="19" s="1"/>
  <c r="K145" i="45"/>
  <c r="AC386" i="19" s="1"/>
  <c r="AC463" i="19" s="1"/>
  <c r="J145" i="45"/>
  <c r="AC231" i="19" s="1"/>
  <c r="AC308" i="19" s="1"/>
  <c r="H145" i="45"/>
  <c r="G145" i="45"/>
  <c r="F145" i="45"/>
  <c r="N143" i="45"/>
  <c r="AC848" i="19" s="1"/>
  <c r="AC925" i="19" s="1"/>
  <c r="M143" i="45"/>
  <c r="AC693" i="19" s="1"/>
  <c r="AC770" i="19" s="1"/>
  <c r="L143" i="45"/>
  <c r="AC538" i="19" s="1"/>
  <c r="AC615" i="19" s="1"/>
  <c r="K143" i="45"/>
  <c r="AC383" i="19" s="1"/>
  <c r="AC460" i="19" s="1"/>
  <c r="J143" i="45"/>
  <c r="H143" i="45"/>
  <c r="G143" i="45"/>
  <c r="N142" i="45"/>
  <c r="AC847" i="19" s="1"/>
  <c r="AC924" i="19" s="1"/>
  <c r="M142" i="45"/>
  <c r="AC692" i="19" s="1"/>
  <c r="AC769" i="19" s="1"/>
  <c r="L142" i="45"/>
  <c r="K142" i="45"/>
  <c r="AC382" i="19" s="1"/>
  <c r="AC459" i="19" s="1"/>
  <c r="J142" i="45"/>
  <c r="AC227" i="19" s="1"/>
  <c r="AC304" i="19" s="1"/>
  <c r="I142" i="45"/>
  <c r="AC72" i="19" s="1"/>
  <c r="AC149" i="19" s="1"/>
  <c r="H142" i="45"/>
  <c r="G142" i="45"/>
  <c r="N141" i="45"/>
  <c r="AC846" i="19" s="1"/>
  <c r="AC923" i="19" s="1"/>
  <c r="M141" i="45"/>
  <c r="AC691" i="19" s="1"/>
  <c r="AC768" i="19" s="1"/>
  <c r="L141" i="45"/>
  <c r="AC536" i="19" s="1"/>
  <c r="AC613" i="19" s="1"/>
  <c r="K141" i="45"/>
  <c r="AC381" i="19" s="1"/>
  <c r="AC458" i="19" s="1"/>
  <c r="J141" i="45"/>
  <c r="H141" i="45"/>
  <c r="G141" i="45"/>
  <c r="N140" i="45"/>
  <c r="AC845" i="19" s="1"/>
  <c r="AC922" i="19" s="1"/>
  <c r="M140" i="45"/>
  <c r="AC690" i="19" s="1"/>
  <c r="AC767" i="19" s="1"/>
  <c r="L140" i="45"/>
  <c r="K140" i="45"/>
  <c r="AC380" i="19" s="1"/>
  <c r="AC457" i="19" s="1"/>
  <c r="J140" i="45"/>
  <c r="AC225" i="19" s="1"/>
  <c r="AC302" i="19" s="1"/>
  <c r="I140" i="45"/>
  <c r="AC70" i="19" s="1"/>
  <c r="AC147" i="19" s="1"/>
  <c r="H140" i="45"/>
  <c r="G140" i="45"/>
  <c r="N139" i="45"/>
  <c r="AC844" i="19" s="1"/>
  <c r="AC921" i="19" s="1"/>
  <c r="M139" i="45"/>
  <c r="AC689" i="19" s="1"/>
  <c r="AC766" i="19" s="1"/>
  <c r="L139" i="45"/>
  <c r="AC534" i="19" s="1"/>
  <c r="AC611" i="19" s="1"/>
  <c r="K139" i="45"/>
  <c r="AC379" i="19" s="1"/>
  <c r="AC456" i="19" s="1"/>
  <c r="J139" i="45"/>
  <c r="J144" i="45" s="1"/>
  <c r="AC229" i="19" s="1"/>
  <c r="AC306" i="19" s="1"/>
  <c r="H139" i="45"/>
  <c r="G139" i="45"/>
  <c r="F139" i="45"/>
  <c r="N137" i="45"/>
  <c r="AC841" i="19" s="1"/>
  <c r="AC918" i="19" s="1"/>
  <c r="M137" i="45"/>
  <c r="AC686" i="19" s="1"/>
  <c r="AC763" i="19" s="1"/>
  <c r="L137" i="45"/>
  <c r="AC531" i="19" s="1"/>
  <c r="AC608" i="19" s="1"/>
  <c r="K137" i="45"/>
  <c r="AC376" i="19" s="1"/>
  <c r="AC453" i="19" s="1"/>
  <c r="J137" i="45"/>
  <c r="AC221" i="19" s="1"/>
  <c r="AC298" i="19" s="1"/>
  <c r="H137" i="45"/>
  <c r="G137" i="45"/>
  <c r="N136" i="45"/>
  <c r="AC840" i="19" s="1"/>
  <c r="AC917" i="19" s="1"/>
  <c r="M136" i="45"/>
  <c r="AC685" i="19" s="1"/>
  <c r="AC762" i="19" s="1"/>
  <c r="L136" i="45"/>
  <c r="AC530" i="19" s="1"/>
  <c r="AC607" i="19" s="1"/>
  <c r="K136" i="45"/>
  <c r="AC375" i="19" s="1"/>
  <c r="J136" i="45"/>
  <c r="AC220" i="19" s="1"/>
  <c r="AC297" i="19" s="1"/>
  <c r="H136" i="45"/>
  <c r="G136" i="45"/>
  <c r="N135" i="45"/>
  <c r="AC839" i="19" s="1"/>
  <c r="AC916" i="19" s="1"/>
  <c r="M135" i="45"/>
  <c r="AC684" i="19" s="1"/>
  <c r="AC761" i="19" s="1"/>
  <c r="L135" i="45"/>
  <c r="AC529" i="19" s="1"/>
  <c r="AC606" i="19" s="1"/>
  <c r="K135" i="45"/>
  <c r="AC374" i="19" s="1"/>
  <c r="AC451" i="19" s="1"/>
  <c r="J135" i="45"/>
  <c r="AC219" i="19" s="1"/>
  <c r="AC296" i="19" s="1"/>
  <c r="H135" i="45"/>
  <c r="G135" i="45"/>
  <c r="N134" i="45"/>
  <c r="AC838" i="19" s="1"/>
  <c r="AC915" i="19" s="1"/>
  <c r="M134" i="45"/>
  <c r="AC683" i="19" s="1"/>
  <c r="AC760" i="19" s="1"/>
  <c r="L134" i="45"/>
  <c r="AC528" i="19" s="1"/>
  <c r="AC605" i="19" s="1"/>
  <c r="K134" i="45"/>
  <c r="AC373" i="19" s="1"/>
  <c r="AC450" i="19" s="1"/>
  <c r="J134" i="45"/>
  <c r="AC218" i="19" s="1"/>
  <c r="AC295" i="19" s="1"/>
  <c r="H134" i="45"/>
  <c r="G134" i="45"/>
  <c r="N133" i="45"/>
  <c r="AC837" i="19" s="1"/>
  <c r="AC914" i="19" s="1"/>
  <c r="M133" i="45"/>
  <c r="AC682" i="19" s="1"/>
  <c r="AC759" i="19" s="1"/>
  <c r="L133" i="45"/>
  <c r="AC527" i="19" s="1"/>
  <c r="AC604" i="19" s="1"/>
  <c r="K133" i="45"/>
  <c r="AC372" i="19" s="1"/>
  <c r="AC449" i="19" s="1"/>
  <c r="J133" i="45"/>
  <c r="AC217" i="19" s="1"/>
  <c r="AC294" i="19" s="1"/>
  <c r="H133" i="45"/>
  <c r="G133" i="45"/>
  <c r="F133" i="45"/>
  <c r="K132" i="45"/>
  <c r="AC370" i="19" s="1"/>
  <c r="AC447" i="19" s="1"/>
  <c r="N131" i="45"/>
  <c r="AC834" i="19" s="1"/>
  <c r="AC911" i="19" s="1"/>
  <c r="M131" i="45"/>
  <c r="AC679" i="19" s="1"/>
  <c r="AC756" i="19" s="1"/>
  <c r="L131" i="45"/>
  <c r="AC524" i="19" s="1"/>
  <c r="AC601" i="19" s="1"/>
  <c r="K131" i="45"/>
  <c r="AC369" i="19" s="1"/>
  <c r="AC446" i="19" s="1"/>
  <c r="J131" i="45"/>
  <c r="H131" i="45"/>
  <c r="G131" i="45"/>
  <c r="N130" i="45"/>
  <c r="AC833" i="19" s="1"/>
  <c r="AC910" i="19" s="1"/>
  <c r="M130" i="45"/>
  <c r="AC678" i="19" s="1"/>
  <c r="AC755" i="19" s="1"/>
  <c r="L130" i="45"/>
  <c r="K130" i="45"/>
  <c r="AC368" i="19" s="1"/>
  <c r="AC445" i="19" s="1"/>
  <c r="J130" i="45"/>
  <c r="AC213" i="19" s="1"/>
  <c r="AC290" i="19" s="1"/>
  <c r="I130" i="45"/>
  <c r="AC58" i="19" s="1"/>
  <c r="AC135" i="19" s="1"/>
  <c r="H130" i="45"/>
  <c r="G130" i="45"/>
  <c r="N129" i="45"/>
  <c r="AC832" i="19" s="1"/>
  <c r="AC909" i="19" s="1"/>
  <c r="M129" i="45"/>
  <c r="AC677" i="19" s="1"/>
  <c r="AC754" i="19" s="1"/>
  <c r="L129" i="45"/>
  <c r="AC522" i="19" s="1"/>
  <c r="AC599" i="19" s="1"/>
  <c r="K129" i="45"/>
  <c r="AC367" i="19" s="1"/>
  <c r="AC444" i="19" s="1"/>
  <c r="J129" i="45"/>
  <c r="H129" i="45"/>
  <c r="G129" i="45"/>
  <c r="N128" i="45"/>
  <c r="AC831" i="19" s="1"/>
  <c r="AC908" i="19" s="1"/>
  <c r="M128" i="45"/>
  <c r="AC676" i="19" s="1"/>
  <c r="AC753" i="19" s="1"/>
  <c r="L128" i="45"/>
  <c r="K128" i="45"/>
  <c r="AC366" i="19" s="1"/>
  <c r="AC443" i="19" s="1"/>
  <c r="J128" i="45"/>
  <c r="AC211" i="19" s="1"/>
  <c r="AC288" i="19" s="1"/>
  <c r="I128" i="45"/>
  <c r="AC56" i="19" s="1"/>
  <c r="AC133" i="19" s="1"/>
  <c r="H128" i="45"/>
  <c r="G128" i="45"/>
  <c r="N127" i="45"/>
  <c r="AC830" i="19" s="1"/>
  <c r="AC907" i="19" s="1"/>
  <c r="M127" i="45"/>
  <c r="AC675" i="19" s="1"/>
  <c r="AC752" i="19" s="1"/>
  <c r="L127" i="45"/>
  <c r="AC520" i="19" s="1"/>
  <c r="AC597" i="19" s="1"/>
  <c r="K127" i="45"/>
  <c r="AC365" i="19" s="1"/>
  <c r="AC442" i="19" s="1"/>
  <c r="J127" i="45"/>
  <c r="J132" i="45" s="1"/>
  <c r="AC215" i="19" s="1"/>
  <c r="AC292" i="19" s="1"/>
  <c r="H127" i="45"/>
  <c r="G127" i="45"/>
  <c r="F127" i="45"/>
  <c r="N125" i="45"/>
  <c r="AC827" i="19" s="1"/>
  <c r="AC904" i="19" s="1"/>
  <c r="M125" i="45"/>
  <c r="AC672" i="19" s="1"/>
  <c r="AC749" i="19" s="1"/>
  <c r="L125" i="45"/>
  <c r="AC517" i="19" s="1"/>
  <c r="AC594" i="19" s="1"/>
  <c r="K125" i="45"/>
  <c r="AC362" i="19" s="1"/>
  <c r="AC439" i="19" s="1"/>
  <c r="J125" i="45"/>
  <c r="AC207" i="19" s="1"/>
  <c r="AC284" i="19" s="1"/>
  <c r="H125" i="45"/>
  <c r="G125" i="45"/>
  <c r="N124" i="45"/>
  <c r="AC826" i="19" s="1"/>
  <c r="AC903" i="19" s="1"/>
  <c r="M124" i="45"/>
  <c r="AC671" i="19" s="1"/>
  <c r="AC748" i="19" s="1"/>
  <c r="L124" i="45"/>
  <c r="AC516" i="19" s="1"/>
  <c r="AC593" i="19" s="1"/>
  <c r="K124" i="45"/>
  <c r="AC361" i="19" s="1"/>
  <c r="J124" i="45"/>
  <c r="AC206" i="19" s="1"/>
  <c r="AC283" i="19" s="1"/>
  <c r="H124" i="45"/>
  <c r="G124" i="45"/>
  <c r="N123" i="45"/>
  <c r="AC825" i="19" s="1"/>
  <c r="AC902" i="19" s="1"/>
  <c r="M123" i="45"/>
  <c r="AC670" i="19" s="1"/>
  <c r="AC747" i="19" s="1"/>
  <c r="L123" i="45"/>
  <c r="AC515" i="19" s="1"/>
  <c r="AC592" i="19" s="1"/>
  <c r="K123" i="45"/>
  <c r="AC360" i="19" s="1"/>
  <c r="AC437" i="19" s="1"/>
  <c r="J123" i="45"/>
  <c r="AC205" i="19" s="1"/>
  <c r="AC282" i="19" s="1"/>
  <c r="H123" i="45"/>
  <c r="G123" i="45"/>
  <c r="N122" i="45"/>
  <c r="AC824" i="19" s="1"/>
  <c r="AC901" i="19" s="1"/>
  <c r="M122" i="45"/>
  <c r="AC669" i="19" s="1"/>
  <c r="AC746" i="19" s="1"/>
  <c r="L122" i="45"/>
  <c r="AC514" i="19" s="1"/>
  <c r="AC591" i="19" s="1"/>
  <c r="K122" i="45"/>
  <c r="AC359" i="19" s="1"/>
  <c r="AC436" i="19" s="1"/>
  <c r="J122" i="45"/>
  <c r="AC204" i="19" s="1"/>
  <c r="AC281" i="19" s="1"/>
  <c r="H122" i="45"/>
  <c r="G122" i="45"/>
  <c r="N121" i="45"/>
  <c r="AC823" i="19" s="1"/>
  <c r="AC900" i="19" s="1"/>
  <c r="M121" i="45"/>
  <c r="AC668" i="19" s="1"/>
  <c r="AC745" i="19" s="1"/>
  <c r="L121" i="45"/>
  <c r="AC513" i="19" s="1"/>
  <c r="AC590" i="19" s="1"/>
  <c r="K121" i="45"/>
  <c r="AC358" i="19" s="1"/>
  <c r="AC435" i="19" s="1"/>
  <c r="J121" i="45"/>
  <c r="AC203" i="19" s="1"/>
  <c r="AC280" i="19" s="1"/>
  <c r="H121" i="45"/>
  <c r="G121" i="45"/>
  <c r="F121" i="45"/>
  <c r="N119" i="45"/>
  <c r="AC820" i="19" s="1"/>
  <c r="AC897" i="19" s="1"/>
  <c r="M119" i="45"/>
  <c r="AC665" i="19" s="1"/>
  <c r="AC742" i="19" s="1"/>
  <c r="L119" i="45"/>
  <c r="AC510" i="19" s="1"/>
  <c r="AC587" i="19" s="1"/>
  <c r="K119" i="45"/>
  <c r="AC355" i="19" s="1"/>
  <c r="AC432" i="19" s="1"/>
  <c r="J119" i="45"/>
  <c r="H119" i="45"/>
  <c r="G119" i="45"/>
  <c r="N118" i="45"/>
  <c r="AC819" i="19" s="1"/>
  <c r="AC896" i="19" s="1"/>
  <c r="M118" i="45"/>
  <c r="AC664" i="19" s="1"/>
  <c r="AC741" i="19" s="1"/>
  <c r="L118" i="45"/>
  <c r="K118" i="45"/>
  <c r="AC354" i="19" s="1"/>
  <c r="AC431" i="19" s="1"/>
  <c r="J118" i="45"/>
  <c r="AC199" i="19" s="1"/>
  <c r="AC276" i="19" s="1"/>
  <c r="I118" i="45"/>
  <c r="AC44" i="19" s="1"/>
  <c r="AC121" i="19" s="1"/>
  <c r="H118" i="45"/>
  <c r="G118" i="45"/>
  <c r="N117" i="45"/>
  <c r="AC818" i="19" s="1"/>
  <c r="AC895" i="19" s="1"/>
  <c r="M117" i="45"/>
  <c r="AC663" i="19" s="1"/>
  <c r="AC740" i="19" s="1"/>
  <c r="L117" i="45"/>
  <c r="AC508" i="19" s="1"/>
  <c r="AC585" i="19" s="1"/>
  <c r="K117" i="45"/>
  <c r="AC353" i="19" s="1"/>
  <c r="AC430" i="19" s="1"/>
  <c r="J117" i="45"/>
  <c r="H117" i="45"/>
  <c r="G117" i="45"/>
  <c r="N116" i="45"/>
  <c r="AC817" i="19" s="1"/>
  <c r="AC894" i="19" s="1"/>
  <c r="M116" i="45"/>
  <c r="AC662" i="19" s="1"/>
  <c r="AC739" i="19" s="1"/>
  <c r="L116" i="45"/>
  <c r="AC507" i="19" s="1"/>
  <c r="AC584" i="19" s="1"/>
  <c r="K116" i="45"/>
  <c r="AC352" i="19" s="1"/>
  <c r="AC429" i="19" s="1"/>
  <c r="J116" i="45"/>
  <c r="AC197" i="19" s="1"/>
  <c r="AC274" i="19" s="1"/>
  <c r="I116" i="45"/>
  <c r="AC42" i="19" s="1"/>
  <c r="AC119" i="19" s="1"/>
  <c r="H116" i="45"/>
  <c r="G116" i="45"/>
  <c r="N115" i="45"/>
  <c r="AC816" i="19" s="1"/>
  <c r="AC893" i="19" s="1"/>
  <c r="M115" i="45"/>
  <c r="AC661" i="19" s="1"/>
  <c r="AC738" i="19" s="1"/>
  <c r="L115" i="45"/>
  <c r="AC506" i="19" s="1"/>
  <c r="K115" i="45"/>
  <c r="AC351" i="19" s="1"/>
  <c r="AC428" i="19" s="1"/>
  <c r="J115" i="45"/>
  <c r="J120" i="45" s="1"/>
  <c r="AC201" i="19" s="1"/>
  <c r="AC278" i="19" s="1"/>
  <c r="H115" i="45"/>
  <c r="G115" i="45"/>
  <c r="F115" i="45"/>
  <c r="N113" i="45"/>
  <c r="AC813" i="19" s="1"/>
  <c r="AC890" i="19" s="1"/>
  <c r="M113" i="45"/>
  <c r="AC658" i="19" s="1"/>
  <c r="AC735" i="19" s="1"/>
  <c r="L113" i="45"/>
  <c r="AC503" i="19" s="1"/>
  <c r="AC580" i="19" s="1"/>
  <c r="K113" i="45"/>
  <c r="AC348" i="19" s="1"/>
  <c r="AC425" i="19" s="1"/>
  <c r="J113" i="45"/>
  <c r="AC193" i="19" s="1"/>
  <c r="AC270" i="19" s="1"/>
  <c r="H113" i="45"/>
  <c r="G113" i="45"/>
  <c r="N112" i="45"/>
  <c r="AC812" i="19" s="1"/>
  <c r="AC889" i="19" s="1"/>
  <c r="M112" i="45"/>
  <c r="AC657" i="19" s="1"/>
  <c r="AC734" i="19" s="1"/>
  <c r="L112" i="45"/>
  <c r="AC502" i="19" s="1"/>
  <c r="AC579" i="19" s="1"/>
  <c r="K112" i="45"/>
  <c r="AC347" i="19" s="1"/>
  <c r="AC424" i="19" s="1"/>
  <c r="J112" i="45"/>
  <c r="AC192" i="19" s="1"/>
  <c r="AC269" i="19" s="1"/>
  <c r="H112" i="45"/>
  <c r="G112" i="45"/>
  <c r="N111" i="45"/>
  <c r="AC811" i="19" s="1"/>
  <c r="AC888" i="19" s="1"/>
  <c r="M111" i="45"/>
  <c r="AC656" i="19" s="1"/>
  <c r="AC733" i="19" s="1"/>
  <c r="L111" i="45"/>
  <c r="AC501" i="19" s="1"/>
  <c r="AC578" i="19" s="1"/>
  <c r="K111" i="45"/>
  <c r="AC346" i="19" s="1"/>
  <c r="AC423" i="19" s="1"/>
  <c r="J111" i="45"/>
  <c r="AC191" i="19" s="1"/>
  <c r="AC268" i="19" s="1"/>
  <c r="H111" i="45"/>
  <c r="G111" i="45"/>
  <c r="N110" i="45"/>
  <c r="AC810" i="19" s="1"/>
  <c r="AC887" i="19" s="1"/>
  <c r="M110" i="45"/>
  <c r="AC655" i="19" s="1"/>
  <c r="AC732" i="19" s="1"/>
  <c r="L110" i="45"/>
  <c r="AC500" i="19" s="1"/>
  <c r="AC577" i="19" s="1"/>
  <c r="K110" i="45"/>
  <c r="AC345" i="19" s="1"/>
  <c r="AC422" i="19" s="1"/>
  <c r="J110" i="45"/>
  <c r="AC190" i="19" s="1"/>
  <c r="AC267" i="19" s="1"/>
  <c r="H110" i="45"/>
  <c r="G110" i="45"/>
  <c r="N109" i="45"/>
  <c r="AC809" i="19" s="1"/>
  <c r="AC886" i="19" s="1"/>
  <c r="M109" i="45"/>
  <c r="M114" i="45" s="1"/>
  <c r="AC659" i="19" s="1"/>
  <c r="AC736" i="19" s="1"/>
  <c r="L109" i="45"/>
  <c r="AC499" i="19" s="1"/>
  <c r="AC576" i="19" s="1"/>
  <c r="K109" i="45"/>
  <c r="K114" i="45" s="1"/>
  <c r="AC349" i="19" s="1"/>
  <c r="AC426" i="19" s="1"/>
  <c r="J109" i="45"/>
  <c r="AC189" i="19" s="1"/>
  <c r="AC266" i="19" s="1"/>
  <c r="H109" i="45"/>
  <c r="G109" i="45"/>
  <c r="F109" i="45"/>
  <c r="K108" i="45"/>
  <c r="AC342" i="19" s="1"/>
  <c r="AC419" i="19" s="1"/>
  <c r="N107" i="45"/>
  <c r="AC806" i="19" s="1"/>
  <c r="AC883" i="19" s="1"/>
  <c r="M107" i="45"/>
  <c r="AC651" i="19" s="1"/>
  <c r="AC728" i="19" s="1"/>
  <c r="L107" i="45"/>
  <c r="AC496" i="19" s="1"/>
  <c r="AC573" i="19" s="1"/>
  <c r="K107" i="45"/>
  <c r="AC341" i="19" s="1"/>
  <c r="AC418" i="19" s="1"/>
  <c r="J107" i="45"/>
  <c r="H107" i="45"/>
  <c r="G107" i="45"/>
  <c r="N106" i="45"/>
  <c r="AC805" i="19" s="1"/>
  <c r="AC882" i="19" s="1"/>
  <c r="M106" i="45"/>
  <c r="AC650" i="19" s="1"/>
  <c r="AC727" i="19" s="1"/>
  <c r="L106" i="45"/>
  <c r="K106" i="45"/>
  <c r="AC340" i="19" s="1"/>
  <c r="AC417" i="19" s="1"/>
  <c r="J106" i="45"/>
  <c r="AC185" i="19" s="1"/>
  <c r="AC262" i="19" s="1"/>
  <c r="I106" i="45"/>
  <c r="AC30" i="19" s="1"/>
  <c r="AC107" i="19" s="1"/>
  <c r="H106" i="45"/>
  <c r="G106" i="45"/>
  <c r="N105" i="45"/>
  <c r="AC804" i="19" s="1"/>
  <c r="AC881" i="19" s="1"/>
  <c r="M105" i="45"/>
  <c r="AC649" i="19" s="1"/>
  <c r="AC726" i="19" s="1"/>
  <c r="L105" i="45"/>
  <c r="AC494" i="19" s="1"/>
  <c r="AC571" i="19" s="1"/>
  <c r="K105" i="45"/>
  <c r="AC339" i="19" s="1"/>
  <c r="AC416" i="19" s="1"/>
  <c r="J105" i="45"/>
  <c r="H105" i="45"/>
  <c r="G105" i="45"/>
  <c r="N104" i="45"/>
  <c r="AC803" i="19" s="1"/>
  <c r="AC880" i="19" s="1"/>
  <c r="M104" i="45"/>
  <c r="AC648" i="19" s="1"/>
  <c r="AC725" i="19" s="1"/>
  <c r="L104" i="45"/>
  <c r="K104" i="45"/>
  <c r="AC338" i="19" s="1"/>
  <c r="AC415" i="19" s="1"/>
  <c r="J104" i="45"/>
  <c r="AC183" i="19" s="1"/>
  <c r="AC260" i="19" s="1"/>
  <c r="I104" i="45"/>
  <c r="AC28" i="19" s="1"/>
  <c r="AC105" i="19" s="1"/>
  <c r="H104" i="45"/>
  <c r="G104" i="45"/>
  <c r="N103" i="45"/>
  <c r="AC802" i="19" s="1"/>
  <c r="AC879" i="19" s="1"/>
  <c r="M103" i="45"/>
  <c r="AC647" i="19" s="1"/>
  <c r="AC724" i="19" s="1"/>
  <c r="L103" i="45"/>
  <c r="AC492" i="19" s="1"/>
  <c r="K103" i="45"/>
  <c r="AC337" i="19" s="1"/>
  <c r="AC414" i="19" s="1"/>
  <c r="J103" i="45"/>
  <c r="J108" i="45" s="1"/>
  <c r="AC187" i="19" s="1"/>
  <c r="AC264" i="19" s="1"/>
  <c r="H103" i="45"/>
  <c r="G103" i="45"/>
  <c r="F103" i="45"/>
  <c r="N101" i="45"/>
  <c r="AC799" i="19" s="1"/>
  <c r="AC876" i="19" s="1"/>
  <c r="M101" i="45"/>
  <c r="AC644" i="19" s="1"/>
  <c r="AC721" i="19" s="1"/>
  <c r="L101" i="45"/>
  <c r="AC489" i="19" s="1"/>
  <c r="AC566" i="19" s="1"/>
  <c r="K101" i="45"/>
  <c r="J101" i="45"/>
  <c r="AC179" i="19" s="1"/>
  <c r="AC256" i="19" s="1"/>
  <c r="H101" i="45"/>
  <c r="G101" i="45"/>
  <c r="N100" i="45"/>
  <c r="AC798" i="19" s="1"/>
  <c r="AC875" i="19" s="1"/>
  <c r="M100" i="45"/>
  <c r="AC643" i="19" s="1"/>
  <c r="AC720" i="19" s="1"/>
  <c r="L100" i="45"/>
  <c r="AC488" i="19" s="1"/>
  <c r="AC565" i="19" s="1"/>
  <c r="K100" i="45"/>
  <c r="AC333" i="19" s="1"/>
  <c r="J100" i="45"/>
  <c r="AC178" i="19" s="1"/>
  <c r="AC255" i="19" s="1"/>
  <c r="H100" i="45"/>
  <c r="G100" i="45"/>
  <c r="N99" i="45"/>
  <c r="AC797" i="19" s="1"/>
  <c r="AC874" i="19" s="1"/>
  <c r="M99" i="45"/>
  <c r="AC642" i="19" s="1"/>
  <c r="AC719" i="19" s="1"/>
  <c r="L99" i="45"/>
  <c r="AC487" i="19" s="1"/>
  <c r="AC564" i="19" s="1"/>
  <c r="K99" i="45"/>
  <c r="J99" i="45"/>
  <c r="AC177" i="19" s="1"/>
  <c r="AC254" i="19" s="1"/>
  <c r="H99" i="45"/>
  <c r="G99" i="45"/>
  <c r="N98" i="45"/>
  <c r="AC796" i="19" s="1"/>
  <c r="AC873" i="19" s="1"/>
  <c r="M98" i="45"/>
  <c r="AC641" i="19" s="1"/>
  <c r="AC718" i="19" s="1"/>
  <c r="L98" i="45"/>
  <c r="AC486" i="19" s="1"/>
  <c r="AC563" i="19" s="1"/>
  <c r="K98" i="45"/>
  <c r="AC331" i="19" s="1"/>
  <c r="AC408" i="19" s="1"/>
  <c r="J98" i="45"/>
  <c r="AC176" i="19" s="1"/>
  <c r="AC253" i="19" s="1"/>
  <c r="H98" i="45"/>
  <c r="G98" i="45"/>
  <c r="N97" i="45"/>
  <c r="AC795" i="19" s="1"/>
  <c r="AC872" i="19" s="1"/>
  <c r="M97" i="45"/>
  <c r="AC640" i="19" s="1"/>
  <c r="AC717" i="19" s="1"/>
  <c r="L97" i="45"/>
  <c r="AC485" i="19" s="1"/>
  <c r="AC562" i="19" s="1"/>
  <c r="K97" i="45"/>
  <c r="AC330" i="19" s="1"/>
  <c r="AC407" i="19" s="1"/>
  <c r="J97" i="45"/>
  <c r="AC175" i="19" s="1"/>
  <c r="AC252" i="19" s="1"/>
  <c r="H97" i="45"/>
  <c r="G97" i="45"/>
  <c r="F97" i="45"/>
  <c r="M96" i="45"/>
  <c r="AC638" i="19" s="1"/>
  <c r="K96" i="45"/>
  <c r="AC328" i="19" s="1"/>
  <c r="N95" i="45"/>
  <c r="AC792" i="19" s="1"/>
  <c r="AC869" i="19" s="1"/>
  <c r="M95" i="45"/>
  <c r="AC637" i="19" s="1"/>
  <c r="AC714" i="19" s="1"/>
  <c r="L95" i="45"/>
  <c r="AC482" i="19" s="1"/>
  <c r="AC559" i="19" s="1"/>
  <c r="K95" i="45"/>
  <c r="AC327" i="19" s="1"/>
  <c r="AC404" i="19" s="1"/>
  <c r="J95" i="45"/>
  <c r="H95" i="45"/>
  <c r="G95" i="45"/>
  <c r="N94" i="45"/>
  <c r="AC791" i="19" s="1"/>
  <c r="AC868" i="19" s="1"/>
  <c r="M94" i="45"/>
  <c r="AC636" i="19" s="1"/>
  <c r="AC713" i="19" s="1"/>
  <c r="L94" i="45"/>
  <c r="AC481" i="19" s="1"/>
  <c r="AC558" i="19" s="1"/>
  <c r="K94" i="45"/>
  <c r="AC326" i="19" s="1"/>
  <c r="AC403" i="19" s="1"/>
  <c r="J94" i="45"/>
  <c r="AC171" i="19" s="1"/>
  <c r="AC248" i="19" s="1"/>
  <c r="I94" i="45"/>
  <c r="AC16" i="19" s="1"/>
  <c r="AC93" i="19" s="1"/>
  <c r="H94" i="45"/>
  <c r="G94" i="45"/>
  <c r="N93" i="45"/>
  <c r="AC790" i="19" s="1"/>
  <c r="AC867" i="19" s="1"/>
  <c r="M93" i="45"/>
  <c r="AC635" i="19" s="1"/>
  <c r="AC712" i="19" s="1"/>
  <c r="L93" i="45"/>
  <c r="AC480" i="19" s="1"/>
  <c r="AC557" i="19" s="1"/>
  <c r="K93" i="45"/>
  <c r="AC325" i="19" s="1"/>
  <c r="AC402" i="19" s="1"/>
  <c r="J93" i="45"/>
  <c r="H93" i="45"/>
  <c r="G93" i="45"/>
  <c r="N92" i="45"/>
  <c r="AC789" i="19" s="1"/>
  <c r="AC866" i="19" s="1"/>
  <c r="M92" i="45"/>
  <c r="AC634" i="19" s="1"/>
  <c r="AC711" i="19" s="1"/>
  <c r="L92" i="45"/>
  <c r="AC479" i="19" s="1"/>
  <c r="AC556" i="19" s="1"/>
  <c r="K92" i="45"/>
  <c r="AC324" i="19" s="1"/>
  <c r="AC401" i="19" s="1"/>
  <c r="J92" i="45"/>
  <c r="AC169" i="19" s="1"/>
  <c r="AC246" i="19" s="1"/>
  <c r="I92" i="45"/>
  <c r="AC14" i="19" s="1"/>
  <c r="AC91" i="19" s="1"/>
  <c r="H92" i="45"/>
  <c r="G92" i="45"/>
  <c r="N91" i="45"/>
  <c r="AC788" i="19" s="1"/>
  <c r="AC865" i="19" s="1"/>
  <c r="M91" i="45"/>
  <c r="AC633" i="19" s="1"/>
  <c r="AC710" i="19" s="1"/>
  <c r="L91" i="45"/>
  <c r="AC478" i="19" s="1"/>
  <c r="K91" i="45"/>
  <c r="AC323" i="19" s="1"/>
  <c r="AC400" i="19" s="1"/>
  <c r="J91" i="45"/>
  <c r="H91" i="45"/>
  <c r="G91" i="45"/>
  <c r="F91" i="45"/>
  <c r="N90" i="45"/>
  <c r="M90" i="45"/>
  <c r="L90" i="45"/>
  <c r="K90" i="45"/>
  <c r="J90" i="45"/>
  <c r="M81" i="45"/>
  <c r="M27" i="15" s="1"/>
  <c r="M42" i="15" s="1"/>
  <c r="K81" i="45"/>
  <c r="K27" i="15" s="1"/>
  <c r="K42" i="15" s="1"/>
  <c r="N79" i="45"/>
  <c r="M79" i="45"/>
  <c r="L79" i="45"/>
  <c r="K79" i="45"/>
  <c r="J79" i="45"/>
  <c r="I78" i="45"/>
  <c r="I149" i="45" s="1"/>
  <c r="AC80" i="19" s="1"/>
  <c r="AC157" i="19" s="1"/>
  <c r="H78" i="45"/>
  <c r="G78" i="45"/>
  <c r="I77" i="45"/>
  <c r="I148" i="45" s="1"/>
  <c r="AC79" i="19" s="1"/>
  <c r="AC156" i="19" s="1"/>
  <c r="H77" i="45"/>
  <c r="G77" i="45"/>
  <c r="I76" i="45"/>
  <c r="I147" i="45" s="1"/>
  <c r="AC78" i="19" s="1"/>
  <c r="AC155" i="19" s="1"/>
  <c r="H76" i="45"/>
  <c r="G76" i="45"/>
  <c r="I75" i="45"/>
  <c r="I146" i="45" s="1"/>
  <c r="AC77" i="19" s="1"/>
  <c r="AC154" i="19" s="1"/>
  <c r="H75" i="45"/>
  <c r="G75" i="45"/>
  <c r="I74" i="45"/>
  <c r="H74" i="45"/>
  <c r="G74" i="45"/>
  <c r="F74" i="45"/>
  <c r="N73" i="45"/>
  <c r="M73" i="45"/>
  <c r="L73" i="45"/>
  <c r="K73" i="45"/>
  <c r="J73" i="45"/>
  <c r="I72" i="45"/>
  <c r="I143" i="45" s="1"/>
  <c r="AC73" i="19" s="1"/>
  <c r="AC150" i="19" s="1"/>
  <c r="H72" i="45"/>
  <c r="G72" i="45"/>
  <c r="I71" i="45"/>
  <c r="H71" i="45"/>
  <c r="G71" i="45"/>
  <c r="I70" i="45"/>
  <c r="I141" i="45" s="1"/>
  <c r="AC71" i="19" s="1"/>
  <c r="AC148" i="19" s="1"/>
  <c r="H70" i="45"/>
  <c r="G70" i="45"/>
  <c r="I69" i="45"/>
  <c r="H69" i="45"/>
  <c r="G69" i="45"/>
  <c r="I68" i="45"/>
  <c r="I73" i="45" s="1"/>
  <c r="I144" i="45" s="1"/>
  <c r="AC74" i="19" s="1"/>
  <c r="AC151" i="19" s="1"/>
  <c r="H68" i="45"/>
  <c r="G68" i="45"/>
  <c r="F68" i="45"/>
  <c r="N67" i="45"/>
  <c r="M67" i="45"/>
  <c r="L67" i="45"/>
  <c r="K67" i="45"/>
  <c r="J67" i="45"/>
  <c r="I66" i="45"/>
  <c r="I137" i="45" s="1"/>
  <c r="AC66" i="19" s="1"/>
  <c r="AC143" i="19" s="1"/>
  <c r="H66" i="45"/>
  <c r="G66" i="45"/>
  <c r="I65" i="45"/>
  <c r="I136" i="45" s="1"/>
  <c r="AC65" i="19" s="1"/>
  <c r="AC142" i="19" s="1"/>
  <c r="H65" i="45"/>
  <c r="G65" i="45"/>
  <c r="I64" i="45"/>
  <c r="I135" i="45" s="1"/>
  <c r="AC64" i="19" s="1"/>
  <c r="AC141" i="19" s="1"/>
  <c r="H64" i="45"/>
  <c r="G64" i="45"/>
  <c r="I63" i="45"/>
  <c r="I134" i="45" s="1"/>
  <c r="AC63" i="19" s="1"/>
  <c r="AC140" i="19" s="1"/>
  <c r="H63" i="45"/>
  <c r="G63" i="45"/>
  <c r="I62" i="45"/>
  <c r="H62" i="45"/>
  <c r="G62" i="45"/>
  <c r="F62" i="45"/>
  <c r="N61" i="45"/>
  <c r="M61" i="45"/>
  <c r="L61" i="45"/>
  <c r="K61" i="45"/>
  <c r="J61" i="45"/>
  <c r="I60" i="45"/>
  <c r="I131" i="45" s="1"/>
  <c r="AC59" i="19" s="1"/>
  <c r="AC136" i="19" s="1"/>
  <c r="H60" i="45"/>
  <c r="G60" i="45"/>
  <c r="I59" i="45"/>
  <c r="H59" i="45"/>
  <c r="G59" i="45"/>
  <c r="I58" i="45"/>
  <c r="I129" i="45" s="1"/>
  <c r="AC57" i="19" s="1"/>
  <c r="AC134" i="19" s="1"/>
  <c r="H58" i="45"/>
  <c r="G58" i="45"/>
  <c r="I57" i="45"/>
  <c r="H57" i="45"/>
  <c r="G57" i="45"/>
  <c r="I56" i="45"/>
  <c r="I61" i="45" s="1"/>
  <c r="I132" i="45" s="1"/>
  <c r="AC60" i="19" s="1"/>
  <c r="AC137" i="19" s="1"/>
  <c r="H56" i="45"/>
  <c r="G56" i="45"/>
  <c r="F56" i="45"/>
  <c r="N55" i="45"/>
  <c r="M55" i="45"/>
  <c r="L55" i="45"/>
  <c r="K55" i="45"/>
  <c r="J55" i="45"/>
  <c r="I54" i="45"/>
  <c r="I125" i="45" s="1"/>
  <c r="AC52" i="19" s="1"/>
  <c r="AC129" i="19" s="1"/>
  <c r="H54" i="45"/>
  <c r="G54" i="45"/>
  <c r="I53" i="45"/>
  <c r="I124" i="45" s="1"/>
  <c r="AC51" i="19" s="1"/>
  <c r="AC128" i="19" s="1"/>
  <c r="H53" i="45"/>
  <c r="G53" i="45"/>
  <c r="I52" i="45"/>
  <c r="I123" i="45" s="1"/>
  <c r="AC50" i="19" s="1"/>
  <c r="AC127" i="19" s="1"/>
  <c r="H52" i="45"/>
  <c r="G52" i="45"/>
  <c r="I51" i="45"/>
  <c r="I122" i="45" s="1"/>
  <c r="AC49" i="19" s="1"/>
  <c r="AC126" i="19" s="1"/>
  <c r="H51" i="45"/>
  <c r="G51" i="45"/>
  <c r="I50" i="45"/>
  <c r="H50" i="45"/>
  <c r="G50" i="45"/>
  <c r="F50" i="45"/>
  <c r="N49" i="45"/>
  <c r="M49" i="45"/>
  <c r="L49" i="45"/>
  <c r="K49" i="45"/>
  <c r="J49" i="45"/>
  <c r="I48" i="45"/>
  <c r="I119" i="45" s="1"/>
  <c r="AC45" i="19" s="1"/>
  <c r="AC122" i="19" s="1"/>
  <c r="H48" i="45"/>
  <c r="G48" i="45"/>
  <c r="I47" i="45"/>
  <c r="H47" i="45"/>
  <c r="G47" i="45"/>
  <c r="I46" i="45"/>
  <c r="I117" i="45" s="1"/>
  <c r="AC43" i="19" s="1"/>
  <c r="AC120" i="19" s="1"/>
  <c r="H46" i="45"/>
  <c r="G46" i="45"/>
  <c r="I45" i="45"/>
  <c r="H45" i="45"/>
  <c r="G45" i="45"/>
  <c r="I44" i="45"/>
  <c r="I49" i="45" s="1"/>
  <c r="I120" i="45" s="1"/>
  <c r="AC46" i="19" s="1"/>
  <c r="AC123" i="19" s="1"/>
  <c r="H44" i="45"/>
  <c r="G44" i="45"/>
  <c r="F44" i="45"/>
  <c r="N43" i="45"/>
  <c r="M43" i="45"/>
  <c r="L43" i="45"/>
  <c r="K43" i="45"/>
  <c r="J43" i="45"/>
  <c r="I42" i="45"/>
  <c r="I113" i="45" s="1"/>
  <c r="AC38" i="19" s="1"/>
  <c r="AC115" i="19" s="1"/>
  <c r="H42" i="45"/>
  <c r="G42" i="45"/>
  <c r="I41" i="45"/>
  <c r="I112" i="45" s="1"/>
  <c r="AC37" i="19" s="1"/>
  <c r="AC114" i="19" s="1"/>
  <c r="H41" i="45"/>
  <c r="G41" i="45"/>
  <c r="I40" i="45"/>
  <c r="I111" i="45" s="1"/>
  <c r="AC36" i="19" s="1"/>
  <c r="AC113" i="19" s="1"/>
  <c r="H40" i="45"/>
  <c r="G40" i="45"/>
  <c r="I39" i="45"/>
  <c r="I110" i="45" s="1"/>
  <c r="AC35" i="19" s="1"/>
  <c r="AC112" i="19" s="1"/>
  <c r="H39" i="45"/>
  <c r="G39" i="45"/>
  <c r="I38" i="45"/>
  <c r="H38" i="45"/>
  <c r="G38" i="45"/>
  <c r="F38" i="45"/>
  <c r="N37" i="45"/>
  <c r="M37" i="45"/>
  <c r="L37" i="45"/>
  <c r="K37" i="45"/>
  <c r="J37" i="45"/>
  <c r="I36" i="45"/>
  <c r="I107" i="45" s="1"/>
  <c r="AC31" i="19" s="1"/>
  <c r="AC108" i="19" s="1"/>
  <c r="H36" i="45"/>
  <c r="G36" i="45"/>
  <c r="I35" i="45"/>
  <c r="H35" i="45"/>
  <c r="G35" i="45"/>
  <c r="I34" i="45"/>
  <c r="I105" i="45" s="1"/>
  <c r="AC29" i="19" s="1"/>
  <c r="AC106" i="19" s="1"/>
  <c r="H34" i="45"/>
  <c r="G34" i="45"/>
  <c r="I33" i="45"/>
  <c r="H33" i="45"/>
  <c r="G33" i="45"/>
  <c r="I32" i="45"/>
  <c r="I37" i="45" s="1"/>
  <c r="I108" i="45" s="1"/>
  <c r="AC32" i="19" s="1"/>
  <c r="AC109" i="19" s="1"/>
  <c r="H32" i="45"/>
  <c r="G32" i="45"/>
  <c r="F32" i="45"/>
  <c r="N31" i="45"/>
  <c r="M31" i="45"/>
  <c r="L31" i="45"/>
  <c r="K31" i="45"/>
  <c r="J31" i="45"/>
  <c r="I30" i="45"/>
  <c r="I101" i="45" s="1"/>
  <c r="AC24" i="19" s="1"/>
  <c r="AC101" i="19" s="1"/>
  <c r="H30" i="45"/>
  <c r="G30" i="45"/>
  <c r="I29" i="45"/>
  <c r="I100" i="45" s="1"/>
  <c r="AC23" i="19" s="1"/>
  <c r="AC100" i="19" s="1"/>
  <c r="H29" i="45"/>
  <c r="G29" i="45"/>
  <c r="I28" i="45"/>
  <c r="I99" i="45" s="1"/>
  <c r="AC22" i="19" s="1"/>
  <c r="AC99" i="19" s="1"/>
  <c r="H28" i="45"/>
  <c r="G28" i="45"/>
  <c r="I27" i="45"/>
  <c r="I98" i="45" s="1"/>
  <c r="AC21" i="19" s="1"/>
  <c r="AC98" i="19" s="1"/>
  <c r="H27" i="45"/>
  <c r="G27" i="45"/>
  <c r="I26" i="45"/>
  <c r="H26" i="45"/>
  <c r="G26" i="45"/>
  <c r="F26" i="45"/>
  <c r="N25" i="45"/>
  <c r="M25" i="45"/>
  <c r="L25" i="45"/>
  <c r="K25" i="45"/>
  <c r="J25" i="45"/>
  <c r="I24" i="45"/>
  <c r="I95" i="45" s="1"/>
  <c r="AC17" i="19" s="1"/>
  <c r="AC94" i="19" s="1"/>
  <c r="H24" i="45"/>
  <c r="G24" i="45"/>
  <c r="I23" i="45"/>
  <c r="H23" i="45"/>
  <c r="G23" i="45"/>
  <c r="I22" i="45"/>
  <c r="I93" i="45" s="1"/>
  <c r="AC15" i="19" s="1"/>
  <c r="AC92" i="19" s="1"/>
  <c r="H22" i="45"/>
  <c r="G22" i="45"/>
  <c r="I21" i="45"/>
  <c r="H21" i="45"/>
  <c r="G21" i="45"/>
  <c r="I20" i="45"/>
  <c r="I25" i="45" s="1"/>
  <c r="I96" i="45" s="1"/>
  <c r="AC18" i="19" s="1"/>
  <c r="H20" i="45"/>
  <c r="G20" i="45"/>
  <c r="F20" i="45"/>
  <c r="N19" i="45"/>
  <c r="M19" i="45"/>
  <c r="L19" i="45"/>
  <c r="K19" i="45"/>
  <c r="J19" i="45"/>
  <c r="B14" i="45"/>
  <c r="F12" i="45"/>
  <c r="N9" i="45"/>
  <c r="M9" i="45"/>
  <c r="L9" i="45"/>
  <c r="K9" i="45"/>
  <c r="J9" i="45"/>
  <c r="B6" i="45"/>
  <c r="B2" i="45"/>
  <c r="B1" i="45"/>
  <c r="H32" i="21" s="1"/>
  <c r="F169" i="44"/>
  <c r="F168" i="44"/>
  <c r="F167" i="44"/>
  <c r="F166" i="44"/>
  <c r="N165" i="44"/>
  <c r="M165" i="44"/>
  <c r="L165" i="44"/>
  <c r="K165" i="44"/>
  <c r="J165" i="44"/>
  <c r="F164" i="44"/>
  <c r="F162" i="44"/>
  <c r="F161" i="44"/>
  <c r="F160" i="44"/>
  <c r="F159" i="44"/>
  <c r="N158" i="44"/>
  <c r="M158" i="44"/>
  <c r="L158" i="44"/>
  <c r="K158" i="44"/>
  <c r="J158" i="44"/>
  <c r="F157" i="44"/>
  <c r="B155" i="44"/>
  <c r="M152" i="44"/>
  <c r="N149" i="44"/>
  <c r="AB855" i="19" s="1"/>
  <c r="AB932" i="19" s="1"/>
  <c r="M149" i="44"/>
  <c r="AB700" i="19" s="1"/>
  <c r="AB777" i="19" s="1"/>
  <c r="L149" i="44"/>
  <c r="AB545" i="19" s="1"/>
  <c r="AB622" i="19" s="1"/>
  <c r="K149" i="44"/>
  <c r="AB390" i="19" s="1"/>
  <c r="AB467" i="19" s="1"/>
  <c r="J149" i="44"/>
  <c r="AB235" i="19" s="1"/>
  <c r="AB312" i="19" s="1"/>
  <c r="H149" i="44"/>
  <c r="G149" i="44"/>
  <c r="N148" i="44"/>
  <c r="AB854" i="19" s="1"/>
  <c r="AB931" i="19" s="1"/>
  <c r="M148" i="44"/>
  <c r="AB699" i="19" s="1"/>
  <c r="AB776" i="19" s="1"/>
  <c r="L148" i="44"/>
  <c r="AB544" i="19" s="1"/>
  <c r="AB621" i="19" s="1"/>
  <c r="K148" i="44"/>
  <c r="AB389" i="19" s="1"/>
  <c r="AB466" i="19" s="1"/>
  <c r="J148" i="44"/>
  <c r="AB234" i="19" s="1"/>
  <c r="AB311" i="19" s="1"/>
  <c r="H148" i="44"/>
  <c r="G148" i="44"/>
  <c r="N147" i="44"/>
  <c r="AB853" i="19" s="1"/>
  <c r="AB930" i="19" s="1"/>
  <c r="M147" i="44"/>
  <c r="AB698" i="19" s="1"/>
  <c r="AB775" i="19" s="1"/>
  <c r="L147" i="44"/>
  <c r="AB543" i="19" s="1"/>
  <c r="AB620" i="19" s="1"/>
  <c r="K147" i="44"/>
  <c r="AB388" i="19" s="1"/>
  <c r="AB465" i="19" s="1"/>
  <c r="J147" i="44"/>
  <c r="AB233" i="19" s="1"/>
  <c r="AB310" i="19" s="1"/>
  <c r="H147" i="44"/>
  <c r="G147" i="44"/>
  <c r="N146" i="44"/>
  <c r="AB852" i="19" s="1"/>
  <c r="AB929" i="19" s="1"/>
  <c r="M146" i="44"/>
  <c r="AB697" i="19" s="1"/>
  <c r="AB774" i="19" s="1"/>
  <c r="L146" i="44"/>
  <c r="AB542" i="19" s="1"/>
  <c r="AB619" i="19" s="1"/>
  <c r="K146" i="44"/>
  <c r="AB387" i="19" s="1"/>
  <c r="AB464" i="19" s="1"/>
  <c r="J146" i="44"/>
  <c r="AB232" i="19" s="1"/>
  <c r="AB309" i="19" s="1"/>
  <c r="H146" i="44"/>
  <c r="G146" i="44"/>
  <c r="N145" i="44"/>
  <c r="AB851" i="19" s="1"/>
  <c r="AB928" i="19" s="1"/>
  <c r="M145" i="44"/>
  <c r="AB696" i="19" s="1"/>
  <c r="AB773" i="19" s="1"/>
  <c r="L145" i="44"/>
  <c r="AB541" i="19" s="1"/>
  <c r="AB618" i="19" s="1"/>
  <c r="K145" i="44"/>
  <c r="AB386" i="19" s="1"/>
  <c r="AB463" i="19" s="1"/>
  <c r="J145" i="44"/>
  <c r="AB231" i="19" s="1"/>
  <c r="AB308" i="19" s="1"/>
  <c r="H145" i="44"/>
  <c r="G145" i="44"/>
  <c r="F145" i="44"/>
  <c r="N143" i="44"/>
  <c r="AB848" i="19" s="1"/>
  <c r="AB925" i="19" s="1"/>
  <c r="M143" i="44"/>
  <c r="AB693" i="19" s="1"/>
  <c r="AB770" i="19" s="1"/>
  <c r="L143" i="44"/>
  <c r="K143" i="44"/>
  <c r="AB383" i="19" s="1"/>
  <c r="AB460" i="19" s="1"/>
  <c r="J143" i="44"/>
  <c r="AB228" i="19" s="1"/>
  <c r="AB305" i="19" s="1"/>
  <c r="H143" i="44"/>
  <c r="G143" i="44"/>
  <c r="N142" i="44"/>
  <c r="AB847" i="19" s="1"/>
  <c r="AB924" i="19" s="1"/>
  <c r="M142" i="44"/>
  <c r="AB692" i="19" s="1"/>
  <c r="AB769" i="19" s="1"/>
  <c r="L142" i="44"/>
  <c r="AB537" i="19" s="1"/>
  <c r="K142" i="44"/>
  <c r="AB382" i="19" s="1"/>
  <c r="AB459" i="19" s="1"/>
  <c r="J142" i="44"/>
  <c r="I142" i="44"/>
  <c r="AB72" i="19" s="1"/>
  <c r="AB149" i="19" s="1"/>
  <c r="H142" i="44"/>
  <c r="G142" i="44"/>
  <c r="N141" i="44"/>
  <c r="AB846" i="19" s="1"/>
  <c r="AB923" i="19" s="1"/>
  <c r="M141" i="44"/>
  <c r="AB691" i="19" s="1"/>
  <c r="AB768" i="19" s="1"/>
  <c r="L141" i="44"/>
  <c r="K141" i="44"/>
  <c r="AB381" i="19" s="1"/>
  <c r="AB458" i="19" s="1"/>
  <c r="J141" i="44"/>
  <c r="AB226" i="19" s="1"/>
  <c r="AB303" i="19" s="1"/>
  <c r="H141" i="44"/>
  <c r="G141" i="44"/>
  <c r="N140" i="44"/>
  <c r="AB845" i="19" s="1"/>
  <c r="AB922" i="19" s="1"/>
  <c r="M140" i="44"/>
  <c r="AB690" i="19" s="1"/>
  <c r="AB767" i="19" s="1"/>
  <c r="L140" i="44"/>
  <c r="AB535" i="19" s="1"/>
  <c r="AB612" i="19" s="1"/>
  <c r="K140" i="44"/>
  <c r="AB380" i="19" s="1"/>
  <c r="AB457" i="19" s="1"/>
  <c r="J140" i="44"/>
  <c r="I140" i="44"/>
  <c r="AB70" i="19" s="1"/>
  <c r="AB147" i="19" s="1"/>
  <c r="H140" i="44"/>
  <c r="G140" i="44"/>
  <c r="N139" i="44"/>
  <c r="AB844" i="19" s="1"/>
  <c r="AB921" i="19" s="1"/>
  <c r="M139" i="44"/>
  <c r="AB689" i="19" s="1"/>
  <c r="AB766" i="19" s="1"/>
  <c r="L139" i="44"/>
  <c r="L144" i="44" s="1"/>
  <c r="AB539" i="19" s="1"/>
  <c r="AB616" i="19" s="1"/>
  <c r="K139" i="44"/>
  <c r="AB379" i="19" s="1"/>
  <c r="AB456" i="19" s="1"/>
  <c r="J139" i="44"/>
  <c r="AB224" i="19" s="1"/>
  <c r="AB301" i="19" s="1"/>
  <c r="H139" i="44"/>
  <c r="G139" i="44"/>
  <c r="F139" i="44"/>
  <c r="N137" i="44"/>
  <c r="AB841" i="19" s="1"/>
  <c r="AB918" i="19" s="1"/>
  <c r="M137" i="44"/>
  <c r="AB686" i="19" s="1"/>
  <c r="AB763" i="19" s="1"/>
  <c r="L137" i="44"/>
  <c r="AB531" i="19" s="1"/>
  <c r="AB608" i="19" s="1"/>
  <c r="K137" i="44"/>
  <c r="AB376" i="19" s="1"/>
  <c r="AB453" i="19" s="1"/>
  <c r="J137" i="44"/>
  <c r="AB221" i="19" s="1"/>
  <c r="AB298" i="19" s="1"/>
  <c r="H137" i="44"/>
  <c r="G137" i="44"/>
  <c r="N136" i="44"/>
  <c r="AB840" i="19" s="1"/>
  <c r="AB917" i="19" s="1"/>
  <c r="M136" i="44"/>
  <c r="AB685" i="19" s="1"/>
  <c r="AB762" i="19" s="1"/>
  <c r="L136" i="44"/>
  <c r="AB530" i="19" s="1"/>
  <c r="AB607" i="19" s="1"/>
  <c r="K136" i="44"/>
  <c r="AB375" i="19" s="1"/>
  <c r="AB452" i="19" s="1"/>
  <c r="J136" i="44"/>
  <c r="AB220" i="19" s="1"/>
  <c r="AB297" i="19" s="1"/>
  <c r="H136" i="44"/>
  <c r="G136" i="44"/>
  <c r="N135" i="44"/>
  <c r="AB839" i="19" s="1"/>
  <c r="AB916" i="19" s="1"/>
  <c r="M135" i="44"/>
  <c r="AB684" i="19" s="1"/>
  <c r="AB761" i="19" s="1"/>
  <c r="L135" i="44"/>
  <c r="AB529" i="19" s="1"/>
  <c r="AB606" i="19" s="1"/>
  <c r="K135" i="44"/>
  <c r="AB374" i="19" s="1"/>
  <c r="AB451" i="19" s="1"/>
  <c r="J135" i="44"/>
  <c r="AB219" i="19" s="1"/>
  <c r="AB296" i="19" s="1"/>
  <c r="H135" i="44"/>
  <c r="G135" i="44"/>
  <c r="N134" i="44"/>
  <c r="AB838" i="19" s="1"/>
  <c r="AB915" i="19" s="1"/>
  <c r="M134" i="44"/>
  <c r="AB683" i="19" s="1"/>
  <c r="AB760" i="19" s="1"/>
  <c r="L134" i="44"/>
  <c r="AB528" i="19" s="1"/>
  <c r="AB605" i="19" s="1"/>
  <c r="K134" i="44"/>
  <c r="AB373" i="19" s="1"/>
  <c r="AB450" i="19" s="1"/>
  <c r="J134" i="44"/>
  <c r="AB218" i="19" s="1"/>
  <c r="AB295" i="19" s="1"/>
  <c r="H134" i="44"/>
  <c r="G134" i="44"/>
  <c r="N133" i="44"/>
  <c r="AB837" i="19" s="1"/>
  <c r="AB914" i="19" s="1"/>
  <c r="M133" i="44"/>
  <c r="AB682" i="19" s="1"/>
  <c r="AB759" i="19" s="1"/>
  <c r="L133" i="44"/>
  <c r="AB527" i="19" s="1"/>
  <c r="AB604" i="19" s="1"/>
  <c r="K133" i="44"/>
  <c r="AB372" i="19" s="1"/>
  <c r="AB449" i="19" s="1"/>
  <c r="J133" i="44"/>
  <c r="AB217" i="19" s="1"/>
  <c r="AB294" i="19" s="1"/>
  <c r="H133" i="44"/>
  <c r="G133" i="44"/>
  <c r="F133" i="44"/>
  <c r="K132" i="44"/>
  <c r="AB370" i="19" s="1"/>
  <c r="AB447" i="19" s="1"/>
  <c r="N131" i="44"/>
  <c r="AB834" i="19" s="1"/>
  <c r="AB911" i="19" s="1"/>
  <c r="M131" i="44"/>
  <c r="AB679" i="19" s="1"/>
  <c r="AB756" i="19" s="1"/>
  <c r="L131" i="44"/>
  <c r="K131" i="44"/>
  <c r="AB369" i="19" s="1"/>
  <c r="AB446" i="19" s="1"/>
  <c r="J131" i="44"/>
  <c r="AB214" i="19" s="1"/>
  <c r="AB291" i="19" s="1"/>
  <c r="H131" i="44"/>
  <c r="G131" i="44"/>
  <c r="N130" i="44"/>
  <c r="AB833" i="19" s="1"/>
  <c r="AB910" i="19" s="1"/>
  <c r="M130" i="44"/>
  <c r="AB678" i="19" s="1"/>
  <c r="AB755" i="19" s="1"/>
  <c r="L130" i="44"/>
  <c r="AB523" i="19" s="1"/>
  <c r="K130" i="44"/>
  <c r="AB368" i="19" s="1"/>
  <c r="AB445" i="19" s="1"/>
  <c r="J130" i="44"/>
  <c r="I130" i="44"/>
  <c r="AB58" i="19" s="1"/>
  <c r="AB135" i="19" s="1"/>
  <c r="H130" i="44"/>
  <c r="G130" i="44"/>
  <c r="N129" i="44"/>
  <c r="AB832" i="19" s="1"/>
  <c r="AB909" i="19" s="1"/>
  <c r="M129" i="44"/>
  <c r="AB677" i="19" s="1"/>
  <c r="AB754" i="19" s="1"/>
  <c r="L129" i="44"/>
  <c r="K129" i="44"/>
  <c r="AB367" i="19" s="1"/>
  <c r="AB444" i="19" s="1"/>
  <c r="J129" i="44"/>
  <c r="AB212" i="19" s="1"/>
  <c r="AB289" i="19" s="1"/>
  <c r="H129" i="44"/>
  <c r="G129" i="44"/>
  <c r="N128" i="44"/>
  <c r="AB831" i="19" s="1"/>
  <c r="AB908" i="19" s="1"/>
  <c r="M128" i="44"/>
  <c r="AB676" i="19" s="1"/>
  <c r="AB753" i="19" s="1"/>
  <c r="L128" i="44"/>
  <c r="AB521" i="19" s="1"/>
  <c r="AB598" i="19" s="1"/>
  <c r="K128" i="44"/>
  <c r="AB366" i="19" s="1"/>
  <c r="AB443" i="19" s="1"/>
  <c r="J128" i="44"/>
  <c r="I128" i="44"/>
  <c r="AB56" i="19" s="1"/>
  <c r="AB133" i="19" s="1"/>
  <c r="H128" i="44"/>
  <c r="G128" i="44"/>
  <c r="N127" i="44"/>
  <c r="AB830" i="19" s="1"/>
  <c r="AB907" i="19" s="1"/>
  <c r="M127" i="44"/>
  <c r="AB675" i="19" s="1"/>
  <c r="AB752" i="19" s="1"/>
  <c r="L127" i="44"/>
  <c r="L132" i="44" s="1"/>
  <c r="AB525" i="19" s="1"/>
  <c r="AB602" i="19" s="1"/>
  <c r="K127" i="44"/>
  <c r="AB365" i="19" s="1"/>
  <c r="AB442" i="19" s="1"/>
  <c r="J127" i="44"/>
  <c r="AB210" i="19" s="1"/>
  <c r="AB287" i="19" s="1"/>
  <c r="H127" i="44"/>
  <c r="G127" i="44"/>
  <c r="F127" i="44"/>
  <c r="N125" i="44"/>
  <c r="AB827" i="19" s="1"/>
  <c r="AB904" i="19" s="1"/>
  <c r="M125" i="44"/>
  <c r="AB672" i="19" s="1"/>
  <c r="AB749" i="19" s="1"/>
  <c r="L125" i="44"/>
  <c r="AB517" i="19" s="1"/>
  <c r="AB594" i="19" s="1"/>
  <c r="K125" i="44"/>
  <c r="AB362" i="19" s="1"/>
  <c r="AB439" i="19" s="1"/>
  <c r="J125" i="44"/>
  <c r="AB207" i="19" s="1"/>
  <c r="AB284" i="19" s="1"/>
  <c r="H125" i="44"/>
  <c r="G125" i="44"/>
  <c r="N124" i="44"/>
  <c r="AB826" i="19" s="1"/>
  <c r="AB903" i="19" s="1"/>
  <c r="M124" i="44"/>
  <c r="AB671" i="19" s="1"/>
  <c r="AB748" i="19" s="1"/>
  <c r="L124" i="44"/>
  <c r="AB516" i="19" s="1"/>
  <c r="AB593" i="19" s="1"/>
  <c r="K124" i="44"/>
  <c r="AB361" i="19" s="1"/>
  <c r="AB438" i="19" s="1"/>
  <c r="J124" i="44"/>
  <c r="AB206" i="19" s="1"/>
  <c r="AB283" i="19" s="1"/>
  <c r="H124" i="44"/>
  <c r="G124" i="44"/>
  <c r="N123" i="44"/>
  <c r="AB825" i="19" s="1"/>
  <c r="AB902" i="19" s="1"/>
  <c r="M123" i="44"/>
  <c r="AB670" i="19" s="1"/>
  <c r="AB747" i="19" s="1"/>
  <c r="L123" i="44"/>
  <c r="AB515" i="19" s="1"/>
  <c r="AB592" i="19" s="1"/>
  <c r="K123" i="44"/>
  <c r="AB360" i="19" s="1"/>
  <c r="AB437" i="19" s="1"/>
  <c r="J123" i="44"/>
  <c r="AB205" i="19" s="1"/>
  <c r="AB282" i="19" s="1"/>
  <c r="H123" i="44"/>
  <c r="G123" i="44"/>
  <c r="N122" i="44"/>
  <c r="AB824" i="19" s="1"/>
  <c r="AB901" i="19" s="1"/>
  <c r="M122" i="44"/>
  <c r="AB669" i="19" s="1"/>
  <c r="AB746" i="19" s="1"/>
  <c r="L122" i="44"/>
  <c r="AB514" i="19" s="1"/>
  <c r="AB591" i="19" s="1"/>
  <c r="K122" i="44"/>
  <c r="AB359" i="19" s="1"/>
  <c r="AB436" i="19" s="1"/>
  <c r="J122" i="44"/>
  <c r="AB204" i="19" s="1"/>
  <c r="AB281" i="19" s="1"/>
  <c r="H122" i="44"/>
  <c r="G122" i="44"/>
  <c r="N121" i="44"/>
  <c r="AB823" i="19" s="1"/>
  <c r="AB900" i="19" s="1"/>
  <c r="M121" i="44"/>
  <c r="AB668" i="19" s="1"/>
  <c r="AB745" i="19" s="1"/>
  <c r="L121" i="44"/>
  <c r="AB513" i="19" s="1"/>
  <c r="AB590" i="19" s="1"/>
  <c r="K121" i="44"/>
  <c r="AB358" i="19" s="1"/>
  <c r="AB435" i="19" s="1"/>
  <c r="J121" i="44"/>
  <c r="AB203" i="19" s="1"/>
  <c r="AB280" i="19" s="1"/>
  <c r="H121" i="44"/>
  <c r="G121" i="44"/>
  <c r="F121" i="44"/>
  <c r="N119" i="44"/>
  <c r="AB820" i="19" s="1"/>
  <c r="AB897" i="19" s="1"/>
  <c r="M119" i="44"/>
  <c r="AB665" i="19" s="1"/>
  <c r="AB742" i="19" s="1"/>
  <c r="L119" i="44"/>
  <c r="K119" i="44"/>
  <c r="AB355" i="19" s="1"/>
  <c r="AB432" i="19" s="1"/>
  <c r="J119" i="44"/>
  <c r="AB200" i="19" s="1"/>
  <c r="AB277" i="19" s="1"/>
  <c r="H119" i="44"/>
  <c r="G119" i="44"/>
  <c r="N118" i="44"/>
  <c r="AB819" i="19" s="1"/>
  <c r="AB896" i="19" s="1"/>
  <c r="M118" i="44"/>
  <c r="AB664" i="19" s="1"/>
  <c r="AB741" i="19" s="1"/>
  <c r="L118" i="44"/>
  <c r="AB509" i="19" s="1"/>
  <c r="K118" i="44"/>
  <c r="AB354" i="19" s="1"/>
  <c r="AB431" i="19" s="1"/>
  <c r="J118" i="44"/>
  <c r="I118" i="44"/>
  <c r="AB44" i="19" s="1"/>
  <c r="AB121" i="19" s="1"/>
  <c r="H118" i="44"/>
  <c r="G118" i="44"/>
  <c r="N117" i="44"/>
  <c r="AB818" i="19" s="1"/>
  <c r="AB895" i="19" s="1"/>
  <c r="M117" i="44"/>
  <c r="AB663" i="19" s="1"/>
  <c r="AB740" i="19" s="1"/>
  <c r="L117" i="44"/>
  <c r="K117" i="44"/>
  <c r="AB353" i="19" s="1"/>
  <c r="AB430" i="19" s="1"/>
  <c r="J117" i="44"/>
  <c r="AB198" i="19" s="1"/>
  <c r="AB275" i="19" s="1"/>
  <c r="H117" i="44"/>
  <c r="G117" i="44"/>
  <c r="N116" i="44"/>
  <c r="AB817" i="19" s="1"/>
  <c r="AB894" i="19" s="1"/>
  <c r="M116" i="44"/>
  <c r="AB662" i="19" s="1"/>
  <c r="AB739" i="19" s="1"/>
  <c r="L116" i="44"/>
  <c r="AB507" i="19" s="1"/>
  <c r="AB584" i="19" s="1"/>
  <c r="K116" i="44"/>
  <c r="AB352" i="19" s="1"/>
  <c r="AB429" i="19" s="1"/>
  <c r="J116" i="44"/>
  <c r="I116" i="44"/>
  <c r="AB42" i="19" s="1"/>
  <c r="AB119" i="19" s="1"/>
  <c r="H116" i="44"/>
  <c r="G116" i="44"/>
  <c r="N115" i="44"/>
  <c r="AB816" i="19" s="1"/>
  <c r="AB893" i="19" s="1"/>
  <c r="M115" i="44"/>
  <c r="AB661" i="19" s="1"/>
  <c r="AB738" i="19" s="1"/>
  <c r="L115" i="44"/>
  <c r="AB506" i="19" s="1"/>
  <c r="AB583" i="19" s="1"/>
  <c r="K115" i="44"/>
  <c r="AB351" i="19" s="1"/>
  <c r="AB428" i="19" s="1"/>
  <c r="J115" i="44"/>
  <c r="AB196" i="19" s="1"/>
  <c r="AB273" i="19" s="1"/>
  <c r="H115" i="44"/>
  <c r="G115" i="44"/>
  <c r="F115" i="44"/>
  <c r="N113" i="44"/>
  <c r="AB813" i="19" s="1"/>
  <c r="AB890" i="19" s="1"/>
  <c r="M113" i="44"/>
  <c r="AB658" i="19" s="1"/>
  <c r="AB735" i="19" s="1"/>
  <c r="L113" i="44"/>
  <c r="AB503" i="19" s="1"/>
  <c r="AB580" i="19" s="1"/>
  <c r="K113" i="44"/>
  <c r="AB348" i="19" s="1"/>
  <c r="AB425" i="19" s="1"/>
  <c r="J113" i="44"/>
  <c r="AB193" i="19" s="1"/>
  <c r="AB270" i="19" s="1"/>
  <c r="H113" i="44"/>
  <c r="G113" i="44"/>
  <c r="N112" i="44"/>
  <c r="AB812" i="19" s="1"/>
  <c r="AB889" i="19" s="1"/>
  <c r="M112" i="44"/>
  <c r="AB657" i="19" s="1"/>
  <c r="AB734" i="19" s="1"/>
  <c r="L112" i="44"/>
  <c r="AB502" i="19" s="1"/>
  <c r="AB579" i="19" s="1"/>
  <c r="K112" i="44"/>
  <c r="AB347" i="19" s="1"/>
  <c r="AB424" i="19" s="1"/>
  <c r="J112" i="44"/>
  <c r="AB192" i="19" s="1"/>
  <c r="AB269" i="19" s="1"/>
  <c r="H112" i="44"/>
  <c r="G112" i="44"/>
  <c r="N111" i="44"/>
  <c r="AB811" i="19" s="1"/>
  <c r="AB888" i="19" s="1"/>
  <c r="M111" i="44"/>
  <c r="AB656" i="19" s="1"/>
  <c r="AB733" i="19" s="1"/>
  <c r="L111" i="44"/>
  <c r="AB501" i="19" s="1"/>
  <c r="AB578" i="19" s="1"/>
  <c r="K111" i="44"/>
  <c r="AB346" i="19" s="1"/>
  <c r="J111" i="44"/>
  <c r="AB191" i="19" s="1"/>
  <c r="AB268" i="19" s="1"/>
  <c r="H111" i="44"/>
  <c r="G111" i="44"/>
  <c r="N110" i="44"/>
  <c r="AB810" i="19" s="1"/>
  <c r="AB887" i="19" s="1"/>
  <c r="M110" i="44"/>
  <c r="AB655" i="19" s="1"/>
  <c r="AB732" i="19" s="1"/>
  <c r="L110" i="44"/>
  <c r="AB500" i="19" s="1"/>
  <c r="AB577" i="19" s="1"/>
  <c r="K110" i="44"/>
  <c r="AB345" i="19" s="1"/>
  <c r="AB422" i="19" s="1"/>
  <c r="J110" i="44"/>
  <c r="J114" i="44" s="1"/>
  <c r="AB194" i="19" s="1"/>
  <c r="AB271" i="19" s="1"/>
  <c r="H110" i="44"/>
  <c r="G110" i="44"/>
  <c r="N109" i="44"/>
  <c r="AB809" i="19" s="1"/>
  <c r="AB886" i="19" s="1"/>
  <c r="M109" i="44"/>
  <c r="AB654" i="19" s="1"/>
  <c r="AB731" i="19" s="1"/>
  <c r="L109" i="44"/>
  <c r="AB499" i="19" s="1"/>
  <c r="AB576" i="19" s="1"/>
  <c r="K109" i="44"/>
  <c r="AB344" i="19" s="1"/>
  <c r="AB421" i="19" s="1"/>
  <c r="J109" i="44"/>
  <c r="AB189" i="19" s="1"/>
  <c r="AB266" i="19" s="1"/>
  <c r="H109" i="44"/>
  <c r="G109" i="44"/>
  <c r="F109" i="44"/>
  <c r="K108" i="44"/>
  <c r="AB342" i="19" s="1"/>
  <c r="AB419" i="19" s="1"/>
  <c r="N107" i="44"/>
  <c r="AB806" i="19" s="1"/>
  <c r="AB883" i="19" s="1"/>
  <c r="M107" i="44"/>
  <c r="AB651" i="19" s="1"/>
  <c r="AB728" i="19" s="1"/>
  <c r="L107" i="44"/>
  <c r="K107" i="44"/>
  <c r="AB341" i="19" s="1"/>
  <c r="AB418" i="19" s="1"/>
  <c r="J107" i="44"/>
  <c r="AB186" i="19" s="1"/>
  <c r="AB263" i="19" s="1"/>
  <c r="H107" i="44"/>
  <c r="G107" i="44"/>
  <c r="N106" i="44"/>
  <c r="AB805" i="19" s="1"/>
  <c r="AB882" i="19" s="1"/>
  <c r="M106" i="44"/>
  <c r="AB650" i="19" s="1"/>
  <c r="AB727" i="19" s="1"/>
  <c r="L106" i="44"/>
  <c r="AB495" i="19" s="1"/>
  <c r="K106" i="44"/>
  <c r="AB340" i="19" s="1"/>
  <c r="AB417" i="19" s="1"/>
  <c r="J106" i="44"/>
  <c r="I106" i="44"/>
  <c r="AB30" i="19" s="1"/>
  <c r="AB107" i="19" s="1"/>
  <c r="H106" i="44"/>
  <c r="G106" i="44"/>
  <c r="N105" i="44"/>
  <c r="AB804" i="19" s="1"/>
  <c r="AB881" i="19" s="1"/>
  <c r="M105" i="44"/>
  <c r="AB649" i="19" s="1"/>
  <c r="AB726" i="19" s="1"/>
  <c r="L105" i="44"/>
  <c r="K105" i="44"/>
  <c r="AB339" i="19" s="1"/>
  <c r="AB416" i="19" s="1"/>
  <c r="J105" i="44"/>
  <c r="AB184" i="19" s="1"/>
  <c r="AB261" i="19" s="1"/>
  <c r="H105" i="44"/>
  <c r="G105" i="44"/>
  <c r="N104" i="44"/>
  <c r="AB803" i="19" s="1"/>
  <c r="AB880" i="19" s="1"/>
  <c r="M104" i="44"/>
  <c r="AB648" i="19" s="1"/>
  <c r="AB725" i="19" s="1"/>
  <c r="L104" i="44"/>
  <c r="AB493" i="19" s="1"/>
  <c r="AB570" i="19" s="1"/>
  <c r="K104" i="44"/>
  <c r="AB338" i="19" s="1"/>
  <c r="AB415" i="19" s="1"/>
  <c r="J104" i="44"/>
  <c r="I104" i="44"/>
  <c r="AB28" i="19" s="1"/>
  <c r="AB105" i="19" s="1"/>
  <c r="H104" i="44"/>
  <c r="G104" i="44"/>
  <c r="N103" i="44"/>
  <c r="AB802" i="19" s="1"/>
  <c r="AB879" i="19" s="1"/>
  <c r="M103" i="44"/>
  <c r="AB647" i="19" s="1"/>
  <c r="AB724" i="19" s="1"/>
  <c r="L103" i="44"/>
  <c r="AB492" i="19" s="1"/>
  <c r="AB569" i="19" s="1"/>
  <c r="K103" i="44"/>
  <c r="AB337" i="19" s="1"/>
  <c r="AB414" i="19" s="1"/>
  <c r="J103" i="44"/>
  <c r="AB182" i="19" s="1"/>
  <c r="AB259" i="19" s="1"/>
  <c r="H103" i="44"/>
  <c r="G103" i="44"/>
  <c r="F103" i="44"/>
  <c r="N101" i="44"/>
  <c r="AB799" i="19" s="1"/>
  <c r="AB876" i="19" s="1"/>
  <c r="M101" i="44"/>
  <c r="AB644" i="19" s="1"/>
  <c r="AB721" i="19" s="1"/>
  <c r="L101" i="44"/>
  <c r="AB489" i="19" s="1"/>
  <c r="AB566" i="19" s="1"/>
  <c r="K101" i="44"/>
  <c r="AB334" i="19" s="1"/>
  <c r="AB411" i="19" s="1"/>
  <c r="J101" i="44"/>
  <c r="AB179" i="19" s="1"/>
  <c r="AB256" i="19" s="1"/>
  <c r="H101" i="44"/>
  <c r="G101" i="44"/>
  <c r="N100" i="44"/>
  <c r="AB798" i="19" s="1"/>
  <c r="AB875" i="19" s="1"/>
  <c r="M100" i="44"/>
  <c r="AB643" i="19" s="1"/>
  <c r="AB720" i="19" s="1"/>
  <c r="L100" i="44"/>
  <c r="AB488" i="19" s="1"/>
  <c r="AB565" i="19" s="1"/>
  <c r="K100" i="44"/>
  <c r="J100" i="44"/>
  <c r="AB178" i="19" s="1"/>
  <c r="AB255" i="19" s="1"/>
  <c r="H100" i="44"/>
  <c r="G100" i="44"/>
  <c r="N99" i="44"/>
  <c r="AB797" i="19" s="1"/>
  <c r="AB874" i="19" s="1"/>
  <c r="M99" i="44"/>
  <c r="AB642" i="19" s="1"/>
  <c r="AB719" i="19" s="1"/>
  <c r="L99" i="44"/>
  <c r="AB487" i="19" s="1"/>
  <c r="AB564" i="19" s="1"/>
  <c r="K99" i="44"/>
  <c r="AB332" i="19" s="1"/>
  <c r="J99" i="44"/>
  <c r="AB177" i="19" s="1"/>
  <c r="AB254" i="19" s="1"/>
  <c r="H99" i="44"/>
  <c r="G99" i="44"/>
  <c r="N98" i="44"/>
  <c r="AB796" i="19" s="1"/>
  <c r="AB873" i="19" s="1"/>
  <c r="M98" i="44"/>
  <c r="L98" i="44"/>
  <c r="AB486" i="19" s="1"/>
  <c r="AB563" i="19" s="1"/>
  <c r="K98" i="44"/>
  <c r="AB331" i="19" s="1"/>
  <c r="AB408" i="19" s="1"/>
  <c r="J98" i="44"/>
  <c r="AB176" i="19" s="1"/>
  <c r="AB253" i="19" s="1"/>
  <c r="H98" i="44"/>
  <c r="G98" i="44"/>
  <c r="N97" i="44"/>
  <c r="AB795" i="19" s="1"/>
  <c r="AB872" i="19" s="1"/>
  <c r="M97" i="44"/>
  <c r="AB640" i="19" s="1"/>
  <c r="AB717" i="19" s="1"/>
  <c r="L97" i="44"/>
  <c r="AB485" i="19" s="1"/>
  <c r="AB562" i="19" s="1"/>
  <c r="K97" i="44"/>
  <c r="AB330" i="19" s="1"/>
  <c r="AB407" i="19" s="1"/>
  <c r="J97" i="44"/>
  <c r="AB175" i="19" s="1"/>
  <c r="AB252" i="19" s="1"/>
  <c r="H97" i="44"/>
  <c r="G97" i="44"/>
  <c r="F97" i="44"/>
  <c r="M96" i="44"/>
  <c r="AB638" i="19" s="1"/>
  <c r="K96" i="44"/>
  <c r="AB328" i="19" s="1"/>
  <c r="N95" i="44"/>
  <c r="AB792" i="19" s="1"/>
  <c r="AB869" i="19" s="1"/>
  <c r="M95" i="44"/>
  <c r="AB637" i="19" s="1"/>
  <c r="AB714" i="19" s="1"/>
  <c r="L95" i="44"/>
  <c r="AB482" i="19" s="1"/>
  <c r="AB559" i="19" s="1"/>
  <c r="K95" i="44"/>
  <c r="AB327" i="19" s="1"/>
  <c r="AB404" i="19" s="1"/>
  <c r="J95" i="44"/>
  <c r="AB172" i="19" s="1"/>
  <c r="AB249" i="19" s="1"/>
  <c r="H95" i="44"/>
  <c r="G95" i="44"/>
  <c r="N94" i="44"/>
  <c r="AB791" i="19" s="1"/>
  <c r="AB868" i="19" s="1"/>
  <c r="M94" i="44"/>
  <c r="AB636" i="19" s="1"/>
  <c r="AB713" i="19" s="1"/>
  <c r="L94" i="44"/>
  <c r="AB481" i="19" s="1"/>
  <c r="K94" i="44"/>
  <c r="AB326" i="19" s="1"/>
  <c r="AB403" i="19" s="1"/>
  <c r="J94" i="44"/>
  <c r="I94" i="44"/>
  <c r="AB16" i="19" s="1"/>
  <c r="AB93" i="19" s="1"/>
  <c r="H94" i="44"/>
  <c r="G94" i="44"/>
  <c r="N93" i="44"/>
  <c r="AB790" i="19" s="1"/>
  <c r="AB867" i="19" s="1"/>
  <c r="M93" i="44"/>
  <c r="AB635" i="19" s="1"/>
  <c r="AB712" i="19" s="1"/>
  <c r="L93" i="44"/>
  <c r="AB480" i="19" s="1"/>
  <c r="AB557" i="19" s="1"/>
  <c r="K93" i="44"/>
  <c r="AB325" i="19" s="1"/>
  <c r="AB402" i="19" s="1"/>
  <c r="J93" i="44"/>
  <c r="AB170" i="19" s="1"/>
  <c r="AB247" i="19" s="1"/>
  <c r="H93" i="44"/>
  <c r="G93" i="44"/>
  <c r="N92" i="44"/>
  <c r="AB789" i="19" s="1"/>
  <c r="AB866" i="19" s="1"/>
  <c r="M92" i="44"/>
  <c r="AB634" i="19" s="1"/>
  <c r="AB711" i="19" s="1"/>
  <c r="L92" i="44"/>
  <c r="AB479" i="19" s="1"/>
  <c r="AB556" i="19" s="1"/>
  <c r="K92" i="44"/>
  <c r="AB324" i="19" s="1"/>
  <c r="AB401" i="19" s="1"/>
  <c r="J92" i="44"/>
  <c r="I92" i="44"/>
  <c r="AB14" i="19" s="1"/>
  <c r="AB91" i="19" s="1"/>
  <c r="H92" i="44"/>
  <c r="G92" i="44"/>
  <c r="N91" i="44"/>
  <c r="AB788" i="19" s="1"/>
  <c r="AB865" i="19" s="1"/>
  <c r="M91" i="44"/>
  <c r="AB633" i="19" s="1"/>
  <c r="AB710" i="19" s="1"/>
  <c r="L91" i="44"/>
  <c r="AB478" i="19" s="1"/>
  <c r="AB555" i="19" s="1"/>
  <c r="K91" i="44"/>
  <c r="AB323" i="19" s="1"/>
  <c r="AB400" i="19" s="1"/>
  <c r="J91" i="44"/>
  <c r="AB168" i="19" s="1"/>
  <c r="AB245" i="19" s="1"/>
  <c r="H91" i="44"/>
  <c r="G91" i="44"/>
  <c r="F91" i="44"/>
  <c r="N90" i="44"/>
  <c r="M90" i="44"/>
  <c r="L90" i="44"/>
  <c r="K90" i="44"/>
  <c r="J90" i="44"/>
  <c r="M81" i="44"/>
  <c r="M26" i="15" s="1"/>
  <c r="M41" i="15" s="1"/>
  <c r="K81" i="44"/>
  <c r="K26" i="15" s="1"/>
  <c r="K41" i="15" s="1"/>
  <c r="N79" i="44"/>
  <c r="M79" i="44"/>
  <c r="L79" i="44"/>
  <c r="K79" i="44"/>
  <c r="J79" i="44"/>
  <c r="I78" i="44"/>
  <c r="I149" i="44" s="1"/>
  <c r="AB80" i="19" s="1"/>
  <c r="AB157" i="19" s="1"/>
  <c r="H78" i="44"/>
  <c r="G78" i="44"/>
  <c r="I77" i="44"/>
  <c r="I148" i="44" s="1"/>
  <c r="AB79" i="19" s="1"/>
  <c r="AB156" i="19" s="1"/>
  <c r="H77" i="44"/>
  <c r="G77" i="44"/>
  <c r="I76" i="44"/>
  <c r="I147" i="44" s="1"/>
  <c r="AB78" i="19" s="1"/>
  <c r="AB155" i="19" s="1"/>
  <c r="H76" i="44"/>
  <c r="G76" i="44"/>
  <c r="I75" i="44"/>
  <c r="I146" i="44" s="1"/>
  <c r="AB77" i="19" s="1"/>
  <c r="AB154" i="19" s="1"/>
  <c r="H75" i="44"/>
  <c r="G75" i="44"/>
  <c r="I74" i="44"/>
  <c r="H74" i="44"/>
  <c r="G74" i="44"/>
  <c r="F74" i="44"/>
  <c r="N73" i="44"/>
  <c r="M73" i="44"/>
  <c r="L73" i="44"/>
  <c r="K73" i="44"/>
  <c r="J73" i="44"/>
  <c r="I72" i="44"/>
  <c r="I143" i="44" s="1"/>
  <c r="AB73" i="19" s="1"/>
  <c r="AB150" i="19" s="1"/>
  <c r="H72" i="44"/>
  <c r="G72" i="44"/>
  <c r="I71" i="44"/>
  <c r="H71" i="44"/>
  <c r="G71" i="44"/>
  <c r="I70" i="44"/>
  <c r="I141" i="44" s="1"/>
  <c r="AB71" i="19" s="1"/>
  <c r="AB148" i="19" s="1"/>
  <c r="H70" i="44"/>
  <c r="G70" i="44"/>
  <c r="I69" i="44"/>
  <c r="H69" i="44"/>
  <c r="G69" i="44"/>
  <c r="I68" i="44"/>
  <c r="I73" i="44" s="1"/>
  <c r="I144" i="44" s="1"/>
  <c r="AB74" i="19" s="1"/>
  <c r="AB151" i="19" s="1"/>
  <c r="H68" i="44"/>
  <c r="G68" i="44"/>
  <c r="F68" i="44"/>
  <c r="N67" i="44"/>
  <c r="M67" i="44"/>
  <c r="L67" i="44"/>
  <c r="K67" i="44"/>
  <c r="J67" i="44"/>
  <c r="I66" i="44"/>
  <c r="I137" i="44" s="1"/>
  <c r="AB66" i="19" s="1"/>
  <c r="AB143" i="19" s="1"/>
  <c r="H66" i="44"/>
  <c r="G66" i="44"/>
  <c r="I65" i="44"/>
  <c r="I136" i="44" s="1"/>
  <c r="AB65" i="19" s="1"/>
  <c r="AB142" i="19" s="1"/>
  <c r="H65" i="44"/>
  <c r="G65" i="44"/>
  <c r="I64" i="44"/>
  <c r="I135" i="44" s="1"/>
  <c r="AB64" i="19" s="1"/>
  <c r="AB141" i="19" s="1"/>
  <c r="H64" i="44"/>
  <c r="G64" i="44"/>
  <c r="I63" i="44"/>
  <c r="I134" i="44" s="1"/>
  <c r="AB63" i="19" s="1"/>
  <c r="AB140" i="19" s="1"/>
  <c r="H63" i="44"/>
  <c r="G63" i="44"/>
  <c r="I62" i="44"/>
  <c r="H62" i="44"/>
  <c r="G62" i="44"/>
  <c r="F62" i="44"/>
  <c r="N61" i="44"/>
  <c r="M61" i="44"/>
  <c r="L61" i="44"/>
  <c r="K61" i="44"/>
  <c r="J61" i="44"/>
  <c r="I60" i="44"/>
  <c r="I131" i="44" s="1"/>
  <c r="AB59" i="19" s="1"/>
  <c r="AB136" i="19" s="1"/>
  <c r="H60" i="44"/>
  <c r="G60" i="44"/>
  <c r="I59" i="44"/>
  <c r="H59" i="44"/>
  <c r="G59" i="44"/>
  <c r="I58" i="44"/>
  <c r="I129" i="44" s="1"/>
  <c r="AB57" i="19" s="1"/>
  <c r="AB134" i="19" s="1"/>
  <c r="H58" i="44"/>
  <c r="G58" i="44"/>
  <c r="I57" i="44"/>
  <c r="H57" i="44"/>
  <c r="G57" i="44"/>
  <c r="I56" i="44"/>
  <c r="I61" i="44" s="1"/>
  <c r="I132" i="44" s="1"/>
  <c r="AB60" i="19" s="1"/>
  <c r="AB137" i="19" s="1"/>
  <c r="H56" i="44"/>
  <c r="G56" i="44"/>
  <c r="F56" i="44"/>
  <c r="N55" i="44"/>
  <c r="M55" i="44"/>
  <c r="L55" i="44"/>
  <c r="K55" i="44"/>
  <c r="J55" i="44"/>
  <c r="I54" i="44"/>
  <c r="I125" i="44" s="1"/>
  <c r="AB52" i="19" s="1"/>
  <c r="AB129" i="19" s="1"/>
  <c r="H54" i="44"/>
  <c r="G54" i="44"/>
  <c r="I53" i="44"/>
  <c r="I124" i="44" s="1"/>
  <c r="AB51" i="19" s="1"/>
  <c r="AB128" i="19" s="1"/>
  <c r="H53" i="44"/>
  <c r="G53" i="44"/>
  <c r="I52" i="44"/>
  <c r="I123" i="44" s="1"/>
  <c r="AB50" i="19" s="1"/>
  <c r="AB127" i="19" s="1"/>
  <c r="H52" i="44"/>
  <c r="G52" i="44"/>
  <c r="I51" i="44"/>
  <c r="I122" i="44" s="1"/>
  <c r="AB49" i="19" s="1"/>
  <c r="AB126" i="19" s="1"/>
  <c r="H51" i="44"/>
  <c r="G51" i="44"/>
  <c r="I50" i="44"/>
  <c r="H50" i="44"/>
  <c r="G50" i="44"/>
  <c r="F50" i="44"/>
  <c r="N49" i="44"/>
  <c r="M49" i="44"/>
  <c r="L49" i="44"/>
  <c r="K49" i="44"/>
  <c r="J49" i="44"/>
  <c r="I48" i="44"/>
  <c r="I119" i="44" s="1"/>
  <c r="AB45" i="19" s="1"/>
  <c r="AB122" i="19" s="1"/>
  <c r="H48" i="44"/>
  <c r="G48" i="44"/>
  <c r="I47" i="44"/>
  <c r="H47" i="44"/>
  <c r="G47" i="44"/>
  <c r="I46" i="44"/>
  <c r="I117" i="44" s="1"/>
  <c r="AB43" i="19" s="1"/>
  <c r="AB120" i="19" s="1"/>
  <c r="H46" i="44"/>
  <c r="G46" i="44"/>
  <c r="I45" i="44"/>
  <c r="H45" i="44"/>
  <c r="G45" i="44"/>
  <c r="I44" i="44"/>
  <c r="I49" i="44" s="1"/>
  <c r="I120" i="44" s="1"/>
  <c r="AB46" i="19" s="1"/>
  <c r="AB123" i="19" s="1"/>
  <c r="H44" i="44"/>
  <c r="G44" i="44"/>
  <c r="F44" i="44"/>
  <c r="N43" i="44"/>
  <c r="M43" i="44"/>
  <c r="L43" i="44"/>
  <c r="K43" i="44"/>
  <c r="J43" i="44"/>
  <c r="I42" i="44"/>
  <c r="I113" i="44" s="1"/>
  <c r="AB38" i="19" s="1"/>
  <c r="AB115" i="19" s="1"/>
  <c r="H42" i="44"/>
  <c r="G42" i="44"/>
  <c r="I41" i="44"/>
  <c r="I112" i="44" s="1"/>
  <c r="AB37" i="19" s="1"/>
  <c r="AB114" i="19" s="1"/>
  <c r="H41" i="44"/>
  <c r="G41" i="44"/>
  <c r="I40" i="44"/>
  <c r="I111" i="44" s="1"/>
  <c r="AB36" i="19" s="1"/>
  <c r="AB113" i="19" s="1"/>
  <c r="H40" i="44"/>
  <c r="G40" i="44"/>
  <c r="I39" i="44"/>
  <c r="I110" i="44" s="1"/>
  <c r="AB35" i="19" s="1"/>
  <c r="AB112" i="19" s="1"/>
  <c r="H39" i="44"/>
  <c r="G39" i="44"/>
  <c r="I38" i="44"/>
  <c r="H38" i="44"/>
  <c r="G38" i="44"/>
  <c r="F38" i="44"/>
  <c r="N37" i="44"/>
  <c r="M37" i="44"/>
  <c r="L37" i="44"/>
  <c r="K37" i="44"/>
  <c r="J37" i="44"/>
  <c r="I36" i="44"/>
  <c r="I107" i="44" s="1"/>
  <c r="AB31" i="19" s="1"/>
  <c r="AB108" i="19" s="1"/>
  <c r="H36" i="44"/>
  <c r="G36" i="44"/>
  <c r="I35" i="44"/>
  <c r="H35" i="44"/>
  <c r="G35" i="44"/>
  <c r="I34" i="44"/>
  <c r="I105" i="44" s="1"/>
  <c r="AB29" i="19" s="1"/>
  <c r="AB106" i="19" s="1"/>
  <c r="H34" i="44"/>
  <c r="G34" i="44"/>
  <c r="I33" i="44"/>
  <c r="H33" i="44"/>
  <c r="G33" i="44"/>
  <c r="I32" i="44"/>
  <c r="I37" i="44" s="1"/>
  <c r="I108" i="44" s="1"/>
  <c r="AB32" i="19" s="1"/>
  <c r="AB109" i="19" s="1"/>
  <c r="H32" i="44"/>
  <c r="G32" i="44"/>
  <c r="F32" i="44"/>
  <c r="N31" i="44"/>
  <c r="M31" i="44"/>
  <c r="L31" i="44"/>
  <c r="K31" i="44"/>
  <c r="J31" i="44"/>
  <c r="I30" i="44"/>
  <c r="I101" i="44" s="1"/>
  <c r="AB24" i="19" s="1"/>
  <c r="AB101" i="19" s="1"/>
  <c r="H30" i="44"/>
  <c r="G30" i="44"/>
  <c r="I29" i="44"/>
  <c r="I100" i="44" s="1"/>
  <c r="AB23" i="19" s="1"/>
  <c r="AB100" i="19" s="1"/>
  <c r="H29" i="44"/>
  <c r="G29" i="44"/>
  <c r="I28" i="44"/>
  <c r="I99" i="44" s="1"/>
  <c r="AB22" i="19" s="1"/>
  <c r="AB99" i="19" s="1"/>
  <c r="H28" i="44"/>
  <c r="G28" i="44"/>
  <c r="I27" i="44"/>
  <c r="I98" i="44" s="1"/>
  <c r="AB21" i="19" s="1"/>
  <c r="AB98" i="19" s="1"/>
  <c r="H27" i="44"/>
  <c r="G27" i="44"/>
  <c r="I26" i="44"/>
  <c r="H26" i="44"/>
  <c r="G26" i="44"/>
  <c r="F26" i="44"/>
  <c r="N25" i="44"/>
  <c r="M25" i="44"/>
  <c r="L25" i="44"/>
  <c r="K25" i="44"/>
  <c r="J25" i="44"/>
  <c r="I24" i="44"/>
  <c r="I95" i="44" s="1"/>
  <c r="AB17" i="19" s="1"/>
  <c r="AB94" i="19" s="1"/>
  <c r="H24" i="44"/>
  <c r="G24" i="44"/>
  <c r="I23" i="44"/>
  <c r="H23" i="44"/>
  <c r="G23" i="44"/>
  <c r="I22" i="44"/>
  <c r="I93" i="44" s="1"/>
  <c r="AB15" i="19" s="1"/>
  <c r="AB92" i="19" s="1"/>
  <c r="H22" i="44"/>
  <c r="G22" i="44"/>
  <c r="I21" i="44"/>
  <c r="H21" i="44"/>
  <c r="G21" i="44"/>
  <c r="I20" i="44"/>
  <c r="I25" i="44" s="1"/>
  <c r="I96" i="44" s="1"/>
  <c r="AB18" i="19" s="1"/>
  <c r="H20" i="44"/>
  <c r="G20" i="44"/>
  <c r="F20" i="44"/>
  <c r="N19" i="44"/>
  <c r="M19" i="44"/>
  <c r="L19" i="44"/>
  <c r="K19" i="44"/>
  <c r="J19" i="44"/>
  <c r="B14" i="44"/>
  <c r="F12" i="44"/>
  <c r="N9" i="44"/>
  <c r="M9" i="44"/>
  <c r="L9" i="44"/>
  <c r="K9" i="44"/>
  <c r="J9" i="44"/>
  <c r="B6" i="44"/>
  <c r="B2" i="44"/>
  <c r="B1" i="44"/>
  <c r="H31" i="21" s="1"/>
  <c r="F169" i="43"/>
  <c r="F168" i="43"/>
  <c r="F167" i="43"/>
  <c r="F166" i="43"/>
  <c r="N165" i="43"/>
  <c r="M165" i="43"/>
  <c r="L165" i="43"/>
  <c r="K165" i="43"/>
  <c r="J165" i="43"/>
  <c r="F164" i="43"/>
  <c r="F162" i="43"/>
  <c r="F161" i="43"/>
  <c r="F160" i="43"/>
  <c r="F159" i="43"/>
  <c r="N158" i="43"/>
  <c r="M158" i="43"/>
  <c r="L158" i="43"/>
  <c r="K158" i="43"/>
  <c r="J158" i="43"/>
  <c r="F157" i="43"/>
  <c r="B155" i="43"/>
  <c r="K152" i="43"/>
  <c r="N149" i="43"/>
  <c r="AA855" i="19" s="1"/>
  <c r="AA932" i="19" s="1"/>
  <c r="M149" i="43"/>
  <c r="AA700" i="19" s="1"/>
  <c r="AA777" i="19" s="1"/>
  <c r="L149" i="43"/>
  <c r="AA545" i="19" s="1"/>
  <c r="AA622" i="19" s="1"/>
  <c r="K149" i="43"/>
  <c r="AA390" i="19" s="1"/>
  <c r="AA467" i="19" s="1"/>
  <c r="J149" i="43"/>
  <c r="AA235" i="19" s="1"/>
  <c r="AA312" i="19" s="1"/>
  <c r="H149" i="43"/>
  <c r="G149" i="43"/>
  <c r="N148" i="43"/>
  <c r="AA854" i="19" s="1"/>
  <c r="AA931" i="19" s="1"/>
  <c r="M148" i="43"/>
  <c r="AA699" i="19" s="1"/>
  <c r="AA776" i="19" s="1"/>
  <c r="L148" i="43"/>
  <c r="AA544" i="19" s="1"/>
  <c r="AA621" i="19" s="1"/>
  <c r="K148" i="43"/>
  <c r="AA389" i="19" s="1"/>
  <c r="AA466" i="19" s="1"/>
  <c r="J148" i="43"/>
  <c r="AA234" i="19" s="1"/>
  <c r="AA311" i="19" s="1"/>
  <c r="H148" i="43"/>
  <c r="G148" i="43"/>
  <c r="N147" i="43"/>
  <c r="AA853" i="19" s="1"/>
  <c r="AA930" i="19" s="1"/>
  <c r="M147" i="43"/>
  <c r="AA698" i="19" s="1"/>
  <c r="AA775" i="19" s="1"/>
  <c r="L147" i="43"/>
  <c r="AA543" i="19" s="1"/>
  <c r="AA620" i="19" s="1"/>
  <c r="K147" i="43"/>
  <c r="AA388" i="19" s="1"/>
  <c r="AA465" i="19" s="1"/>
  <c r="J147" i="43"/>
  <c r="AA233" i="19" s="1"/>
  <c r="AA310" i="19" s="1"/>
  <c r="H147" i="43"/>
  <c r="G147" i="43"/>
  <c r="N146" i="43"/>
  <c r="AA852" i="19" s="1"/>
  <c r="AA929" i="19" s="1"/>
  <c r="M146" i="43"/>
  <c r="AA697" i="19" s="1"/>
  <c r="AA774" i="19" s="1"/>
  <c r="L146" i="43"/>
  <c r="AA542" i="19" s="1"/>
  <c r="AA619" i="19" s="1"/>
  <c r="K146" i="43"/>
  <c r="AA387" i="19" s="1"/>
  <c r="AA464" i="19" s="1"/>
  <c r="J146" i="43"/>
  <c r="AA232" i="19" s="1"/>
  <c r="AA309" i="19" s="1"/>
  <c r="H146" i="43"/>
  <c r="G146" i="43"/>
  <c r="N145" i="43"/>
  <c r="AA851" i="19" s="1"/>
  <c r="AA928" i="19" s="1"/>
  <c r="M145" i="43"/>
  <c r="AA696" i="19" s="1"/>
  <c r="AA773" i="19" s="1"/>
  <c r="L145" i="43"/>
  <c r="AA541" i="19" s="1"/>
  <c r="AA618" i="19" s="1"/>
  <c r="K145" i="43"/>
  <c r="AA386" i="19" s="1"/>
  <c r="AA463" i="19" s="1"/>
  <c r="J145" i="43"/>
  <c r="AA231" i="19" s="1"/>
  <c r="AA308" i="19" s="1"/>
  <c r="H145" i="43"/>
  <c r="G145" i="43"/>
  <c r="F145" i="43"/>
  <c r="K144" i="43"/>
  <c r="AA384" i="19" s="1"/>
  <c r="AA461" i="19" s="1"/>
  <c r="N143" i="43"/>
  <c r="AA848" i="19" s="1"/>
  <c r="AA925" i="19" s="1"/>
  <c r="M143" i="43"/>
  <c r="AA693" i="19" s="1"/>
  <c r="AA770" i="19" s="1"/>
  <c r="L143" i="43"/>
  <c r="AA538" i="19" s="1"/>
  <c r="AA615" i="19" s="1"/>
  <c r="K143" i="43"/>
  <c r="AA383" i="19" s="1"/>
  <c r="AA460" i="19" s="1"/>
  <c r="J143" i="43"/>
  <c r="H143" i="43"/>
  <c r="G143" i="43"/>
  <c r="N142" i="43"/>
  <c r="AA847" i="19" s="1"/>
  <c r="AA924" i="19" s="1"/>
  <c r="M142" i="43"/>
  <c r="AA692" i="19" s="1"/>
  <c r="AA769" i="19" s="1"/>
  <c r="L142" i="43"/>
  <c r="AA537" i="19" s="1"/>
  <c r="AA614" i="19" s="1"/>
  <c r="K142" i="43"/>
  <c r="AA382" i="19" s="1"/>
  <c r="AA459" i="19" s="1"/>
  <c r="J142" i="43"/>
  <c r="AA227" i="19" s="1"/>
  <c r="AA304" i="19" s="1"/>
  <c r="I142" i="43"/>
  <c r="AA72" i="19" s="1"/>
  <c r="AA149" i="19" s="1"/>
  <c r="H142" i="43"/>
  <c r="G142" i="43"/>
  <c r="N141" i="43"/>
  <c r="AA846" i="19" s="1"/>
  <c r="AA923" i="19" s="1"/>
  <c r="M141" i="43"/>
  <c r="AA691" i="19" s="1"/>
  <c r="AA768" i="19" s="1"/>
  <c r="L141" i="43"/>
  <c r="AA536" i="19" s="1"/>
  <c r="K141" i="43"/>
  <c r="AA381" i="19" s="1"/>
  <c r="AA458" i="19" s="1"/>
  <c r="J141" i="43"/>
  <c r="H141" i="43"/>
  <c r="G141" i="43"/>
  <c r="N140" i="43"/>
  <c r="AA845" i="19" s="1"/>
  <c r="AA922" i="19" s="1"/>
  <c r="M140" i="43"/>
  <c r="AA690" i="19" s="1"/>
  <c r="AA767" i="19" s="1"/>
  <c r="L140" i="43"/>
  <c r="AA535" i="19" s="1"/>
  <c r="AA612" i="19" s="1"/>
  <c r="K140" i="43"/>
  <c r="AA380" i="19" s="1"/>
  <c r="AA457" i="19" s="1"/>
  <c r="J140" i="43"/>
  <c r="AA225" i="19" s="1"/>
  <c r="AA302" i="19" s="1"/>
  <c r="I140" i="43"/>
  <c r="AA70" i="19" s="1"/>
  <c r="AA147" i="19" s="1"/>
  <c r="H140" i="43"/>
  <c r="G140" i="43"/>
  <c r="N139" i="43"/>
  <c r="AA844" i="19" s="1"/>
  <c r="AA921" i="19" s="1"/>
  <c r="M139" i="43"/>
  <c r="AA689" i="19" s="1"/>
  <c r="AA766" i="19" s="1"/>
  <c r="L139" i="43"/>
  <c r="AA534" i="19" s="1"/>
  <c r="AA611" i="19" s="1"/>
  <c r="K139" i="43"/>
  <c r="AA379" i="19" s="1"/>
  <c r="AA456" i="19" s="1"/>
  <c r="J139" i="43"/>
  <c r="J144" i="43" s="1"/>
  <c r="AA229" i="19" s="1"/>
  <c r="AA306" i="19" s="1"/>
  <c r="H139" i="43"/>
  <c r="G139" i="43"/>
  <c r="F139" i="43"/>
  <c r="N137" i="43"/>
  <c r="AA841" i="19" s="1"/>
  <c r="AA918" i="19" s="1"/>
  <c r="M137" i="43"/>
  <c r="AA686" i="19" s="1"/>
  <c r="AA763" i="19" s="1"/>
  <c r="L137" i="43"/>
  <c r="AA531" i="19" s="1"/>
  <c r="AA608" i="19" s="1"/>
  <c r="K137" i="43"/>
  <c r="AA376" i="19" s="1"/>
  <c r="AA453" i="19" s="1"/>
  <c r="J137" i="43"/>
  <c r="AA221" i="19" s="1"/>
  <c r="AA298" i="19" s="1"/>
  <c r="H137" i="43"/>
  <c r="G137" i="43"/>
  <c r="N136" i="43"/>
  <c r="AA840" i="19" s="1"/>
  <c r="AA917" i="19" s="1"/>
  <c r="M136" i="43"/>
  <c r="AA685" i="19" s="1"/>
  <c r="AA762" i="19" s="1"/>
  <c r="L136" i="43"/>
  <c r="AA530" i="19" s="1"/>
  <c r="AA607" i="19" s="1"/>
  <c r="K136" i="43"/>
  <c r="AA375" i="19" s="1"/>
  <c r="AA452" i="19" s="1"/>
  <c r="J136" i="43"/>
  <c r="AA220" i="19" s="1"/>
  <c r="AA297" i="19" s="1"/>
  <c r="H136" i="43"/>
  <c r="G136" i="43"/>
  <c r="N135" i="43"/>
  <c r="AA839" i="19" s="1"/>
  <c r="AA916" i="19" s="1"/>
  <c r="M135" i="43"/>
  <c r="AA684" i="19" s="1"/>
  <c r="AA761" i="19" s="1"/>
  <c r="L135" i="43"/>
  <c r="AA529" i="19" s="1"/>
  <c r="AA606" i="19" s="1"/>
  <c r="K135" i="43"/>
  <c r="AA374" i="19" s="1"/>
  <c r="AA451" i="19" s="1"/>
  <c r="J135" i="43"/>
  <c r="AA219" i="19" s="1"/>
  <c r="AA296" i="19" s="1"/>
  <c r="H135" i="43"/>
  <c r="G135" i="43"/>
  <c r="N134" i="43"/>
  <c r="AA838" i="19" s="1"/>
  <c r="AA915" i="19" s="1"/>
  <c r="M134" i="43"/>
  <c r="AA683" i="19" s="1"/>
  <c r="AA760" i="19" s="1"/>
  <c r="L134" i="43"/>
  <c r="AA528" i="19" s="1"/>
  <c r="AA605" i="19" s="1"/>
  <c r="K134" i="43"/>
  <c r="AA373" i="19" s="1"/>
  <c r="AA450" i="19" s="1"/>
  <c r="J134" i="43"/>
  <c r="AA218" i="19" s="1"/>
  <c r="AA295" i="19" s="1"/>
  <c r="H134" i="43"/>
  <c r="G134" i="43"/>
  <c r="N133" i="43"/>
  <c r="AA837" i="19" s="1"/>
  <c r="AA914" i="19" s="1"/>
  <c r="M133" i="43"/>
  <c r="AA682" i="19" s="1"/>
  <c r="AA759" i="19" s="1"/>
  <c r="L133" i="43"/>
  <c r="AA527" i="19" s="1"/>
  <c r="AA604" i="19" s="1"/>
  <c r="K133" i="43"/>
  <c r="AA372" i="19" s="1"/>
  <c r="AA449" i="19" s="1"/>
  <c r="J133" i="43"/>
  <c r="AA217" i="19" s="1"/>
  <c r="AA294" i="19" s="1"/>
  <c r="H133" i="43"/>
  <c r="G133" i="43"/>
  <c r="F133" i="43"/>
  <c r="I132" i="43"/>
  <c r="AA60" i="19" s="1"/>
  <c r="AA137" i="19" s="1"/>
  <c r="N131" i="43"/>
  <c r="AA834" i="19" s="1"/>
  <c r="AA911" i="19" s="1"/>
  <c r="M131" i="43"/>
  <c r="AA679" i="19" s="1"/>
  <c r="AA756" i="19" s="1"/>
  <c r="L131" i="43"/>
  <c r="AA524" i="19" s="1"/>
  <c r="AA601" i="19" s="1"/>
  <c r="K131" i="43"/>
  <c r="AA369" i="19" s="1"/>
  <c r="AA446" i="19" s="1"/>
  <c r="J131" i="43"/>
  <c r="I131" i="43"/>
  <c r="AA59" i="19" s="1"/>
  <c r="AA136" i="19" s="1"/>
  <c r="H131" i="43"/>
  <c r="G131" i="43"/>
  <c r="N130" i="43"/>
  <c r="AA833" i="19" s="1"/>
  <c r="AA910" i="19" s="1"/>
  <c r="M130" i="43"/>
  <c r="AA678" i="19" s="1"/>
  <c r="AA755" i="19" s="1"/>
  <c r="L130" i="43"/>
  <c r="AA523" i="19" s="1"/>
  <c r="AA600" i="19" s="1"/>
  <c r="K130" i="43"/>
  <c r="AA368" i="19" s="1"/>
  <c r="AA445" i="19" s="1"/>
  <c r="J130" i="43"/>
  <c r="AA213" i="19" s="1"/>
  <c r="AA290" i="19" s="1"/>
  <c r="I130" i="43"/>
  <c r="AA58" i="19" s="1"/>
  <c r="AA135" i="19" s="1"/>
  <c r="H130" i="43"/>
  <c r="G130" i="43"/>
  <c r="N129" i="43"/>
  <c r="AA832" i="19" s="1"/>
  <c r="AA909" i="19" s="1"/>
  <c r="M129" i="43"/>
  <c r="AA677" i="19" s="1"/>
  <c r="AA754" i="19" s="1"/>
  <c r="L129" i="43"/>
  <c r="AA522" i="19" s="1"/>
  <c r="K129" i="43"/>
  <c r="AA367" i="19" s="1"/>
  <c r="AA444" i="19" s="1"/>
  <c r="J129" i="43"/>
  <c r="I129" i="43"/>
  <c r="AA57" i="19" s="1"/>
  <c r="AA134" i="19" s="1"/>
  <c r="H129" i="43"/>
  <c r="G129" i="43"/>
  <c r="N128" i="43"/>
  <c r="AA831" i="19" s="1"/>
  <c r="AA908" i="19" s="1"/>
  <c r="M128" i="43"/>
  <c r="AA676" i="19" s="1"/>
  <c r="AA753" i="19" s="1"/>
  <c r="L128" i="43"/>
  <c r="AA521" i="19" s="1"/>
  <c r="AA598" i="19" s="1"/>
  <c r="K128" i="43"/>
  <c r="AA366" i="19" s="1"/>
  <c r="AA443" i="19" s="1"/>
  <c r="J128" i="43"/>
  <c r="AA211" i="19" s="1"/>
  <c r="AA288" i="19" s="1"/>
  <c r="I128" i="43"/>
  <c r="AA56" i="19" s="1"/>
  <c r="AA133" i="19" s="1"/>
  <c r="H128" i="43"/>
  <c r="G128" i="43"/>
  <c r="N127" i="43"/>
  <c r="AA830" i="19" s="1"/>
  <c r="AA907" i="19" s="1"/>
  <c r="M127" i="43"/>
  <c r="M132" i="43" s="1"/>
  <c r="AA680" i="19" s="1"/>
  <c r="AA757" i="19" s="1"/>
  <c r="L127" i="43"/>
  <c r="AA520" i="19" s="1"/>
  <c r="AA597" i="19" s="1"/>
  <c r="K127" i="43"/>
  <c r="AA365" i="19" s="1"/>
  <c r="AA442" i="19" s="1"/>
  <c r="J127" i="43"/>
  <c r="J132" i="43" s="1"/>
  <c r="AA215" i="19" s="1"/>
  <c r="AA292" i="19" s="1"/>
  <c r="I127" i="43"/>
  <c r="AA55" i="19" s="1"/>
  <c r="AA132" i="19" s="1"/>
  <c r="H127" i="43"/>
  <c r="G127" i="43"/>
  <c r="F127" i="43"/>
  <c r="N125" i="43"/>
  <c r="AA827" i="19" s="1"/>
  <c r="AA904" i="19" s="1"/>
  <c r="M125" i="43"/>
  <c r="AA672" i="19" s="1"/>
  <c r="AA749" i="19" s="1"/>
  <c r="L125" i="43"/>
  <c r="AA517" i="19" s="1"/>
  <c r="AA594" i="19" s="1"/>
  <c r="K125" i="43"/>
  <c r="AA362" i="19" s="1"/>
  <c r="AA439" i="19" s="1"/>
  <c r="J125" i="43"/>
  <c r="AA207" i="19" s="1"/>
  <c r="AA284" i="19" s="1"/>
  <c r="H125" i="43"/>
  <c r="G125" i="43"/>
  <c r="N124" i="43"/>
  <c r="AA826" i="19" s="1"/>
  <c r="AA903" i="19" s="1"/>
  <c r="M124" i="43"/>
  <c r="AA671" i="19" s="1"/>
  <c r="AA748" i="19" s="1"/>
  <c r="L124" i="43"/>
  <c r="AA516" i="19" s="1"/>
  <c r="AA593" i="19" s="1"/>
  <c r="K124" i="43"/>
  <c r="AA361" i="19" s="1"/>
  <c r="AA438" i="19" s="1"/>
  <c r="J124" i="43"/>
  <c r="AA206" i="19" s="1"/>
  <c r="AA283" i="19" s="1"/>
  <c r="H124" i="43"/>
  <c r="G124" i="43"/>
  <c r="N123" i="43"/>
  <c r="AA825" i="19" s="1"/>
  <c r="AA902" i="19" s="1"/>
  <c r="M123" i="43"/>
  <c r="AA670" i="19" s="1"/>
  <c r="AA747" i="19" s="1"/>
  <c r="L123" i="43"/>
  <c r="AA515" i="19" s="1"/>
  <c r="AA592" i="19" s="1"/>
  <c r="K123" i="43"/>
  <c r="AA360" i="19" s="1"/>
  <c r="AA437" i="19" s="1"/>
  <c r="J123" i="43"/>
  <c r="AA205" i="19" s="1"/>
  <c r="AA282" i="19" s="1"/>
  <c r="H123" i="43"/>
  <c r="G123" i="43"/>
  <c r="N122" i="43"/>
  <c r="AA824" i="19" s="1"/>
  <c r="AA901" i="19" s="1"/>
  <c r="M122" i="43"/>
  <c r="AA669" i="19" s="1"/>
  <c r="AA746" i="19" s="1"/>
  <c r="L122" i="43"/>
  <c r="AA514" i="19" s="1"/>
  <c r="AA591" i="19" s="1"/>
  <c r="K122" i="43"/>
  <c r="AA359" i="19" s="1"/>
  <c r="AA436" i="19" s="1"/>
  <c r="J122" i="43"/>
  <c r="AA204" i="19" s="1"/>
  <c r="AA281" i="19" s="1"/>
  <c r="H122" i="43"/>
  <c r="G122" i="43"/>
  <c r="N121" i="43"/>
  <c r="AA823" i="19" s="1"/>
  <c r="AA900" i="19" s="1"/>
  <c r="M121" i="43"/>
  <c r="AA668" i="19" s="1"/>
  <c r="AA745" i="19" s="1"/>
  <c r="L121" i="43"/>
  <c r="AA513" i="19" s="1"/>
  <c r="AA590" i="19" s="1"/>
  <c r="K121" i="43"/>
  <c r="AA358" i="19" s="1"/>
  <c r="AA435" i="19" s="1"/>
  <c r="J121" i="43"/>
  <c r="AA203" i="19" s="1"/>
  <c r="AA280" i="19" s="1"/>
  <c r="H121" i="43"/>
  <c r="G121" i="43"/>
  <c r="F121" i="43"/>
  <c r="K120" i="43"/>
  <c r="AA356" i="19" s="1"/>
  <c r="AA433" i="19" s="1"/>
  <c r="N119" i="43"/>
  <c r="AA820" i="19" s="1"/>
  <c r="AA897" i="19" s="1"/>
  <c r="M119" i="43"/>
  <c r="AA665" i="19" s="1"/>
  <c r="AA742" i="19" s="1"/>
  <c r="L119" i="43"/>
  <c r="AA510" i="19" s="1"/>
  <c r="AA587" i="19" s="1"/>
  <c r="K119" i="43"/>
  <c r="AA355" i="19" s="1"/>
  <c r="AA432" i="19" s="1"/>
  <c r="J119" i="43"/>
  <c r="H119" i="43"/>
  <c r="G119" i="43"/>
  <c r="N118" i="43"/>
  <c r="AA819" i="19" s="1"/>
  <c r="AA896" i="19" s="1"/>
  <c r="M118" i="43"/>
  <c r="AA664" i="19" s="1"/>
  <c r="AA741" i="19" s="1"/>
  <c r="L118" i="43"/>
  <c r="AA509" i="19" s="1"/>
  <c r="AA586" i="19" s="1"/>
  <c r="K118" i="43"/>
  <c r="AA354" i="19" s="1"/>
  <c r="AA431" i="19" s="1"/>
  <c r="J118" i="43"/>
  <c r="AA199" i="19" s="1"/>
  <c r="AA276" i="19" s="1"/>
  <c r="I118" i="43"/>
  <c r="AA44" i="19" s="1"/>
  <c r="AA121" i="19" s="1"/>
  <c r="H118" i="43"/>
  <c r="G118" i="43"/>
  <c r="N117" i="43"/>
  <c r="AA818" i="19" s="1"/>
  <c r="AA895" i="19" s="1"/>
  <c r="M117" i="43"/>
  <c r="AA663" i="19" s="1"/>
  <c r="AA740" i="19" s="1"/>
  <c r="L117" i="43"/>
  <c r="AA508" i="19" s="1"/>
  <c r="K117" i="43"/>
  <c r="AA353" i="19" s="1"/>
  <c r="AA430" i="19" s="1"/>
  <c r="J117" i="43"/>
  <c r="H117" i="43"/>
  <c r="G117" i="43"/>
  <c r="N116" i="43"/>
  <c r="AA817" i="19" s="1"/>
  <c r="AA894" i="19" s="1"/>
  <c r="M116" i="43"/>
  <c r="AA662" i="19" s="1"/>
  <c r="AA739" i="19" s="1"/>
  <c r="L116" i="43"/>
  <c r="AA507" i="19" s="1"/>
  <c r="AA584" i="19" s="1"/>
  <c r="K116" i="43"/>
  <c r="AA352" i="19" s="1"/>
  <c r="AA429" i="19" s="1"/>
  <c r="J116" i="43"/>
  <c r="AA197" i="19" s="1"/>
  <c r="AA274" i="19" s="1"/>
  <c r="I116" i="43"/>
  <c r="AA42" i="19" s="1"/>
  <c r="AA119" i="19" s="1"/>
  <c r="H116" i="43"/>
  <c r="G116" i="43"/>
  <c r="N115" i="43"/>
  <c r="AA816" i="19" s="1"/>
  <c r="AA893" i="19" s="1"/>
  <c r="M115" i="43"/>
  <c r="AA661" i="19" s="1"/>
  <c r="AA738" i="19" s="1"/>
  <c r="L115" i="43"/>
  <c r="AA506" i="19" s="1"/>
  <c r="AA583" i="19" s="1"/>
  <c r="K115" i="43"/>
  <c r="AA351" i="19" s="1"/>
  <c r="AA428" i="19" s="1"/>
  <c r="J115" i="43"/>
  <c r="J120" i="43" s="1"/>
  <c r="AA201" i="19" s="1"/>
  <c r="AA278" i="19" s="1"/>
  <c r="H115" i="43"/>
  <c r="G115" i="43"/>
  <c r="F115" i="43"/>
  <c r="N113" i="43"/>
  <c r="AA813" i="19" s="1"/>
  <c r="AA890" i="19" s="1"/>
  <c r="M113" i="43"/>
  <c r="AA658" i="19" s="1"/>
  <c r="AA735" i="19" s="1"/>
  <c r="L113" i="43"/>
  <c r="AA503" i="19" s="1"/>
  <c r="AA580" i="19" s="1"/>
  <c r="K113" i="43"/>
  <c r="J113" i="43"/>
  <c r="AA193" i="19" s="1"/>
  <c r="AA270" i="19" s="1"/>
  <c r="H113" i="43"/>
  <c r="G113" i="43"/>
  <c r="N112" i="43"/>
  <c r="AA812" i="19" s="1"/>
  <c r="AA889" i="19" s="1"/>
  <c r="M112" i="43"/>
  <c r="AA657" i="19" s="1"/>
  <c r="AA734" i="19" s="1"/>
  <c r="L112" i="43"/>
  <c r="AA502" i="19" s="1"/>
  <c r="AA579" i="19" s="1"/>
  <c r="K112" i="43"/>
  <c r="AA347" i="19" s="1"/>
  <c r="AA424" i="19" s="1"/>
  <c r="J112" i="43"/>
  <c r="AA192" i="19" s="1"/>
  <c r="AA269" i="19" s="1"/>
  <c r="H112" i="43"/>
  <c r="G112" i="43"/>
  <c r="N111" i="43"/>
  <c r="AA811" i="19" s="1"/>
  <c r="AA888" i="19" s="1"/>
  <c r="M111" i="43"/>
  <c r="AA656" i="19" s="1"/>
  <c r="AA733" i="19" s="1"/>
  <c r="L111" i="43"/>
  <c r="AA501" i="19" s="1"/>
  <c r="AA578" i="19" s="1"/>
  <c r="K111" i="43"/>
  <c r="J111" i="43"/>
  <c r="AA191" i="19" s="1"/>
  <c r="AA268" i="19" s="1"/>
  <c r="H111" i="43"/>
  <c r="G111" i="43"/>
  <c r="N110" i="43"/>
  <c r="AA810" i="19" s="1"/>
  <c r="AA887" i="19" s="1"/>
  <c r="M110" i="43"/>
  <c r="AA655" i="19" s="1"/>
  <c r="AA732" i="19" s="1"/>
  <c r="L110" i="43"/>
  <c r="AA500" i="19" s="1"/>
  <c r="AA577" i="19" s="1"/>
  <c r="K110" i="43"/>
  <c r="AA345" i="19" s="1"/>
  <c r="J110" i="43"/>
  <c r="AA190" i="19" s="1"/>
  <c r="AA267" i="19" s="1"/>
  <c r="H110" i="43"/>
  <c r="G110" i="43"/>
  <c r="N109" i="43"/>
  <c r="AA809" i="19" s="1"/>
  <c r="AA886" i="19" s="1"/>
  <c r="M109" i="43"/>
  <c r="AA654" i="19" s="1"/>
  <c r="AA731" i="19" s="1"/>
  <c r="L109" i="43"/>
  <c r="AA499" i="19" s="1"/>
  <c r="AA576" i="19" s="1"/>
  <c r="K109" i="43"/>
  <c r="AA344" i="19" s="1"/>
  <c r="AA421" i="19" s="1"/>
  <c r="J109" i="43"/>
  <c r="AA189" i="19" s="1"/>
  <c r="AA266" i="19" s="1"/>
  <c r="H109" i="43"/>
  <c r="G109" i="43"/>
  <c r="F109" i="43"/>
  <c r="I108" i="43"/>
  <c r="AA32" i="19" s="1"/>
  <c r="AA109" i="19" s="1"/>
  <c r="N107" i="43"/>
  <c r="AA806" i="19" s="1"/>
  <c r="AA883" i="19" s="1"/>
  <c r="M107" i="43"/>
  <c r="AA651" i="19" s="1"/>
  <c r="AA728" i="19" s="1"/>
  <c r="L107" i="43"/>
  <c r="AA496" i="19" s="1"/>
  <c r="AA573" i="19" s="1"/>
  <c r="K107" i="43"/>
  <c r="AA341" i="19" s="1"/>
  <c r="AA418" i="19" s="1"/>
  <c r="J107" i="43"/>
  <c r="I107" i="43"/>
  <c r="AA31" i="19" s="1"/>
  <c r="AA108" i="19" s="1"/>
  <c r="H107" i="43"/>
  <c r="G107" i="43"/>
  <c r="N106" i="43"/>
  <c r="AA805" i="19" s="1"/>
  <c r="AA882" i="19" s="1"/>
  <c r="M106" i="43"/>
  <c r="AA650" i="19" s="1"/>
  <c r="AA727" i="19" s="1"/>
  <c r="L106" i="43"/>
  <c r="AA495" i="19" s="1"/>
  <c r="AA572" i="19" s="1"/>
  <c r="K106" i="43"/>
  <c r="AA340" i="19" s="1"/>
  <c r="AA417" i="19" s="1"/>
  <c r="J106" i="43"/>
  <c r="AA185" i="19" s="1"/>
  <c r="AA262" i="19" s="1"/>
  <c r="I106" i="43"/>
  <c r="AA30" i="19" s="1"/>
  <c r="AA107" i="19" s="1"/>
  <c r="H106" i="43"/>
  <c r="G106" i="43"/>
  <c r="N105" i="43"/>
  <c r="AA804" i="19" s="1"/>
  <c r="AA881" i="19" s="1"/>
  <c r="M105" i="43"/>
  <c r="AA649" i="19" s="1"/>
  <c r="AA726" i="19" s="1"/>
  <c r="L105" i="43"/>
  <c r="AA494" i="19" s="1"/>
  <c r="K105" i="43"/>
  <c r="AA339" i="19" s="1"/>
  <c r="AA416" i="19" s="1"/>
  <c r="J105" i="43"/>
  <c r="I105" i="43"/>
  <c r="AA29" i="19" s="1"/>
  <c r="AA106" i="19" s="1"/>
  <c r="H105" i="43"/>
  <c r="G105" i="43"/>
  <c r="N104" i="43"/>
  <c r="AA803" i="19" s="1"/>
  <c r="AA880" i="19" s="1"/>
  <c r="M104" i="43"/>
  <c r="AA648" i="19" s="1"/>
  <c r="AA725" i="19" s="1"/>
  <c r="L104" i="43"/>
  <c r="AA493" i="19" s="1"/>
  <c r="AA570" i="19" s="1"/>
  <c r="K104" i="43"/>
  <c r="AA338" i="19" s="1"/>
  <c r="AA415" i="19" s="1"/>
  <c r="J104" i="43"/>
  <c r="AA183" i="19" s="1"/>
  <c r="AA260" i="19" s="1"/>
  <c r="I104" i="43"/>
  <c r="AA28" i="19" s="1"/>
  <c r="AA105" i="19" s="1"/>
  <c r="H104" i="43"/>
  <c r="G104" i="43"/>
  <c r="N103" i="43"/>
  <c r="AA802" i="19" s="1"/>
  <c r="AA879" i="19" s="1"/>
  <c r="M103" i="43"/>
  <c r="AA647" i="19" s="1"/>
  <c r="AA724" i="19" s="1"/>
  <c r="L103" i="43"/>
  <c r="AA492" i="19" s="1"/>
  <c r="AA569" i="19" s="1"/>
  <c r="K103" i="43"/>
  <c r="AA337" i="19" s="1"/>
  <c r="AA414" i="19" s="1"/>
  <c r="J103" i="43"/>
  <c r="J108" i="43" s="1"/>
  <c r="AA187" i="19" s="1"/>
  <c r="AA264" i="19" s="1"/>
  <c r="I103" i="43"/>
  <c r="AA27" i="19" s="1"/>
  <c r="AA104" i="19" s="1"/>
  <c r="H103" i="43"/>
  <c r="G103" i="43"/>
  <c r="F103" i="43"/>
  <c r="N101" i="43"/>
  <c r="AA799" i="19" s="1"/>
  <c r="AA876" i="19" s="1"/>
  <c r="M101" i="43"/>
  <c r="AA644" i="19" s="1"/>
  <c r="AA721" i="19" s="1"/>
  <c r="L101" i="43"/>
  <c r="AA489" i="19" s="1"/>
  <c r="AA566" i="19" s="1"/>
  <c r="K101" i="43"/>
  <c r="AA334" i="19" s="1"/>
  <c r="AA411" i="19" s="1"/>
  <c r="J101" i="43"/>
  <c r="AA179" i="19" s="1"/>
  <c r="AA256" i="19" s="1"/>
  <c r="H101" i="43"/>
  <c r="G101" i="43"/>
  <c r="N100" i="43"/>
  <c r="AA798" i="19" s="1"/>
  <c r="AA875" i="19" s="1"/>
  <c r="M100" i="43"/>
  <c r="AA643" i="19" s="1"/>
  <c r="AA720" i="19" s="1"/>
  <c r="L100" i="43"/>
  <c r="AA488" i="19" s="1"/>
  <c r="AA565" i="19" s="1"/>
  <c r="K100" i="43"/>
  <c r="AA333" i="19" s="1"/>
  <c r="AA410" i="19" s="1"/>
  <c r="J100" i="43"/>
  <c r="AA178" i="19" s="1"/>
  <c r="AA255" i="19" s="1"/>
  <c r="H100" i="43"/>
  <c r="G100" i="43"/>
  <c r="N99" i="43"/>
  <c r="AA797" i="19" s="1"/>
  <c r="AA874" i="19" s="1"/>
  <c r="M99" i="43"/>
  <c r="AA642" i="19" s="1"/>
  <c r="AA719" i="19" s="1"/>
  <c r="L99" i="43"/>
  <c r="AA487" i="19" s="1"/>
  <c r="AA564" i="19" s="1"/>
  <c r="K99" i="43"/>
  <c r="AA332" i="19" s="1"/>
  <c r="AA409" i="19" s="1"/>
  <c r="J99" i="43"/>
  <c r="AA177" i="19" s="1"/>
  <c r="AA254" i="19" s="1"/>
  <c r="H99" i="43"/>
  <c r="G99" i="43"/>
  <c r="N98" i="43"/>
  <c r="AA796" i="19" s="1"/>
  <c r="AA873" i="19" s="1"/>
  <c r="M98" i="43"/>
  <c r="AA641" i="19" s="1"/>
  <c r="L98" i="43"/>
  <c r="AA486" i="19" s="1"/>
  <c r="AA563" i="19" s="1"/>
  <c r="K98" i="43"/>
  <c r="AA331" i="19" s="1"/>
  <c r="J98" i="43"/>
  <c r="AA176" i="19" s="1"/>
  <c r="AA253" i="19" s="1"/>
  <c r="H98" i="43"/>
  <c r="G98" i="43"/>
  <c r="N97" i="43"/>
  <c r="AA795" i="19" s="1"/>
  <c r="AA872" i="19" s="1"/>
  <c r="M97" i="43"/>
  <c r="M102" i="43" s="1"/>
  <c r="AA645" i="19" s="1"/>
  <c r="AA722" i="19" s="1"/>
  <c r="L97" i="43"/>
  <c r="AA485" i="19" s="1"/>
  <c r="AA562" i="19" s="1"/>
  <c r="K97" i="43"/>
  <c r="K102" i="43" s="1"/>
  <c r="AA335" i="19" s="1"/>
  <c r="AA412" i="19" s="1"/>
  <c r="J97" i="43"/>
  <c r="AA175" i="19" s="1"/>
  <c r="AA252" i="19" s="1"/>
  <c r="H97" i="43"/>
  <c r="G97" i="43"/>
  <c r="F97" i="43"/>
  <c r="M96" i="43"/>
  <c r="AA638" i="19" s="1"/>
  <c r="K96" i="43"/>
  <c r="AA328" i="19" s="1"/>
  <c r="N95" i="43"/>
  <c r="AA792" i="19" s="1"/>
  <c r="AA869" i="19" s="1"/>
  <c r="M95" i="43"/>
  <c r="AA637" i="19" s="1"/>
  <c r="AA714" i="19" s="1"/>
  <c r="L95" i="43"/>
  <c r="AA482" i="19" s="1"/>
  <c r="AA559" i="19" s="1"/>
  <c r="K95" i="43"/>
  <c r="AA327" i="19" s="1"/>
  <c r="AA404" i="19" s="1"/>
  <c r="J95" i="43"/>
  <c r="H95" i="43"/>
  <c r="G95" i="43"/>
  <c r="N94" i="43"/>
  <c r="AA791" i="19" s="1"/>
  <c r="AA868" i="19" s="1"/>
  <c r="M94" i="43"/>
  <c r="AA636" i="19" s="1"/>
  <c r="AA713" i="19" s="1"/>
  <c r="L94" i="43"/>
  <c r="AA481" i="19" s="1"/>
  <c r="AA558" i="19" s="1"/>
  <c r="K94" i="43"/>
  <c r="AA326" i="19" s="1"/>
  <c r="AA403" i="19" s="1"/>
  <c r="J94" i="43"/>
  <c r="AA171" i="19" s="1"/>
  <c r="AA248" i="19" s="1"/>
  <c r="I94" i="43"/>
  <c r="AA16" i="19" s="1"/>
  <c r="AA93" i="19" s="1"/>
  <c r="H94" i="43"/>
  <c r="G94" i="43"/>
  <c r="N93" i="43"/>
  <c r="AA790" i="19" s="1"/>
  <c r="AA867" i="19" s="1"/>
  <c r="M93" i="43"/>
  <c r="AA635" i="19" s="1"/>
  <c r="AA712" i="19" s="1"/>
  <c r="L93" i="43"/>
  <c r="AA480" i="19" s="1"/>
  <c r="K93" i="43"/>
  <c r="AA325" i="19" s="1"/>
  <c r="AA402" i="19" s="1"/>
  <c r="J93" i="43"/>
  <c r="H93" i="43"/>
  <c r="G93" i="43"/>
  <c r="N92" i="43"/>
  <c r="AA789" i="19" s="1"/>
  <c r="AA866" i="19" s="1"/>
  <c r="M92" i="43"/>
  <c r="AA634" i="19" s="1"/>
  <c r="AA711" i="19" s="1"/>
  <c r="L92" i="43"/>
  <c r="K92" i="43"/>
  <c r="AA324" i="19" s="1"/>
  <c r="AA401" i="19" s="1"/>
  <c r="J92" i="43"/>
  <c r="AA169" i="19" s="1"/>
  <c r="AA246" i="19" s="1"/>
  <c r="I92" i="43"/>
  <c r="AA14" i="19" s="1"/>
  <c r="AA91" i="19" s="1"/>
  <c r="H92" i="43"/>
  <c r="G92" i="43"/>
  <c r="N91" i="43"/>
  <c r="AA788" i="19" s="1"/>
  <c r="AA865" i="19" s="1"/>
  <c r="M91" i="43"/>
  <c r="AA633" i="19" s="1"/>
  <c r="AA710" i="19" s="1"/>
  <c r="L91" i="43"/>
  <c r="AA478" i="19" s="1"/>
  <c r="AA555" i="19" s="1"/>
  <c r="K91" i="43"/>
  <c r="AA323" i="19" s="1"/>
  <c r="AA400" i="19" s="1"/>
  <c r="J91" i="43"/>
  <c r="H91" i="43"/>
  <c r="G91" i="43"/>
  <c r="F91" i="43"/>
  <c r="N90" i="43"/>
  <c r="M90" i="43"/>
  <c r="L90" i="43"/>
  <c r="K90" i="43"/>
  <c r="J90" i="43"/>
  <c r="M81" i="43"/>
  <c r="M25" i="15" s="1"/>
  <c r="M40" i="15" s="1"/>
  <c r="K81" i="43"/>
  <c r="K25" i="15" s="1"/>
  <c r="K40" i="15" s="1"/>
  <c r="N79" i="43"/>
  <c r="M79" i="43"/>
  <c r="L79" i="43"/>
  <c r="K79" i="43"/>
  <c r="J79" i="43"/>
  <c r="I78" i="43"/>
  <c r="I149" i="43" s="1"/>
  <c r="AA80" i="19" s="1"/>
  <c r="AA157" i="19" s="1"/>
  <c r="H78" i="43"/>
  <c r="G78" i="43"/>
  <c r="I77" i="43"/>
  <c r="I148" i="43" s="1"/>
  <c r="AA79" i="19" s="1"/>
  <c r="AA156" i="19" s="1"/>
  <c r="H77" i="43"/>
  <c r="G77" i="43"/>
  <c r="I76" i="43"/>
  <c r="I147" i="43" s="1"/>
  <c r="AA78" i="19" s="1"/>
  <c r="AA155" i="19" s="1"/>
  <c r="H76" i="43"/>
  <c r="G76" i="43"/>
  <c r="I75" i="43"/>
  <c r="I146" i="43" s="1"/>
  <c r="AA77" i="19" s="1"/>
  <c r="AA154" i="19" s="1"/>
  <c r="H75" i="43"/>
  <c r="G75" i="43"/>
  <c r="I74" i="43"/>
  <c r="H74" i="43"/>
  <c r="G74" i="43"/>
  <c r="F74" i="43"/>
  <c r="N73" i="43"/>
  <c r="M73" i="43"/>
  <c r="L73" i="43"/>
  <c r="K73" i="43"/>
  <c r="J73" i="43"/>
  <c r="I72" i="43"/>
  <c r="I143" i="43" s="1"/>
  <c r="AA73" i="19" s="1"/>
  <c r="AA150" i="19" s="1"/>
  <c r="H72" i="43"/>
  <c r="G72" i="43"/>
  <c r="I71" i="43"/>
  <c r="H71" i="43"/>
  <c r="G71" i="43"/>
  <c r="I70" i="43"/>
  <c r="I141" i="43" s="1"/>
  <c r="AA71" i="19" s="1"/>
  <c r="AA148" i="19" s="1"/>
  <c r="H70" i="43"/>
  <c r="G70" i="43"/>
  <c r="I69" i="43"/>
  <c r="H69" i="43"/>
  <c r="G69" i="43"/>
  <c r="I68" i="43"/>
  <c r="I73" i="43" s="1"/>
  <c r="I144" i="43" s="1"/>
  <c r="AA74" i="19" s="1"/>
  <c r="AA151" i="19" s="1"/>
  <c r="H68" i="43"/>
  <c r="G68" i="43"/>
  <c r="F68" i="43"/>
  <c r="N67" i="43"/>
  <c r="M67" i="43"/>
  <c r="L67" i="43"/>
  <c r="K67" i="43"/>
  <c r="J67" i="43"/>
  <c r="I66" i="43"/>
  <c r="I137" i="43" s="1"/>
  <c r="AA66" i="19" s="1"/>
  <c r="AA143" i="19" s="1"/>
  <c r="H66" i="43"/>
  <c r="G66" i="43"/>
  <c r="I65" i="43"/>
  <c r="I136" i="43" s="1"/>
  <c r="AA65" i="19" s="1"/>
  <c r="AA142" i="19" s="1"/>
  <c r="H65" i="43"/>
  <c r="G65" i="43"/>
  <c r="I64" i="43"/>
  <c r="I135" i="43" s="1"/>
  <c r="AA64" i="19" s="1"/>
  <c r="AA141" i="19" s="1"/>
  <c r="H64" i="43"/>
  <c r="G64" i="43"/>
  <c r="I63" i="43"/>
  <c r="I134" i="43" s="1"/>
  <c r="AA63" i="19" s="1"/>
  <c r="AA140" i="19" s="1"/>
  <c r="H63" i="43"/>
  <c r="G63" i="43"/>
  <c r="I62" i="43"/>
  <c r="H62" i="43"/>
  <c r="G62" i="43"/>
  <c r="F62" i="43"/>
  <c r="N61" i="43"/>
  <c r="M61" i="43"/>
  <c r="L61" i="43"/>
  <c r="K61" i="43"/>
  <c r="J61" i="43"/>
  <c r="I60" i="43"/>
  <c r="H60" i="43"/>
  <c r="G60" i="43"/>
  <c r="I59" i="43"/>
  <c r="H59" i="43"/>
  <c r="G59" i="43"/>
  <c r="I58" i="43"/>
  <c r="H58" i="43"/>
  <c r="G58" i="43"/>
  <c r="I57" i="43"/>
  <c r="H57" i="43"/>
  <c r="G57" i="43"/>
  <c r="I56" i="43"/>
  <c r="I61" i="43" s="1"/>
  <c r="H56" i="43"/>
  <c r="G56" i="43"/>
  <c r="F56" i="43"/>
  <c r="N55" i="43"/>
  <c r="M55" i="43"/>
  <c r="L55" i="43"/>
  <c r="K55" i="43"/>
  <c r="J55" i="43"/>
  <c r="I54" i="43"/>
  <c r="I125" i="43" s="1"/>
  <c r="AA52" i="19" s="1"/>
  <c r="AA129" i="19" s="1"/>
  <c r="H54" i="43"/>
  <c r="G54" i="43"/>
  <c r="I53" i="43"/>
  <c r="I124" i="43" s="1"/>
  <c r="AA51" i="19" s="1"/>
  <c r="AA128" i="19" s="1"/>
  <c r="H53" i="43"/>
  <c r="G53" i="43"/>
  <c r="I52" i="43"/>
  <c r="I123" i="43" s="1"/>
  <c r="AA50" i="19" s="1"/>
  <c r="AA127" i="19" s="1"/>
  <c r="H52" i="43"/>
  <c r="G52" i="43"/>
  <c r="I51" i="43"/>
  <c r="I122" i="43" s="1"/>
  <c r="AA49" i="19" s="1"/>
  <c r="AA126" i="19" s="1"/>
  <c r="H51" i="43"/>
  <c r="G51" i="43"/>
  <c r="I50" i="43"/>
  <c r="H50" i="43"/>
  <c r="G50" i="43"/>
  <c r="F50" i="43"/>
  <c r="N49" i="43"/>
  <c r="M49" i="43"/>
  <c r="L49" i="43"/>
  <c r="K49" i="43"/>
  <c r="J49" i="43"/>
  <c r="I48" i="43"/>
  <c r="I119" i="43" s="1"/>
  <c r="AA45" i="19" s="1"/>
  <c r="AA122" i="19" s="1"/>
  <c r="H48" i="43"/>
  <c r="G48" i="43"/>
  <c r="I47" i="43"/>
  <c r="H47" i="43"/>
  <c r="G47" i="43"/>
  <c r="I46" i="43"/>
  <c r="I117" i="43" s="1"/>
  <c r="AA43" i="19" s="1"/>
  <c r="AA120" i="19" s="1"/>
  <c r="H46" i="43"/>
  <c r="G46" i="43"/>
  <c r="I45" i="43"/>
  <c r="H45" i="43"/>
  <c r="G45" i="43"/>
  <c r="I44" i="43"/>
  <c r="I49" i="43" s="1"/>
  <c r="I120" i="43" s="1"/>
  <c r="AA46" i="19" s="1"/>
  <c r="AA123" i="19" s="1"/>
  <c r="H44" i="43"/>
  <c r="G44" i="43"/>
  <c r="F44" i="43"/>
  <c r="N43" i="43"/>
  <c r="M43" i="43"/>
  <c r="L43" i="43"/>
  <c r="K43" i="43"/>
  <c r="J43" i="43"/>
  <c r="I42" i="43"/>
  <c r="I113" i="43" s="1"/>
  <c r="AA38" i="19" s="1"/>
  <c r="AA115" i="19" s="1"/>
  <c r="H42" i="43"/>
  <c r="G42" i="43"/>
  <c r="I41" i="43"/>
  <c r="I112" i="43" s="1"/>
  <c r="AA37" i="19" s="1"/>
  <c r="AA114" i="19" s="1"/>
  <c r="H41" i="43"/>
  <c r="G41" i="43"/>
  <c r="I40" i="43"/>
  <c r="I111" i="43" s="1"/>
  <c r="AA36" i="19" s="1"/>
  <c r="AA113" i="19" s="1"/>
  <c r="H40" i="43"/>
  <c r="G40" i="43"/>
  <c r="I39" i="43"/>
  <c r="I110" i="43" s="1"/>
  <c r="AA35" i="19" s="1"/>
  <c r="AA112" i="19" s="1"/>
  <c r="H39" i="43"/>
  <c r="G39" i="43"/>
  <c r="I38" i="43"/>
  <c r="H38" i="43"/>
  <c r="G38" i="43"/>
  <c r="F38" i="43"/>
  <c r="N37" i="43"/>
  <c r="M37" i="43"/>
  <c r="L37" i="43"/>
  <c r="K37" i="43"/>
  <c r="J37" i="43"/>
  <c r="I36" i="43"/>
  <c r="H36" i="43"/>
  <c r="G36" i="43"/>
  <c r="I35" i="43"/>
  <c r="H35" i="43"/>
  <c r="G35" i="43"/>
  <c r="I34" i="43"/>
  <c r="H34" i="43"/>
  <c r="G34" i="43"/>
  <c r="I33" i="43"/>
  <c r="H33" i="43"/>
  <c r="G33" i="43"/>
  <c r="I32" i="43"/>
  <c r="I37" i="43" s="1"/>
  <c r="H32" i="43"/>
  <c r="G32" i="43"/>
  <c r="F32" i="43"/>
  <c r="N31" i="43"/>
  <c r="M31" i="43"/>
  <c r="L31" i="43"/>
  <c r="K31" i="43"/>
  <c r="J31" i="43"/>
  <c r="I30" i="43"/>
  <c r="I101" i="43" s="1"/>
  <c r="AA24" i="19" s="1"/>
  <c r="AA101" i="19" s="1"/>
  <c r="H30" i="43"/>
  <c r="G30" i="43"/>
  <c r="I29" i="43"/>
  <c r="I100" i="43" s="1"/>
  <c r="AA23" i="19" s="1"/>
  <c r="AA100" i="19" s="1"/>
  <c r="H29" i="43"/>
  <c r="G29" i="43"/>
  <c r="I28" i="43"/>
  <c r="I99" i="43" s="1"/>
  <c r="AA22" i="19" s="1"/>
  <c r="AA99" i="19" s="1"/>
  <c r="H28" i="43"/>
  <c r="G28" i="43"/>
  <c r="I27" i="43"/>
  <c r="I98" i="43" s="1"/>
  <c r="AA21" i="19" s="1"/>
  <c r="AA98" i="19" s="1"/>
  <c r="H27" i="43"/>
  <c r="G27" i="43"/>
  <c r="I26" i="43"/>
  <c r="H26" i="43"/>
  <c r="G26" i="43"/>
  <c r="F26" i="43"/>
  <c r="N25" i="43"/>
  <c r="M25" i="43"/>
  <c r="L25" i="43"/>
  <c r="K25" i="43"/>
  <c r="J25" i="43"/>
  <c r="I24" i="43"/>
  <c r="I95" i="43" s="1"/>
  <c r="AA17" i="19" s="1"/>
  <c r="AA94" i="19" s="1"/>
  <c r="H24" i="43"/>
  <c r="G24" i="43"/>
  <c r="I23" i="43"/>
  <c r="H23" i="43"/>
  <c r="G23" i="43"/>
  <c r="I22" i="43"/>
  <c r="I93" i="43" s="1"/>
  <c r="AA15" i="19" s="1"/>
  <c r="AA92" i="19" s="1"/>
  <c r="H22" i="43"/>
  <c r="G22" i="43"/>
  <c r="I21" i="43"/>
  <c r="H21" i="43"/>
  <c r="G21" i="43"/>
  <c r="I20" i="43"/>
  <c r="I25" i="43" s="1"/>
  <c r="I96" i="43" s="1"/>
  <c r="AA18" i="19" s="1"/>
  <c r="H20" i="43"/>
  <c r="G20" i="43"/>
  <c r="F20" i="43"/>
  <c r="N19" i="43"/>
  <c r="M19" i="43"/>
  <c r="L19" i="43"/>
  <c r="K19" i="43"/>
  <c r="J19" i="43"/>
  <c r="B14" i="43"/>
  <c r="F12" i="43"/>
  <c r="N9" i="43"/>
  <c r="M9" i="43"/>
  <c r="L9" i="43"/>
  <c r="K9" i="43"/>
  <c r="J9" i="43"/>
  <c r="B6" i="43"/>
  <c r="B2" i="43"/>
  <c r="B1" i="43"/>
  <c r="H30" i="21" s="1"/>
  <c r="F169" i="42"/>
  <c r="F168" i="42"/>
  <c r="F167" i="42"/>
  <c r="F166" i="42"/>
  <c r="N165" i="42"/>
  <c r="M165" i="42"/>
  <c r="L165" i="42"/>
  <c r="K165" i="42"/>
  <c r="J165" i="42"/>
  <c r="F164" i="42"/>
  <c r="F162" i="42"/>
  <c r="F161" i="42"/>
  <c r="F160" i="42"/>
  <c r="F159" i="42"/>
  <c r="N158" i="42"/>
  <c r="M158" i="42"/>
  <c r="L158" i="42"/>
  <c r="K158" i="42"/>
  <c r="J158" i="42"/>
  <c r="F157" i="42"/>
  <c r="B155" i="42"/>
  <c r="H152" i="42"/>
  <c r="N149" i="42"/>
  <c r="Z855" i="19" s="1"/>
  <c r="Z932" i="19" s="1"/>
  <c r="M149" i="42"/>
  <c r="Z700" i="19" s="1"/>
  <c r="Z777" i="19" s="1"/>
  <c r="L149" i="42"/>
  <c r="Z545" i="19" s="1"/>
  <c r="Z622" i="19" s="1"/>
  <c r="K149" i="42"/>
  <c r="Z390" i="19" s="1"/>
  <c r="Z467" i="19" s="1"/>
  <c r="J149" i="42"/>
  <c r="Z235" i="19" s="1"/>
  <c r="Z312" i="19" s="1"/>
  <c r="I149" i="42"/>
  <c r="Z80" i="19" s="1"/>
  <c r="Z157" i="19" s="1"/>
  <c r="H149" i="42"/>
  <c r="G149" i="42"/>
  <c r="N148" i="42"/>
  <c r="Z854" i="19" s="1"/>
  <c r="Z931" i="19" s="1"/>
  <c r="M148" i="42"/>
  <c r="Z699" i="19" s="1"/>
  <c r="Z776" i="19" s="1"/>
  <c r="L148" i="42"/>
  <c r="Z544" i="19" s="1"/>
  <c r="Z621" i="19" s="1"/>
  <c r="K148" i="42"/>
  <c r="Z389" i="19" s="1"/>
  <c r="Z466" i="19" s="1"/>
  <c r="J148" i="42"/>
  <c r="I148" i="42"/>
  <c r="Z79" i="19" s="1"/>
  <c r="Z156" i="19" s="1"/>
  <c r="H148" i="42"/>
  <c r="G148" i="42"/>
  <c r="N147" i="42"/>
  <c r="Z853" i="19" s="1"/>
  <c r="Z930" i="19" s="1"/>
  <c r="M147" i="42"/>
  <c r="Z698" i="19" s="1"/>
  <c r="Z775" i="19" s="1"/>
  <c r="L147" i="42"/>
  <c r="Z543" i="19" s="1"/>
  <c r="Z620" i="19" s="1"/>
  <c r="K147" i="42"/>
  <c r="Z388" i="19" s="1"/>
  <c r="Z465" i="19" s="1"/>
  <c r="J147" i="42"/>
  <c r="Z233" i="19" s="1"/>
  <c r="Z310" i="19" s="1"/>
  <c r="I147" i="42"/>
  <c r="Z78" i="19" s="1"/>
  <c r="Z155" i="19" s="1"/>
  <c r="H147" i="42"/>
  <c r="G147" i="42"/>
  <c r="N146" i="42"/>
  <c r="Z852" i="19" s="1"/>
  <c r="Z929" i="19" s="1"/>
  <c r="M146" i="42"/>
  <c r="Z697" i="19" s="1"/>
  <c r="Z774" i="19" s="1"/>
  <c r="L146" i="42"/>
  <c r="Z542" i="19" s="1"/>
  <c r="K146" i="42"/>
  <c r="Z387" i="19" s="1"/>
  <c r="Z464" i="19" s="1"/>
  <c r="J146" i="42"/>
  <c r="I146" i="42"/>
  <c r="Z77" i="19" s="1"/>
  <c r="Z154" i="19" s="1"/>
  <c r="H146" i="42"/>
  <c r="G146" i="42"/>
  <c r="N145" i="42"/>
  <c r="Z851" i="19" s="1"/>
  <c r="Z928" i="19" s="1"/>
  <c r="M145" i="42"/>
  <c r="Z696" i="19" s="1"/>
  <c r="Z773" i="19" s="1"/>
  <c r="L145" i="42"/>
  <c r="Z541" i="19" s="1"/>
  <c r="Z618" i="19" s="1"/>
  <c r="K145" i="42"/>
  <c r="Z386" i="19" s="1"/>
  <c r="Z463" i="19" s="1"/>
  <c r="J145" i="42"/>
  <c r="Z231" i="19" s="1"/>
  <c r="Z308" i="19" s="1"/>
  <c r="I145" i="42"/>
  <c r="Z76" i="19" s="1"/>
  <c r="Z153" i="19" s="1"/>
  <c r="H145" i="42"/>
  <c r="G145" i="42"/>
  <c r="F145" i="42"/>
  <c r="N143" i="42"/>
  <c r="Z848" i="19" s="1"/>
  <c r="Z925" i="19" s="1"/>
  <c r="M143" i="42"/>
  <c r="Z693" i="19" s="1"/>
  <c r="Z770" i="19" s="1"/>
  <c r="L143" i="42"/>
  <c r="Z538" i="19" s="1"/>
  <c r="Z615" i="19" s="1"/>
  <c r="K143" i="42"/>
  <c r="Z383" i="19" s="1"/>
  <c r="Z460" i="19" s="1"/>
  <c r="J143" i="42"/>
  <c r="Z228" i="19" s="1"/>
  <c r="Z305" i="19" s="1"/>
  <c r="H143" i="42"/>
  <c r="G143" i="42"/>
  <c r="N142" i="42"/>
  <c r="Z847" i="19" s="1"/>
  <c r="Z924" i="19" s="1"/>
  <c r="M142" i="42"/>
  <c r="Z692" i="19" s="1"/>
  <c r="Z769" i="19" s="1"/>
  <c r="L142" i="42"/>
  <c r="Z537" i="19" s="1"/>
  <c r="Z614" i="19" s="1"/>
  <c r="K142" i="42"/>
  <c r="Z382" i="19" s="1"/>
  <c r="Z459" i="19" s="1"/>
  <c r="J142" i="42"/>
  <c r="Z227" i="19" s="1"/>
  <c r="Z304" i="19" s="1"/>
  <c r="H142" i="42"/>
  <c r="G142" i="42"/>
  <c r="N141" i="42"/>
  <c r="Z846" i="19" s="1"/>
  <c r="Z923" i="19" s="1"/>
  <c r="M141" i="42"/>
  <c r="Z691" i="19" s="1"/>
  <c r="Z768" i="19" s="1"/>
  <c r="L141" i="42"/>
  <c r="Z536" i="19" s="1"/>
  <c r="Z613" i="19" s="1"/>
  <c r="K141" i="42"/>
  <c r="Z381" i="19" s="1"/>
  <c r="Z458" i="19" s="1"/>
  <c r="J141" i="42"/>
  <c r="Z226" i="19" s="1"/>
  <c r="Z303" i="19" s="1"/>
  <c r="H141" i="42"/>
  <c r="G141" i="42"/>
  <c r="N140" i="42"/>
  <c r="Z845" i="19" s="1"/>
  <c r="Z922" i="19" s="1"/>
  <c r="M140" i="42"/>
  <c r="Z690" i="19" s="1"/>
  <c r="Z767" i="19" s="1"/>
  <c r="L140" i="42"/>
  <c r="Z535" i="19" s="1"/>
  <c r="Z612" i="19" s="1"/>
  <c r="K140" i="42"/>
  <c r="Z380" i="19" s="1"/>
  <c r="Z457" i="19" s="1"/>
  <c r="J140" i="42"/>
  <c r="J144" i="42" s="1"/>
  <c r="Z229" i="19" s="1"/>
  <c r="Z306" i="19" s="1"/>
  <c r="H140" i="42"/>
  <c r="G140" i="42"/>
  <c r="N139" i="42"/>
  <c r="Z844" i="19" s="1"/>
  <c r="Z921" i="19" s="1"/>
  <c r="M139" i="42"/>
  <c r="Z689" i="19" s="1"/>
  <c r="Z766" i="19" s="1"/>
  <c r="L139" i="42"/>
  <c r="Z534" i="19" s="1"/>
  <c r="Z611" i="19" s="1"/>
  <c r="K139" i="42"/>
  <c r="Z379" i="19" s="1"/>
  <c r="Z456" i="19" s="1"/>
  <c r="J139" i="42"/>
  <c r="Z224" i="19" s="1"/>
  <c r="Z301" i="19" s="1"/>
  <c r="H139" i="42"/>
  <c r="G139" i="42"/>
  <c r="F139" i="42"/>
  <c r="K138" i="42"/>
  <c r="Z377" i="19" s="1"/>
  <c r="Z454" i="19" s="1"/>
  <c r="N137" i="42"/>
  <c r="Z841" i="19" s="1"/>
  <c r="Z918" i="19" s="1"/>
  <c r="M137" i="42"/>
  <c r="Z686" i="19" s="1"/>
  <c r="Z763" i="19" s="1"/>
  <c r="L137" i="42"/>
  <c r="Z531" i="19" s="1"/>
  <c r="Z608" i="19" s="1"/>
  <c r="K137" i="42"/>
  <c r="Z376" i="19" s="1"/>
  <c r="Z453" i="19" s="1"/>
  <c r="J137" i="42"/>
  <c r="Z221" i="19" s="1"/>
  <c r="Z298" i="19" s="1"/>
  <c r="I137" i="42"/>
  <c r="Z66" i="19" s="1"/>
  <c r="Z143" i="19" s="1"/>
  <c r="H137" i="42"/>
  <c r="G137" i="42"/>
  <c r="N136" i="42"/>
  <c r="Z840" i="19" s="1"/>
  <c r="Z917" i="19" s="1"/>
  <c r="M136" i="42"/>
  <c r="Z685" i="19" s="1"/>
  <c r="Z762" i="19" s="1"/>
  <c r="L136" i="42"/>
  <c r="Z530" i="19" s="1"/>
  <c r="Z607" i="19" s="1"/>
  <c r="K136" i="42"/>
  <c r="Z375" i="19" s="1"/>
  <c r="Z452" i="19" s="1"/>
  <c r="J136" i="42"/>
  <c r="H136" i="42"/>
  <c r="G136" i="42"/>
  <c r="N135" i="42"/>
  <c r="Z839" i="19" s="1"/>
  <c r="Z916" i="19" s="1"/>
  <c r="M135" i="42"/>
  <c r="Z684" i="19" s="1"/>
  <c r="Z761" i="19" s="1"/>
  <c r="L135" i="42"/>
  <c r="Z529" i="19" s="1"/>
  <c r="Z606" i="19" s="1"/>
  <c r="K135" i="42"/>
  <c r="Z374" i="19" s="1"/>
  <c r="Z451" i="19" s="1"/>
  <c r="J135" i="42"/>
  <c r="Z219" i="19" s="1"/>
  <c r="Z296" i="19" s="1"/>
  <c r="I135" i="42"/>
  <c r="Z64" i="19" s="1"/>
  <c r="Z141" i="19" s="1"/>
  <c r="H135" i="42"/>
  <c r="G135" i="42"/>
  <c r="N134" i="42"/>
  <c r="Z838" i="19" s="1"/>
  <c r="Z915" i="19" s="1"/>
  <c r="M134" i="42"/>
  <c r="Z683" i="19" s="1"/>
  <c r="Z760" i="19" s="1"/>
  <c r="L134" i="42"/>
  <c r="Z528" i="19" s="1"/>
  <c r="K134" i="42"/>
  <c r="Z373" i="19" s="1"/>
  <c r="Z450" i="19" s="1"/>
  <c r="J134" i="42"/>
  <c r="H134" i="42"/>
  <c r="G134" i="42"/>
  <c r="N133" i="42"/>
  <c r="Z837" i="19" s="1"/>
  <c r="Z914" i="19" s="1"/>
  <c r="M133" i="42"/>
  <c r="Z682" i="19" s="1"/>
  <c r="Z759" i="19" s="1"/>
  <c r="L133" i="42"/>
  <c r="Z527" i="19" s="1"/>
  <c r="Z604" i="19" s="1"/>
  <c r="K133" i="42"/>
  <c r="Z372" i="19" s="1"/>
  <c r="Z449" i="19" s="1"/>
  <c r="J133" i="42"/>
  <c r="Z217" i="19" s="1"/>
  <c r="Z294" i="19" s="1"/>
  <c r="I133" i="42"/>
  <c r="Z62" i="19" s="1"/>
  <c r="Z139" i="19" s="1"/>
  <c r="H133" i="42"/>
  <c r="G133" i="42"/>
  <c r="F133" i="42"/>
  <c r="N131" i="42"/>
  <c r="Z834" i="19" s="1"/>
  <c r="Z911" i="19" s="1"/>
  <c r="M131" i="42"/>
  <c r="Z679" i="19" s="1"/>
  <c r="Z756" i="19" s="1"/>
  <c r="L131" i="42"/>
  <c r="Z524" i="19" s="1"/>
  <c r="Z601" i="19" s="1"/>
  <c r="K131" i="42"/>
  <c r="Z369" i="19" s="1"/>
  <c r="Z446" i="19" s="1"/>
  <c r="J131" i="42"/>
  <c r="Z214" i="19" s="1"/>
  <c r="Z291" i="19" s="1"/>
  <c r="H131" i="42"/>
  <c r="G131" i="42"/>
  <c r="N130" i="42"/>
  <c r="Z833" i="19" s="1"/>
  <c r="Z910" i="19" s="1"/>
  <c r="M130" i="42"/>
  <c r="Z678" i="19" s="1"/>
  <c r="Z755" i="19" s="1"/>
  <c r="L130" i="42"/>
  <c r="Z523" i="19" s="1"/>
  <c r="Z600" i="19" s="1"/>
  <c r="K130" i="42"/>
  <c r="Z368" i="19" s="1"/>
  <c r="Z445" i="19" s="1"/>
  <c r="J130" i="42"/>
  <c r="Z213" i="19" s="1"/>
  <c r="Z290" i="19" s="1"/>
  <c r="H130" i="42"/>
  <c r="G130" i="42"/>
  <c r="N129" i="42"/>
  <c r="Z832" i="19" s="1"/>
  <c r="Z909" i="19" s="1"/>
  <c r="M129" i="42"/>
  <c r="Z677" i="19" s="1"/>
  <c r="Z754" i="19" s="1"/>
  <c r="L129" i="42"/>
  <c r="Z522" i="19" s="1"/>
  <c r="Z599" i="19" s="1"/>
  <c r="K129" i="42"/>
  <c r="Z367" i="19" s="1"/>
  <c r="Z444" i="19" s="1"/>
  <c r="J129" i="42"/>
  <c r="Z212" i="19" s="1"/>
  <c r="Z289" i="19" s="1"/>
  <c r="H129" i="42"/>
  <c r="G129" i="42"/>
  <c r="N128" i="42"/>
  <c r="Z831" i="19" s="1"/>
  <c r="Z908" i="19" s="1"/>
  <c r="M128" i="42"/>
  <c r="Z676" i="19" s="1"/>
  <c r="Z753" i="19" s="1"/>
  <c r="L128" i="42"/>
  <c r="Z521" i="19" s="1"/>
  <c r="Z598" i="19" s="1"/>
  <c r="K128" i="42"/>
  <c r="Z366" i="19" s="1"/>
  <c r="Z443" i="19" s="1"/>
  <c r="J128" i="42"/>
  <c r="Z211" i="19" s="1"/>
  <c r="Z288" i="19" s="1"/>
  <c r="H128" i="42"/>
  <c r="G128" i="42"/>
  <c r="N127" i="42"/>
  <c r="Z830" i="19" s="1"/>
  <c r="Z907" i="19" s="1"/>
  <c r="M127" i="42"/>
  <c r="Z675" i="19" s="1"/>
  <c r="Z752" i="19" s="1"/>
  <c r="L127" i="42"/>
  <c r="Z520" i="19" s="1"/>
  <c r="Z597" i="19" s="1"/>
  <c r="K127" i="42"/>
  <c r="Z365" i="19" s="1"/>
  <c r="Z442" i="19" s="1"/>
  <c r="J127" i="42"/>
  <c r="Z210" i="19" s="1"/>
  <c r="Z287" i="19" s="1"/>
  <c r="H127" i="42"/>
  <c r="G127" i="42"/>
  <c r="F127" i="42"/>
  <c r="N125" i="42"/>
  <c r="Z827" i="19" s="1"/>
  <c r="Z904" i="19" s="1"/>
  <c r="M125" i="42"/>
  <c r="Z672" i="19" s="1"/>
  <c r="Z749" i="19" s="1"/>
  <c r="L125" i="42"/>
  <c r="Z517" i="19" s="1"/>
  <c r="Z594" i="19" s="1"/>
  <c r="K125" i="42"/>
  <c r="Z362" i="19" s="1"/>
  <c r="Z439" i="19" s="1"/>
  <c r="J125" i="42"/>
  <c r="Z207" i="19" s="1"/>
  <c r="Z284" i="19" s="1"/>
  <c r="I125" i="42"/>
  <c r="Z52" i="19" s="1"/>
  <c r="Z129" i="19" s="1"/>
  <c r="H125" i="42"/>
  <c r="G125" i="42"/>
  <c r="N124" i="42"/>
  <c r="Z826" i="19" s="1"/>
  <c r="Z903" i="19" s="1"/>
  <c r="M124" i="42"/>
  <c r="Z671" i="19" s="1"/>
  <c r="Z748" i="19" s="1"/>
  <c r="L124" i="42"/>
  <c r="Z516" i="19" s="1"/>
  <c r="Z593" i="19" s="1"/>
  <c r="K124" i="42"/>
  <c r="Z361" i="19" s="1"/>
  <c r="Z438" i="19" s="1"/>
  <c r="J124" i="42"/>
  <c r="I124" i="42"/>
  <c r="Z51" i="19" s="1"/>
  <c r="Z128" i="19" s="1"/>
  <c r="H124" i="42"/>
  <c r="G124" i="42"/>
  <c r="N123" i="42"/>
  <c r="Z825" i="19" s="1"/>
  <c r="Z902" i="19" s="1"/>
  <c r="M123" i="42"/>
  <c r="Z670" i="19" s="1"/>
  <c r="Z747" i="19" s="1"/>
  <c r="L123" i="42"/>
  <c r="Z515" i="19" s="1"/>
  <c r="Z592" i="19" s="1"/>
  <c r="K123" i="42"/>
  <c r="Z360" i="19" s="1"/>
  <c r="Z437" i="19" s="1"/>
  <c r="J123" i="42"/>
  <c r="Z205" i="19" s="1"/>
  <c r="Z282" i="19" s="1"/>
  <c r="I123" i="42"/>
  <c r="Z50" i="19" s="1"/>
  <c r="Z127" i="19" s="1"/>
  <c r="H123" i="42"/>
  <c r="G123" i="42"/>
  <c r="N122" i="42"/>
  <c r="Z824" i="19" s="1"/>
  <c r="Z901" i="19" s="1"/>
  <c r="M122" i="42"/>
  <c r="Z669" i="19" s="1"/>
  <c r="Z746" i="19" s="1"/>
  <c r="L122" i="42"/>
  <c r="Z514" i="19" s="1"/>
  <c r="K122" i="42"/>
  <c r="Z359" i="19" s="1"/>
  <c r="Z436" i="19" s="1"/>
  <c r="J122" i="42"/>
  <c r="I122" i="42"/>
  <c r="Z49" i="19" s="1"/>
  <c r="Z126" i="19" s="1"/>
  <c r="H122" i="42"/>
  <c r="G122" i="42"/>
  <c r="N121" i="42"/>
  <c r="Z823" i="19" s="1"/>
  <c r="Z900" i="19" s="1"/>
  <c r="M121" i="42"/>
  <c r="Z668" i="19" s="1"/>
  <c r="Z745" i="19" s="1"/>
  <c r="L121" i="42"/>
  <c r="Z513" i="19" s="1"/>
  <c r="Z590" i="19" s="1"/>
  <c r="K121" i="42"/>
  <c r="Z358" i="19" s="1"/>
  <c r="Z435" i="19" s="1"/>
  <c r="J121" i="42"/>
  <c r="Z203" i="19" s="1"/>
  <c r="Z280" i="19" s="1"/>
  <c r="I121" i="42"/>
  <c r="Z48" i="19" s="1"/>
  <c r="Z125" i="19" s="1"/>
  <c r="H121" i="42"/>
  <c r="G121" i="42"/>
  <c r="F121" i="42"/>
  <c r="N119" i="42"/>
  <c r="Z820" i="19" s="1"/>
  <c r="Z897" i="19" s="1"/>
  <c r="M119" i="42"/>
  <c r="Z665" i="19" s="1"/>
  <c r="Z742" i="19" s="1"/>
  <c r="L119" i="42"/>
  <c r="Z510" i="19" s="1"/>
  <c r="Z587" i="19" s="1"/>
  <c r="K119" i="42"/>
  <c r="Z355" i="19" s="1"/>
  <c r="Z432" i="19" s="1"/>
  <c r="J119" i="42"/>
  <c r="Z200" i="19" s="1"/>
  <c r="Z277" i="19" s="1"/>
  <c r="H119" i="42"/>
  <c r="G119" i="42"/>
  <c r="N118" i="42"/>
  <c r="Z819" i="19" s="1"/>
  <c r="Z896" i="19" s="1"/>
  <c r="M118" i="42"/>
  <c r="Z664" i="19" s="1"/>
  <c r="Z741" i="19" s="1"/>
  <c r="L118" i="42"/>
  <c r="Z509" i="19" s="1"/>
  <c r="Z586" i="19" s="1"/>
  <c r="K118" i="42"/>
  <c r="Z354" i="19" s="1"/>
  <c r="Z431" i="19" s="1"/>
  <c r="J118" i="42"/>
  <c r="Z199" i="19" s="1"/>
  <c r="Z276" i="19" s="1"/>
  <c r="H118" i="42"/>
  <c r="G118" i="42"/>
  <c r="N117" i="42"/>
  <c r="Z818" i="19" s="1"/>
  <c r="Z895" i="19" s="1"/>
  <c r="M117" i="42"/>
  <c r="Z663" i="19" s="1"/>
  <c r="Z740" i="19" s="1"/>
  <c r="L117" i="42"/>
  <c r="Z508" i="19" s="1"/>
  <c r="Z585" i="19" s="1"/>
  <c r="K117" i="42"/>
  <c r="Z353" i="19" s="1"/>
  <c r="Z430" i="19" s="1"/>
  <c r="J117" i="42"/>
  <c r="Z198" i="19" s="1"/>
  <c r="Z275" i="19" s="1"/>
  <c r="H117" i="42"/>
  <c r="G117" i="42"/>
  <c r="N116" i="42"/>
  <c r="Z817" i="19" s="1"/>
  <c r="Z894" i="19" s="1"/>
  <c r="M116" i="42"/>
  <c r="Z662" i="19" s="1"/>
  <c r="Z739" i="19" s="1"/>
  <c r="L116" i="42"/>
  <c r="Z507" i="19" s="1"/>
  <c r="Z584" i="19" s="1"/>
  <c r="K116" i="42"/>
  <c r="Z352" i="19" s="1"/>
  <c r="Z429" i="19" s="1"/>
  <c r="J116" i="42"/>
  <c r="Z197" i="19" s="1"/>
  <c r="Z274" i="19" s="1"/>
  <c r="H116" i="42"/>
  <c r="G116" i="42"/>
  <c r="N115" i="42"/>
  <c r="Z816" i="19" s="1"/>
  <c r="Z893" i="19" s="1"/>
  <c r="M115" i="42"/>
  <c r="Z661" i="19" s="1"/>
  <c r="Z738" i="19" s="1"/>
  <c r="L115" i="42"/>
  <c r="Z506" i="19" s="1"/>
  <c r="Z583" i="19" s="1"/>
  <c r="K115" i="42"/>
  <c r="Z351" i="19" s="1"/>
  <c r="Z428" i="19" s="1"/>
  <c r="J115" i="42"/>
  <c r="Z196" i="19" s="1"/>
  <c r="Z273" i="19" s="1"/>
  <c r="H115" i="42"/>
  <c r="G115" i="42"/>
  <c r="F115" i="42"/>
  <c r="K114" i="42"/>
  <c r="Z349" i="19" s="1"/>
  <c r="Z426" i="19" s="1"/>
  <c r="N113" i="42"/>
  <c r="Z813" i="19" s="1"/>
  <c r="Z890" i="19" s="1"/>
  <c r="M113" i="42"/>
  <c r="Z658" i="19" s="1"/>
  <c r="Z735" i="19" s="1"/>
  <c r="L113" i="42"/>
  <c r="K113" i="42"/>
  <c r="Z348" i="19" s="1"/>
  <c r="Z425" i="19" s="1"/>
  <c r="J113" i="42"/>
  <c r="Z193" i="19" s="1"/>
  <c r="Z270" i="19" s="1"/>
  <c r="I113" i="42"/>
  <c r="Z38" i="19" s="1"/>
  <c r="Z115" i="19" s="1"/>
  <c r="H113" i="42"/>
  <c r="G113" i="42"/>
  <c r="N112" i="42"/>
  <c r="Z812" i="19" s="1"/>
  <c r="Z889" i="19" s="1"/>
  <c r="M112" i="42"/>
  <c r="Z657" i="19" s="1"/>
  <c r="Z734" i="19" s="1"/>
  <c r="L112" i="42"/>
  <c r="Z502" i="19" s="1"/>
  <c r="Z579" i="19" s="1"/>
  <c r="K112" i="42"/>
  <c r="Z347" i="19" s="1"/>
  <c r="Z424" i="19" s="1"/>
  <c r="J112" i="42"/>
  <c r="H112" i="42"/>
  <c r="G112" i="42"/>
  <c r="N111" i="42"/>
  <c r="Z811" i="19" s="1"/>
  <c r="Z888" i="19" s="1"/>
  <c r="M111" i="42"/>
  <c r="Z656" i="19" s="1"/>
  <c r="Z733" i="19" s="1"/>
  <c r="L111" i="42"/>
  <c r="K111" i="42"/>
  <c r="Z346" i="19" s="1"/>
  <c r="Z423" i="19" s="1"/>
  <c r="J111" i="42"/>
  <c r="Z191" i="19" s="1"/>
  <c r="Z268" i="19" s="1"/>
  <c r="I111" i="42"/>
  <c r="Z36" i="19" s="1"/>
  <c r="Z113" i="19" s="1"/>
  <c r="H111" i="42"/>
  <c r="G111" i="42"/>
  <c r="N110" i="42"/>
  <c r="Z810" i="19" s="1"/>
  <c r="Z887" i="19" s="1"/>
  <c r="M110" i="42"/>
  <c r="Z655" i="19" s="1"/>
  <c r="Z732" i="19" s="1"/>
  <c r="L110" i="42"/>
  <c r="Z500" i="19" s="1"/>
  <c r="Z577" i="19" s="1"/>
  <c r="K110" i="42"/>
  <c r="Z345" i="19" s="1"/>
  <c r="Z422" i="19" s="1"/>
  <c r="J110" i="42"/>
  <c r="H110" i="42"/>
  <c r="G110" i="42"/>
  <c r="N109" i="42"/>
  <c r="Z809" i="19" s="1"/>
  <c r="Z886" i="19" s="1"/>
  <c r="M109" i="42"/>
  <c r="Z654" i="19" s="1"/>
  <c r="Z731" i="19" s="1"/>
  <c r="L109" i="42"/>
  <c r="Z499" i="19" s="1"/>
  <c r="Z576" i="19" s="1"/>
  <c r="K109" i="42"/>
  <c r="Z344" i="19" s="1"/>
  <c r="Z421" i="19" s="1"/>
  <c r="J109" i="42"/>
  <c r="Z189" i="19" s="1"/>
  <c r="Z266" i="19" s="1"/>
  <c r="I109" i="42"/>
  <c r="Z34" i="19" s="1"/>
  <c r="Z111" i="19" s="1"/>
  <c r="H109" i="42"/>
  <c r="G109" i="42"/>
  <c r="F109" i="42"/>
  <c r="N107" i="42"/>
  <c r="Z806" i="19" s="1"/>
  <c r="Z883" i="19" s="1"/>
  <c r="M107" i="42"/>
  <c r="Z651" i="19" s="1"/>
  <c r="Z728" i="19" s="1"/>
  <c r="L107" i="42"/>
  <c r="Z496" i="19" s="1"/>
  <c r="Z573" i="19" s="1"/>
  <c r="K107" i="42"/>
  <c r="Z341" i="19" s="1"/>
  <c r="Z418" i="19" s="1"/>
  <c r="J107" i="42"/>
  <c r="Z186" i="19" s="1"/>
  <c r="Z263" i="19" s="1"/>
  <c r="H107" i="42"/>
  <c r="G107" i="42"/>
  <c r="N106" i="42"/>
  <c r="Z805" i="19" s="1"/>
  <c r="Z882" i="19" s="1"/>
  <c r="M106" i="42"/>
  <c r="Z650" i="19" s="1"/>
  <c r="Z727" i="19" s="1"/>
  <c r="L106" i="42"/>
  <c r="Z495" i="19" s="1"/>
  <c r="Z572" i="19" s="1"/>
  <c r="K106" i="42"/>
  <c r="Z340" i="19" s="1"/>
  <c r="Z417" i="19" s="1"/>
  <c r="J106" i="42"/>
  <c r="Z185" i="19" s="1"/>
  <c r="Z262" i="19" s="1"/>
  <c r="H106" i="42"/>
  <c r="G106" i="42"/>
  <c r="N105" i="42"/>
  <c r="Z804" i="19" s="1"/>
  <c r="Z881" i="19" s="1"/>
  <c r="M105" i="42"/>
  <c r="Z649" i="19" s="1"/>
  <c r="Z726" i="19" s="1"/>
  <c r="L105" i="42"/>
  <c r="Z494" i="19" s="1"/>
  <c r="Z571" i="19" s="1"/>
  <c r="K105" i="42"/>
  <c r="Z339" i="19" s="1"/>
  <c r="Z416" i="19" s="1"/>
  <c r="J105" i="42"/>
  <c r="Z184" i="19" s="1"/>
  <c r="Z261" i="19" s="1"/>
  <c r="H105" i="42"/>
  <c r="G105" i="42"/>
  <c r="N104" i="42"/>
  <c r="Z803" i="19" s="1"/>
  <c r="Z880" i="19" s="1"/>
  <c r="M104" i="42"/>
  <c r="Z648" i="19" s="1"/>
  <c r="Z725" i="19" s="1"/>
  <c r="L104" i="42"/>
  <c r="Z493" i="19" s="1"/>
  <c r="Z570" i="19" s="1"/>
  <c r="K104" i="42"/>
  <c r="Z338" i="19" s="1"/>
  <c r="Z415" i="19" s="1"/>
  <c r="J104" i="42"/>
  <c r="Z183" i="19" s="1"/>
  <c r="Z260" i="19" s="1"/>
  <c r="H104" i="42"/>
  <c r="G104" i="42"/>
  <c r="N103" i="42"/>
  <c r="Z802" i="19" s="1"/>
  <c r="Z879" i="19" s="1"/>
  <c r="M103" i="42"/>
  <c r="Z647" i="19" s="1"/>
  <c r="Z724" i="19" s="1"/>
  <c r="L103" i="42"/>
  <c r="Z492" i="19" s="1"/>
  <c r="Z569" i="19" s="1"/>
  <c r="K103" i="42"/>
  <c r="Z337" i="19" s="1"/>
  <c r="Z414" i="19" s="1"/>
  <c r="J103" i="42"/>
  <c r="Z182" i="19" s="1"/>
  <c r="Z259" i="19" s="1"/>
  <c r="H103" i="42"/>
  <c r="G103" i="42"/>
  <c r="F103" i="42"/>
  <c r="N101" i="42"/>
  <c r="Z799" i="19" s="1"/>
  <c r="Z876" i="19" s="1"/>
  <c r="M101" i="42"/>
  <c r="Z644" i="19" s="1"/>
  <c r="Z721" i="19" s="1"/>
  <c r="L101" i="42"/>
  <c r="Z489" i="19" s="1"/>
  <c r="Z566" i="19" s="1"/>
  <c r="K101" i="42"/>
  <c r="Z334" i="19" s="1"/>
  <c r="Z411" i="19" s="1"/>
  <c r="J101" i="42"/>
  <c r="Z179" i="19" s="1"/>
  <c r="Z256" i="19" s="1"/>
  <c r="I101" i="42"/>
  <c r="Z24" i="19" s="1"/>
  <c r="Z101" i="19" s="1"/>
  <c r="H101" i="42"/>
  <c r="G101" i="42"/>
  <c r="N100" i="42"/>
  <c r="Z798" i="19" s="1"/>
  <c r="Z875" i="19" s="1"/>
  <c r="M100" i="42"/>
  <c r="Z643" i="19" s="1"/>
  <c r="Z720" i="19" s="1"/>
  <c r="L100" i="42"/>
  <c r="Z488" i="19" s="1"/>
  <c r="Z565" i="19" s="1"/>
  <c r="K100" i="42"/>
  <c r="Z333" i="19" s="1"/>
  <c r="Z410" i="19" s="1"/>
  <c r="J100" i="42"/>
  <c r="I100" i="42"/>
  <c r="Z23" i="19" s="1"/>
  <c r="Z100" i="19" s="1"/>
  <c r="H100" i="42"/>
  <c r="G100" i="42"/>
  <c r="N99" i="42"/>
  <c r="Z797" i="19" s="1"/>
  <c r="Z874" i="19" s="1"/>
  <c r="M99" i="42"/>
  <c r="Z642" i="19" s="1"/>
  <c r="Z719" i="19" s="1"/>
  <c r="L99" i="42"/>
  <c r="Z487" i="19" s="1"/>
  <c r="Z564" i="19" s="1"/>
  <c r="K99" i="42"/>
  <c r="Z332" i="19" s="1"/>
  <c r="Z409" i="19" s="1"/>
  <c r="J99" i="42"/>
  <c r="Z177" i="19" s="1"/>
  <c r="Z254" i="19" s="1"/>
  <c r="I99" i="42"/>
  <c r="Z22" i="19" s="1"/>
  <c r="Z99" i="19" s="1"/>
  <c r="H99" i="42"/>
  <c r="G99" i="42"/>
  <c r="N98" i="42"/>
  <c r="Z796" i="19" s="1"/>
  <c r="Z873" i="19" s="1"/>
  <c r="M98" i="42"/>
  <c r="Z641" i="19" s="1"/>
  <c r="Z718" i="19" s="1"/>
  <c r="L98" i="42"/>
  <c r="Z486" i="19" s="1"/>
  <c r="Z563" i="19" s="1"/>
  <c r="K98" i="42"/>
  <c r="Z331" i="19" s="1"/>
  <c r="Z408" i="19" s="1"/>
  <c r="J98" i="42"/>
  <c r="I98" i="42"/>
  <c r="Z21" i="19" s="1"/>
  <c r="Z98" i="19" s="1"/>
  <c r="H98" i="42"/>
  <c r="G98" i="42"/>
  <c r="N97" i="42"/>
  <c r="Z795" i="19" s="1"/>
  <c r="Z872" i="19" s="1"/>
  <c r="M97" i="42"/>
  <c r="Z640" i="19" s="1"/>
  <c r="Z717" i="19" s="1"/>
  <c r="L97" i="42"/>
  <c r="Z485" i="19" s="1"/>
  <c r="Z562" i="19" s="1"/>
  <c r="K97" i="42"/>
  <c r="Z330" i="19" s="1"/>
  <c r="Z407" i="19" s="1"/>
  <c r="J97" i="42"/>
  <c r="Z175" i="19" s="1"/>
  <c r="Z252" i="19" s="1"/>
  <c r="I97" i="42"/>
  <c r="Z20" i="19" s="1"/>
  <c r="Z97" i="19" s="1"/>
  <c r="H97" i="42"/>
  <c r="G97" i="42"/>
  <c r="F97" i="42"/>
  <c r="N96" i="42"/>
  <c r="Z793" i="19" s="1"/>
  <c r="L96" i="42"/>
  <c r="Z483" i="19" s="1"/>
  <c r="J96" i="42"/>
  <c r="Z173" i="19" s="1"/>
  <c r="N95" i="42"/>
  <c r="Z792" i="19" s="1"/>
  <c r="Z869" i="19" s="1"/>
  <c r="M95" i="42"/>
  <c r="Z637" i="19" s="1"/>
  <c r="Z714" i="19" s="1"/>
  <c r="L95" i="42"/>
  <c r="Z482" i="19" s="1"/>
  <c r="Z559" i="19" s="1"/>
  <c r="K95" i="42"/>
  <c r="Z327" i="19" s="1"/>
  <c r="Z404" i="19" s="1"/>
  <c r="J95" i="42"/>
  <c r="Z172" i="19" s="1"/>
  <c r="Z249" i="19" s="1"/>
  <c r="H95" i="42"/>
  <c r="G95" i="42"/>
  <c r="N94" i="42"/>
  <c r="Z791" i="19" s="1"/>
  <c r="Z868" i="19" s="1"/>
  <c r="M94" i="42"/>
  <c r="Z636" i="19" s="1"/>
  <c r="Z713" i="19" s="1"/>
  <c r="L94" i="42"/>
  <c r="Z481" i="19" s="1"/>
  <c r="Z558" i="19" s="1"/>
  <c r="K94" i="42"/>
  <c r="Z326" i="19" s="1"/>
  <c r="Z403" i="19" s="1"/>
  <c r="J94" i="42"/>
  <c r="Z171" i="19" s="1"/>
  <c r="Z248" i="19" s="1"/>
  <c r="H94" i="42"/>
  <c r="G94" i="42"/>
  <c r="N93" i="42"/>
  <c r="Z790" i="19" s="1"/>
  <c r="Z867" i="19" s="1"/>
  <c r="M93" i="42"/>
  <c r="Z635" i="19" s="1"/>
  <c r="L93" i="42"/>
  <c r="Z480" i="19" s="1"/>
  <c r="Z557" i="19" s="1"/>
  <c r="K93" i="42"/>
  <c r="Z325" i="19" s="1"/>
  <c r="J93" i="42"/>
  <c r="Z170" i="19" s="1"/>
  <c r="Z247" i="19" s="1"/>
  <c r="H93" i="42"/>
  <c r="G93" i="42"/>
  <c r="N92" i="42"/>
  <c r="Z789" i="19" s="1"/>
  <c r="Z866" i="19" s="1"/>
  <c r="M92" i="42"/>
  <c r="Z634" i="19" s="1"/>
  <c r="Z711" i="19" s="1"/>
  <c r="L92" i="42"/>
  <c r="Z479" i="19" s="1"/>
  <c r="Z556" i="19" s="1"/>
  <c r="K92" i="42"/>
  <c r="J92" i="42"/>
  <c r="Z169" i="19" s="1"/>
  <c r="Z246" i="19" s="1"/>
  <c r="H92" i="42"/>
  <c r="G92" i="42"/>
  <c r="N91" i="42"/>
  <c r="Z788" i="19" s="1"/>
  <c r="Z865" i="19" s="1"/>
  <c r="M91" i="42"/>
  <c r="Z633" i="19" s="1"/>
  <c r="Z710" i="19" s="1"/>
  <c r="L91" i="42"/>
  <c r="Z478" i="19" s="1"/>
  <c r="Z555" i="19" s="1"/>
  <c r="K91" i="42"/>
  <c r="Z323" i="19" s="1"/>
  <c r="Z400" i="19" s="1"/>
  <c r="J91" i="42"/>
  <c r="Z168" i="19" s="1"/>
  <c r="Z245" i="19" s="1"/>
  <c r="H91" i="42"/>
  <c r="G91" i="42"/>
  <c r="F91" i="42"/>
  <c r="N90" i="42"/>
  <c r="M90" i="42"/>
  <c r="L90" i="42"/>
  <c r="K90" i="42"/>
  <c r="J90" i="42"/>
  <c r="N81" i="42"/>
  <c r="N24" i="15" s="1"/>
  <c r="N39" i="15" s="1"/>
  <c r="L81" i="42"/>
  <c r="L24" i="15" s="1"/>
  <c r="L39" i="15" s="1"/>
  <c r="J81" i="42"/>
  <c r="J24" i="15" s="1"/>
  <c r="J39" i="15" s="1"/>
  <c r="H81" i="42"/>
  <c r="N79" i="42"/>
  <c r="M79" i="42"/>
  <c r="L79" i="42"/>
  <c r="K79" i="42"/>
  <c r="J79" i="42"/>
  <c r="I78" i="42"/>
  <c r="H78" i="42"/>
  <c r="G78" i="42"/>
  <c r="I77" i="42"/>
  <c r="H77" i="42"/>
  <c r="G77" i="42"/>
  <c r="I76" i="42"/>
  <c r="H76" i="42"/>
  <c r="G76" i="42"/>
  <c r="I75" i="42"/>
  <c r="I79" i="42" s="1"/>
  <c r="I150" i="42" s="1"/>
  <c r="Z81" i="19" s="1"/>
  <c r="Z158" i="19" s="1"/>
  <c r="H75" i="42"/>
  <c r="G75" i="42"/>
  <c r="I74" i="42"/>
  <c r="H74" i="42"/>
  <c r="G74" i="42"/>
  <c r="F74" i="42"/>
  <c r="N73" i="42"/>
  <c r="M73" i="42"/>
  <c r="L73" i="42"/>
  <c r="K73" i="42"/>
  <c r="J73" i="42"/>
  <c r="I72" i="42"/>
  <c r="I143" i="42" s="1"/>
  <c r="Z73" i="19" s="1"/>
  <c r="Z150" i="19" s="1"/>
  <c r="H72" i="42"/>
  <c r="G72" i="42"/>
  <c r="I71" i="42"/>
  <c r="I142" i="42" s="1"/>
  <c r="Z72" i="19" s="1"/>
  <c r="Z149" i="19" s="1"/>
  <c r="H71" i="42"/>
  <c r="G71" i="42"/>
  <c r="I70" i="42"/>
  <c r="I141" i="42" s="1"/>
  <c r="Z71" i="19" s="1"/>
  <c r="Z148" i="19" s="1"/>
  <c r="H70" i="42"/>
  <c r="G70" i="42"/>
  <c r="I69" i="42"/>
  <c r="I140" i="42" s="1"/>
  <c r="Z70" i="19" s="1"/>
  <c r="Z147" i="19" s="1"/>
  <c r="H69" i="42"/>
  <c r="G69" i="42"/>
  <c r="I68" i="42"/>
  <c r="I139" i="42" s="1"/>
  <c r="Z69" i="19" s="1"/>
  <c r="Z146" i="19" s="1"/>
  <c r="H68" i="42"/>
  <c r="G68" i="42"/>
  <c r="F68" i="42"/>
  <c r="N67" i="42"/>
  <c r="M67" i="42"/>
  <c r="L67" i="42"/>
  <c r="K67" i="42"/>
  <c r="J67" i="42"/>
  <c r="I66" i="42"/>
  <c r="H66" i="42"/>
  <c r="G66" i="42"/>
  <c r="I65" i="42"/>
  <c r="I136" i="42" s="1"/>
  <c r="Z65" i="19" s="1"/>
  <c r="Z142" i="19" s="1"/>
  <c r="H65" i="42"/>
  <c r="G65" i="42"/>
  <c r="I64" i="42"/>
  <c r="H64" i="42"/>
  <c r="G64" i="42"/>
  <c r="I63" i="42"/>
  <c r="I134" i="42" s="1"/>
  <c r="Z63" i="19" s="1"/>
  <c r="Z140" i="19" s="1"/>
  <c r="H63" i="42"/>
  <c r="G63" i="42"/>
  <c r="I62" i="42"/>
  <c r="H62" i="42"/>
  <c r="G62" i="42"/>
  <c r="F62" i="42"/>
  <c r="N61" i="42"/>
  <c r="M61" i="42"/>
  <c r="L61" i="42"/>
  <c r="K61" i="42"/>
  <c r="J61" i="42"/>
  <c r="I60" i="42"/>
  <c r="I131" i="42" s="1"/>
  <c r="Z59" i="19" s="1"/>
  <c r="Z136" i="19" s="1"/>
  <c r="H60" i="42"/>
  <c r="G60" i="42"/>
  <c r="I59" i="42"/>
  <c r="I130" i="42" s="1"/>
  <c r="Z58" i="19" s="1"/>
  <c r="Z135" i="19" s="1"/>
  <c r="H59" i="42"/>
  <c r="G59" i="42"/>
  <c r="I58" i="42"/>
  <c r="I129" i="42" s="1"/>
  <c r="Z57" i="19" s="1"/>
  <c r="Z134" i="19" s="1"/>
  <c r="H58" i="42"/>
  <c r="G58" i="42"/>
  <c r="I57" i="42"/>
  <c r="I128" i="42" s="1"/>
  <c r="Z56" i="19" s="1"/>
  <c r="Z133" i="19" s="1"/>
  <c r="H57" i="42"/>
  <c r="G57" i="42"/>
  <c r="I56" i="42"/>
  <c r="I127" i="42" s="1"/>
  <c r="Z55" i="19" s="1"/>
  <c r="Z132" i="19" s="1"/>
  <c r="H56" i="42"/>
  <c r="G56" i="42"/>
  <c r="F56" i="42"/>
  <c r="N55" i="42"/>
  <c r="M55" i="42"/>
  <c r="L55" i="42"/>
  <c r="K55" i="42"/>
  <c r="J55" i="42"/>
  <c r="I54" i="42"/>
  <c r="H54" i="42"/>
  <c r="G54" i="42"/>
  <c r="I53" i="42"/>
  <c r="H53" i="42"/>
  <c r="G53" i="42"/>
  <c r="I52" i="42"/>
  <c r="H52" i="42"/>
  <c r="G52" i="42"/>
  <c r="I51" i="42"/>
  <c r="I55" i="42" s="1"/>
  <c r="I126" i="42" s="1"/>
  <c r="Z53" i="19" s="1"/>
  <c r="Z130" i="19" s="1"/>
  <c r="H51" i="42"/>
  <c r="G51" i="42"/>
  <c r="I50" i="42"/>
  <c r="H50" i="42"/>
  <c r="G50" i="42"/>
  <c r="F50" i="42"/>
  <c r="N49" i="42"/>
  <c r="M49" i="42"/>
  <c r="L49" i="42"/>
  <c r="K49" i="42"/>
  <c r="J49" i="42"/>
  <c r="I48" i="42"/>
  <c r="I119" i="42" s="1"/>
  <c r="Z45" i="19" s="1"/>
  <c r="Z122" i="19" s="1"/>
  <c r="H48" i="42"/>
  <c r="G48" i="42"/>
  <c r="I47" i="42"/>
  <c r="I118" i="42" s="1"/>
  <c r="Z44" i="19" s="1"/>
  <c r="Z121" i="19" s="1"/>
  <c r="H47" i="42"/>
  <c r="G47" i="42"/>
  <c r="I46" i="42"/>
  <c r="I117" i="42" s="1"/>
  <c r="Z43" i="19" s="1"/>
  <c r="Z120" i="19" s="1"/>
  <c r="H46" i="42"/>
  <c r="G46" i="42"/>
  <c r="I45" i="42"/>
  <c r="I116" i="42" s="1"/>
  <c r="Z42" i="19" s="1"/>
  <c r="Z119" i="19" s="1"/>
  <c r="H45" i="42"/>
  <c r="G45" i="42"/>
  <c r="I44" i="42"/>
  <c r="I115" i="42" s="1"/>
  <c r="Z41" i="19" s="1"/>
  <c r="Z118" i="19" s="1"/>
  <c r="H44" i="42"/>
  <c r="G44" i="42"/>
  <c r="F44" i="42"/>
  <c r="N43" i="42"/>
  <c r="M43" i="42"/>
  <c r="L43" i="42"/>
  <c r="K43" i="42"/>
  <c r="J43" i="42"/>
  <c r="I42" i="42"/>
  <c r="H42" i="42"/>
  <c r="G42" i="42"/>
  <c r="I41" i="42"/>
  <c r="I112" i="42" s="1"/>
  <c r="Z37" i="19" s="1"/>
  <c r="Z114" i="19" s="1"/>
  <c r="H41" i="42"/>
  <c r="G41" i="42"/>
  <c r="I40" i="42"/>
  <c r="H40" i="42"/>
  <c r="G40" i="42"/>
  <c r="I39" i="42"/>
  <c r="I110" i="42" s="1"/>
  <c r="Z35" i="19" s="1"/>
  <c r="Z112" i="19" s="1"/>
  <c r="H39" i="42"/>
  <c r="G39" i="42"/>
  <c r="I38" i="42"/>
  <c r="H38" i="42"/>
  <c r="G38" i="42"/>
  <c r="F38" i="42"/>
  <c r="N37" i="42"/>
  <c r="M37" i="42"/>
  <c r="L37" i="42"/>
  <c r="K37" i="42"/>
  <c r="J37" i="42"/>
  <c r="I36" i="42"/>
  <c r="I107" i="42" s="1"/>
  <c r="Z31" i="19" s="1"/>
  <c r="Z108" i="19" s="1"/>
  <c r="H36" i="42"/>
  <c r="G36" i="42"/>
  <c r="I35" i="42"/>
  <c r="I106" i="42" s="1"/>
  <c r="Z30" i="19" s="1"/>
  <c r="Z107" i="19" s="1"/>
  <c r="H35" i="42"/>
  <c r="G35" i="42"/>
  <c r="I34" i="42"/>
  <c r="I105" i="42" s="1"/>
  <c r="Z29" i="19" s="1"/>
  <c r="Z106" i="19" s="1"/>
  <c r="H34" i="42"/>
  <c r="G34" i="42"/>
  <c r="I33" i="42"/>
  <c r="I104" i="42" s="1"/>
  <c r="Z28" i="19" s="1"/>
  <c r="Z105" i="19" s="1"/>
  <c r="H33" i="42"/>
  <c r="G33" i="42"/>
  <c r="I32" i="42"/>
  <c r="I103" i="42" s="1"/>
  <c r="Z27" i="19" s="1"/>
  <c r="Z104" i="19" s="1"/>
  <c r="H32" i="42"/>
  <c r="G32" i="42"/>
  <c r="F32" i="42"/>
  <c r="N31" i="42"/>
  <c r="M31" i="42"/>
  <c r="L31" i="42"/>
  <c r="K31" i="42"/>
  <c r="J31" i="42"/>
  <c r="I30" i="42"/>
  <c r="H30" i="42"/>
  <c r="G30" i="42"/>
  <c r="I29" i="42"/>
  <c r="H29" i="42"/>
  <c r="G29" i="42"/>
  <c r="I28" i="42"/>
  <c r="H28" i="42"/>
  <c r="G28" i="42"/>
  <c r="I27" i="42"/>
  <c r="I31" i="42" s="1"/>
  <c r="I102" i="42" s="1"/>
  <c r="Z25" i="19" s="1"/>
  <c r="Z102" i="19" s="1"/>
  <c r="H27" i="42"/>
  <c r="G27" i="42"/>
  <c r="I26" i="42"/>
  <c r="H26" i="42"/>
  <c r="G26" i="42"/>
  <c r="F26" i="42"/>
  <c r="N25" i="42"/>
  <c r="M25" i="42"/>
  <c r="L25" i="42"/>
  <c r="K25" i="42"/>
  <c r="J25" i="42"/>
  <c r="I24" i="42"/>
  <c r="I95" i="42" s="1"/>
  <c r="Z17" i="19" s="1"/>
  <c r="Z94" i="19" s="1"/>
  <c r="H24" i="42"/>
  <c r="G24" i="42"/>
  <c r="I23" i="42"/>
  <c r="I94" i="42" s="1"/>
  <c r="Z16" i="19" s="1"/>
  <c r="Z93" i="19" s="1"/>
  <c r="H23" i="42"/>
  <c r="G23" i="42"/>
  <c r="I22" i="42"/>
  <c r="I93" i="42" s="1"/>
  <c r="Z15" i="19" s="1"/>
  <c r="Z92" i="19" s="1"/>
  <c r="H22" i="42"/>
  <c r="G22" i="42"/>
  <c r="I21" i="42"/>
  <c r="I92" i="42" s="1"/>
  <c r="Z14" i="19" s="1"/>
  <c r="Z91" i="19" s="1"/>
  <c r="H21" i="42"/>
  <c r="G21" i="42"/>
  <c r="I20" i="42"/>
  <c r="I91" i="42" s="1"/>
  <c r="Z13" i="19" s="1"/>
  <c r="Z90" i="19" s="1"/>
  <c r="H20" i="42"/>
  <c r="G20" i="42"/>
  <c r="F20" i="42"/>
  <c r="N19" i="42"/>
  <c r="M19" i="42"/>
  <c r="L19" i="42"/>
  <c r="K19" i="42"/>
  <c r="J19" i="42"/>
  <c r="B14" i="42"/>
  <c r="F12" i="42"/>
  <c r="N9" i="42"/>
  <c r="M9" i="42"/>
  <c r="L9" i="42"/>
  <c r="K9" i="42"/>
  <c r="J9" i="42"/>
  <c r="B6" i="42"/>
  <c r="B2" i="42"/>
  <c r="B1" i="42"/>
  <c r="H29" i="21" s="1"/>
  <c r="F169" i="41"/>
  <c r="F168" i="41"/>
  <c r="F167" i="41"/>
  <c r="F166" i="41"/>
  <c r="N165" i="41"/>
  <c r="M165" i="41"/>
  <c r="L165" i="41"/>
  <c r="K165" i="41"/>
  <c r="J165" i="41"/>
  <c r="F164" i="41"/>
  <c r="F162" i="41"/>
  <c r="F161" i="41"/>
  <c r="F160" i="41"/>
  <c r="F159" i="41"/>
  <c r="N158" i="41"/>
  <c r="M158" i="41"/>
  <c r="L158" i="41"/>
  <c r="K158" i="41"/>
  <c r="J158" i="41"/>
  <c r="F157" i="41"/>
  <c r="B155" i="41"/>
  <c r="N149" i="41"/>
  <c r="Y855" i="19" s="1"/>
  <c r="Y932" i="19" s="1"/>
  <c r="M149" i="41"/>
  <c r="Y700" i="19" s="1"/>
  <c r="Y777" i="19" s="1"/>
  <c r="L149" i="41"/>
  <c r="Y545" i="19" s="1"/>
  <c r="Y622" i="19" s="1"/>
  <c r="K149" i="41"/>
  <c r="Y390" i="19" s="1"/>
  <c r="Y467" i="19" s="1"/>
  <c r="J149" i="41"/>
  <c r="Y235" i="19" s="1"/>
  <c r="Y312" i="19" s="1"/>
  <c r="H149" i="41"/>
  <c r="G149" i="41"/>
  <c r="N148" i="41"/>
  <c r="Y854" i="19" s="1"/>
  <c r="Y931" i="19" s="1"/>
  <c r="M148" i="41"/>
  <c r="Y699" i="19" s="1"/>
  <c r="Y776" i="19" s="1"/>
  <c r="L148" i="41"/>
  <c r="Y544" i="19" s="1"/>
  <c r="Y621" i="19" s="1"/>
  <c r="K148" i="41"/>
  <c r="Y389" i="19" s="1"/>
  <c r="Y466" i="19" s="1"/>
  <c r="J148" i="41"/>
  <c r="Y234" i="19" s="1"/>
  <c r="Y311" i="19" s="1"/>
  <c r="H148" i="41"/>
  <c r="G148" i="41"/>
  <c r="N147" i="41"/>
  <c r="Y853" i="19" s="1"/>
  <c r="Y930" i="19" s="1"/>
  <c r="M147" i="41"/>
  <c r="Y698" i="19" s="1"/>
  <c r="Y775" i="19" s="1"/>
  <c r="L147" i="41"/>
  <c r="Y543" i="19" s="1"/>
  <c r="Y620" i="19" s="1"/>
  <c r="K147" i="41"/>
  <c r="Y388" i="19" s="1"/>
  <c r="Y465" i="19" s="1"/>
  <c r="J147" i="41"/>
  <c r="Y233" i="19" s="1"/>
  <c r="Y310" i="19" s="1"/>
  <c r="H147" i="41"/>
  <c r="G147" i="41"/>
  <c r="N146" i="41"/>
  <c r="Y852" i="19" s="1"/>
  <c r="Y929" i="19" s="1"/>
  <c r="M146" i="41"/>
  <c r="Y697" i="19" s="1"/>
  <c r="Y774" i="19" s="1"/>
  <c r="L146" i="41"/>
  <c r="Y542" i="19" s="1"/>
  <c r="Y619" i="19" s="1"/>
  <c r="K146" i="41"/>
  <c r="Y387" i="19" s="1"/>
  <c r="Y464" i="19" s="1"/>
  <c r="J146" i="41"/>
  <c r="Y232" i="19" s="1"/>
  <c r="Y309" i="19" s="1"/>
  <c r="H146" i="41"/>
  <c r="G146" i="41"/>
  <c r="N145" i="41"/>
  <c r="Y851" i="19" s="1"/>
  <c r="Y928" i="19" s="1"/>
  <c r="M145" i="41"/>
  <c r="Y696" i="19" s="1"/>
  <c r="Y773" i="19" s="1"/>
  <c r="L145" i="41"/>
  <c r="Y541" i="19" s="1"/>
  <c r="Y618" i="19" s="1"/>
  <c r="K145" i="41"/>
  <c r="Y386" i="19" s="1"/>
  <c r="Y463" i="19" s="1"/>
  <c r="J145" i="41"/>
  <c r="Y231" i="19" s="1"/>
  <c r="Y308" i="19" s="1"/>
  <c r="H145" i="41"/>
  <c r="G145" i="41"/>
  <c r="F145" i="41"/>
  <c r="N143" i="41"/>
  <c r="Y848" i="19" s="1"/>
  <c r="Y925" i="19" s="1"/>
  <c r="M143" i="41"/>
  <c r="Y693" i="19" s="1"/>
  <c r="Y770" i="19" s="1"/>
  <c r="L143" i="41"/>
  <c r="Y538" i="19" s="1"/>
  <c r="Y615" i="19" s="1"/>
  <c r="K143" i="41"/>
  <c r="Y383" i="19" s="1"/>
  <c r="Y460" i="19" s="1"/>
  <c r="J143" i="41"/>
  <c r="Y228" i="19" s="1"/>
  <c r="Y305" i="19" s="1"/>
  <c r="H143" i="41"/>
  <c r="G143" i="41"/>
  <c r="N142" i="41"/>
  <c r="Y847" i="19" s="1"/>
  <c r="Y924" i="19" s="1"/>
  <c r="M142" i="41"/>
  <c r="Y692" i="19" s="1"/>
  <c r="Y769" i="19" s="1"/>
  <c r="L142" i="41"/>
  <c r="Y537" i="19" s="1"/>
  <c r="Y614" i="19" s="1"/>
  <c r="K142" i="41"/>
  <c r="Y382" i="19" s="1"/>
  <c r="Y459" i="19" s="1"/>
  <c r="J142" i="41"/>
  <c r="Y227" i="19" s="1"/>
  <c r="Y304" i="19" s="1"/>
  <c r="I142" i="41"/>
  <c r="Y72" i="19" s="1"/>
  <c r="Y149" i="19" s="1"/>
  <c r="H142" i="41"/>
  <c r="G142" i="41"/>
  <c r="N141" i="41"/>
  <c r="Y846" i="19" s="1"/>
  <c r="Y923" i="19" s="1"/>
  <c r="M141" i="41"/>
  <c r="Y691" i="19" s="1"/>
  <c r="Y768" i="19" s="1"/>
  <c r="L141" i="41"/>
  <c r="Y536" i="19" s="1"/>
  <c r="Y613" i="19" s="1"/>
  <c r="K141" i="41"/>
  <c r="Y381" i="19" s="1"/>
  <c r="Y458" i="19" s="1"/>
  <c r="J141" i="41"/>
  <c r="Y226" i="19" s="1"/>
  <c r="Y303" i="19" s="1"/>
  <c r="H141" i="41"/>
  <c r="G141" i="41"/>
  <c r="N140" i="41"/>
  <c r="Y845" i="19" s="1"/>
  <c r="Y922" i="19" s="1"/>
  <c r="M140" i="41"/>
  <c r="Y690" i="19" s="1"/>
  <c r="Y767" i="19" s="1"/>
  <c r="L140" i="41"/>
  <c r="Y535" i="19" s="1"/>
  <c r="Y612" i="19" s="1"/>
  <c r="K140" i="41"/>
  <c r="Y380" i="19" s="1"/>
  <c r="Y457" i="19" s="1"/>
  <c r="J140" i="41"/>
  <c r="Y225" i="19" s="1"/>
  <c r="Y302" i="19" s="1"/>
  <c r="I140" i="41"/>
  <c r="Y70" i="19" s="1"/>
  <c r="Y147" i="19" s="1"/>
  <c r="H140" i="41"/>
  <c r="G140" i="41"/>
  <c r="N139" i="41"/>
  <c r="Y844" i="19" s="1"/>
  <c r="Y921" i="19" s="1"/>
  <c r="M139" i="41"/>
  <c r="Y689" i="19" s="1"/>
  <c r="Y766" i="19" s="1"/>
  <c r="L139" i="41"/>
  <c r="Y534" i="19" s="1"/>
  <c r="Y611" i="19" s="1"/>
  <c r="K139" i="41"/>
  <c r="Y379" i="19" s="1"/>
  <c r="Y456" i="19" s="1"/>
  <c r="J139" i="41"/>
  <c r="Y224" i="19" s="1"/>
  <c r="Y301" i="19" s="1"/>
  <c r="H139" i="41"/>
  <c r="G139" i="41"/>
  <c r="F139" i="41"/>
  <c r="N137" i="41"/>
  <c r="Y841" i="19" s="1"/>
  <c r="Y918" i="19" s="1"/>
  <c r="M137" i="41"/>
  <c r="Y686" i="19" s="1"/>
  <c r="Y763" i="19" s="1"/>
  <c r="L137" i="41"/>
  <c r="Y531" i="19" s="1"/>
  <c r="Y608" i="19" s="1"/>
  <c r="K137" i="41"/>
  <c r="Y376" i="19" s="1"/>
  <c r="Y453" i="19" s="1"/>
  <c r="J137" i="41"/>
  <c r="Y221" i="19" s="1"/>
  <c r="Y298" i="19" s="1"/>
  <c r="H137" i="41"/>
  <c r="G137" i="41"/>
  <c r="N136" i="41"/>
  <c r="Y840" i="19" s="1"/>
  <c r="Y917" i="19" s="1"/>
  <c r="M136" i="41"/>
  <c r="Y685" i="19" s="1"/>
  <c r="Y762" i="19" s="1"/>
  <c r="L136" i="41"/>
  <c r="Y530" i="19" s="1"/>
  <c r="Y607" i="19" s="1"/>
  <c r="K136" i="41"/>
  <c r="Y375" i="19" s="1"/>
  <c r="Y452" i="19" s="1"/>
  <c r="J136" i="41"/>
  <c r="Y220" i="19" s="1"/>
  <c r="Y297" i="19" s="1"/>
  <c r="H136" i="41"/>
  <c r="G136" i="41"/>
  <c r="N135" i="41"/>
  <c r="Y839" i="19" s="1"/>
  <c r="Y916" i="19" s="1"/>
  <c r="M135" i="41"/>
  <c r="Y684" i="19" s="1"/>
  <c r="Y761" i="19" s="1"/>
  <c r="L135" i="41"/>
  <c r="Y529" i="19" s="1"/>
  <c r="Y606" i="19" s="1"/>
  <c r="K135" i="41"/>
  <c r="Y374" i="19" s="1"/>
  <c r="Y451" i="19" s="1"/>
  <c r="J135" i="41"/>
  <c r="Y219" i="19" s="1"/>
  <c r="Y296" i="19" s="1"/>
  <c r="H135" i="41"/>
  <c r="G135" i="41"/>
  <c r="N134" i="41"/>
  <c r="Y838" i="19" s="1"/>
  <c r="Y915" i="19" s="1"/>
  <c r="M134" i="41"/>
  <c r="Y683" i="19" s="1"/>
  <c r="Y760" i="19" s="1"/>
  <c r="L134" i="41"/>
  <c r="Y528" i="19" s="1"/>
  <c r="Y605" i="19" s="1"/>
  <c r="K134" i="41"/>
  <c r="Y373" i="19" s="1"/>
  <c r="Y450" i="19" s="1"/>
  <c r="J134" i="41"/>
  <c r="Y218" i="19" s="1"/>
  <c r="Y295" i="19" s="1"/>
  <c r="H134" i="41"/>
  <c r="G134" i="41"/>
  <c r="N133" i="41"/>
  <c r="Y837" i="19" s="1"/>
  <c r="Y914" i="19" s="1"/>
  <c r="M133" i="41"/>
  <c r="Y682" i="19" s="1"/>
  <c r="Y759" i="19" s="1"/>
  <c r="L133" i="41"/>
  <c r="Y527" i="19" s="1"/>
  <c r="Y604" i="19" s="1"/>
  <c r="K133" i="41"/>
  <c r="Y372" i="19" s="1"/>
  <c r="Y449" i="19" s="1"/>
  <c r="J133" i="41"/>
  <c r="Y217" i="19" s="1"/>
  <c r="Y294" i="19" s="1"/>
  <c r="H133" i="41"/>
  <c r="G133" i="41"/>
  <c r="F133" i="41"/>
  <c r="N131" i="41"/>
  <c r="Y834" i="19" s="1"/>
  <c r="Y911" i="19" s="1"/>
  <c r="M131" i="41"/>
  <c r="Y679" i="19" s="1"/>
  <c r="Y756" i="19" s="1"/>
  <c r="L131" i="41"/>
  <c r="Y524" i="19" s="1"/>
  <c r="Y601" i="19" s="1"/>
  <c r="K131" i="41"/>
  <c r="Y369" i="19" s="1"/>
  <c r="Y446" i="19" s="1"/>
  <c r="J131" i="41"/>
  <c r="Y214" i="19" s="1"/>
  <c r="Y291" i="19" s="1"/>
  <c r="H131" i="41"/>
  <c r="G131" i="41"/>
  <c r="N130" i="41"/>
  <c r="Y833" i="19" s="1"/>
  <c r="Y910" i="19" s="1"/>
  <c r="M130" i="41"/>
  <c r="Y678" i="19" s="1"/>
  <c r="Y755" i="19" s="1"/>
  <c r="L130" i="41"/>
  <c r="Y523" i="19" s="1"/>
  <c r="Y600" i="19" s="1"/>
  <c r="K130" i="41"/>
  <c r="Y368" i="19" s="1"/>
  <c r="Y445" i="19" s="1"/>
  <c r="J130" i="41"/>
  <c r="Y213" i="19" s="1"/>
  <c r="Y290" i="19" s="1"/>
  <c r="I130" i="41"/>
  <c r="Y58" i="19" s="1"/>
  <c r="Y135" i="19" s="1"/>
  <c r="H130" i="41"/>
  <c r="G130" i="41"/>
  <c r="N129" i="41"/>
  <c r="Y832" i="19" s="1"/>
  <c r="Y909" i="19" s="1"/>
  <c r="M129" i="41"/>
  <c r="Y677" i="19" s="1"/>
  <c r="Y754" i="19" s="1"/>
  <c r="L129" i="41"/>
  <c r="Y522" i="19" s="1"/>
  <c r="Y599" i="19" s="1"/>
  <c r="K129" i="41"/>
  <c r="Y367" i="19" s="1"/>
  <c r="Y444" i="19" s="1"/>
  <c r="J129" i="41"/>
  <c r="Y212" i="19" s="1"/>
  <c r="Y289" i="19" s="1"/>
  <c r="H129" i="41"/>
  <c r="G129" i="41"/>
  <c r="N128" i="41"/>
  <c r="Y831" i="19" s="1"/>
  <c r="Y908" i="19" s="1"/>
  <c r="M128" i="41"/>
  <c r="Y676" i="19" s="1"/>
  <c r="Y753" i="19" s="1"/>
  <c r="L128" i="41"/>
  <c r="Y521" i="19" s="1"/>
  <c r="Y598" i="19" s="1"/>
  <c r="K128" i="41"/>
  <c r="Y366" i="19" s="1"/>
  <c r="Y443" i="19" s="1"/>
  <c r="J128" i="41"/>
  <c r="Y211" i="19" s="1"/>
  <c r="Y288" i="19" s="1"/>
  <c r="I128" i="41"/>
  <c r="Y56" i="19" s="1"/>
  <c r="Y133" i="19" s="1"/>
  <c r="H128" i="41"/>
  <c r="G128" i="41"/>
  <c r="N127" i="41"/>
  <c r="Y830" i="19" s="1"/>
  <c r="Y907" i="19" s="1"/>
  <c r="M127" i="41"/>
  <c r="Y675" i="19" s="1"/>
  <c r="Y752" i="19" s="1"/>
  <c r="L127" i="41"/>
  <c r="Y520" i="19" s="1"/>
  <c r="Y597" i="19" s="1"/>
  <c r="K127" i="41"/>
  <c r="Y365" i="19" s="1"/>
  <c r="Y442" i="19" s="1"/>
  <c r="J127" i="41"/>
  <c r="Y210" i="19" s="1"/>
  <c r="Y287" i="19" s="1"/>
  <c r="H127" i="41"/>
  <c r="G127" i="41"/>
  <c r="F127" i="41"/>
  <c r="N125" i="41"/>
  <c r="Y827" i="19" s="1"/>
  <c r="Y904" i="19" s="1"/>
  <c r="M125" i="41"/>
  <c r="Y672" i="19" s="1"/>
  <c r="Y749" i="19" s="1"/>
  <c r="L125" i="41"/>
  <c r="Y517" i="19" s="1"/>
  <c r="Y594" i="19" s="1"/>
  <c r="K125" i="41"/>
  <c r="Y362" i="19" s="1"/>
  <c r="Y439" i="19" s="1"/>
  <c r="J125" i="41"/>
  <c r="Y207" i="19" s="1"/>
  <c r="Y284" i="19" s="1"/>
  <c r="H125" i="41"/>
  <c r="G125" i="41"/>
  <c r="N124" i="41"/>
  <c r="Y826" i="19" s="1"/>
  <c r="Y903" i="19" s="1"/>
  <c r="M124" i="41"/>
  <c r="Y671" i="19" s="1"/>
  <c r="Y748" i="19" s="1"/>
  <c r="L124" i="41"/>
  <c r="Y516" i="19" s="1"/>
  <c r="Y593" i="19" s="1"/>
  <c r="K124" i="41"/>
  <c r="Y361" i="19" s="1"/>
  <c r="Y438" i="19" s="1"/>
  <c r="J124" i="41"/>
  <c r="Y206" i="19" s="1"/>
  <c r="Y283" i="19" s="1"/>
  <c r="H124" i="41"/>
  <c r="G124" i="41"/>
  <c r="N123" i="41"/>
  <c r="Y825" i="19" s="1"/>
  <c r="Y902" i="19" s="1"/>
  <c r="M123" i="41"/>
  <c r="Y670" i="19" s="1"/>
  <c r="Y747" i="19" s="1"/>
  <c r="L123" i="41"/>
  <c r="Y515" i="19" s="1"/>
  <c r="Y592" i="19" s="1"/>
  <c r="K123" i="41"/>
  <c r="Y360" i="19" s="1"/>
  <c r="Y437" i="19" s="1"/>
  <c r="J123" i="41"/>
  <c r="Y205" i="19" s="1"/>
  <c r="Y282" i="19" s="1"/>
  <c r="H123" i="41"/>
  <c r="G123" i="41"/>
  <c r="N122" i="41"/>
  <c r="Y824" i="19" s="1"/>
  <c r="Y901" i="19" s="1"/>
  <c r="M122" i="41"/>
  <c r="Y669" i="19" s="1"/>
  <c r="Y746" i="19" s="1"/>
  <c r="L122" i="41"/>
  <c r="Y514" i="19" s="1"/>
  <c r="Y591" i="19" s="1"/>
  <c r="K122" i="41"/>
  <c r="Y359" i="19" s="1"/>
  <c r="Y436" i="19" s="1"/>
  <c r="J122" i="41"/>
  <c r="Y204" i="19" s="1"/>
  <c r="Y281" i="19" s="1"/>
  <c r="H122" i="41"/>
  <c r="G122" i="41"/>
  <c r="N121" i="41"/>
  <c r="Y823" i="19" s="1"/>
  <c r="Y900" i="19" s="1"/>
  <c r="M121" i="41"/>
  <c r="Y668" i="19" s="1"/>
  <c r="Y745" i="19" s="1"/>
  <c r="L121" i="41"/>
  <c r="Y513" i="19" s="1"/>
  <c r="Y590" i="19" s="1"/>
  <c r="K121" i="41"/>
  <c r="Y358" i="19" s="1"/>
  <c r="Y435" i="19" s="1"/>
  <c r="J121" i="41"/>
  <c r="Y203" i="19" s="1"/>
  <c r="Y280" i="19" s="1"/>
  <c r="H121" i="41"/>
  <c r="G121" i="41"/>
  <c r="F121" i="41"/>
  <c r="N119" i="41"/>
  <c r="Y820" i="19" s="1"/>
  <c r="Y897" i="19" s="1"/>
  <c r="M119" i="41"/>
  <c r="Y665" i="19" s="1"/>
  <c r="Y742" i="19" s="1"/>
  <c r="L119" i="41"/>
  <c r="Y510" i="19" s="1"/>
  <c r="Y587" i="19" s="1"/>
  <c r="K119" i="41"/>
  <c r="Y355" i="19" s="1"/>
  <c r="Y432" i="19" s="1"/>
  <c r="J119" i="41"/>
  <c r="Y200" i="19" s="1"/>
  <c r="Y277" i="19" s="1"/>
  <c r="H119" i="41"/>
  <c r="G119" i="41"/>
  <c r="N118" i="41"/>
  <c r="Y819" i="19" s="1"/>
  <c r="Y896" i="19" s="1"/>
  <c r="M118" i="41"/>
  <c r="Y664" i="19" s="1"/>
  <c r="Y741" i="19" s="1"/>
  <c r="L118" i="41"/>
  <c r="Y509" i="19" s="1"/>
  <c r="Y586" i="19" s="1"/>
  <c r="K118" i="41"/>
  <c r="Y354" i="19" s="1"/>
  <c r="Y431" i="19" s="1"/>
  <c r="J118" i="41"/>
  <c r="Y199" i="19" s="1"/>
  <c r="Y276" i="19" s="1"/>
  <c r="I118" i="41"/>
  <c r="Y44" i="19" s="1"/>
  <c r="Y121" i="19" s="1"/>
  <c r="H118" i="41"/>
  <c r="G118" i="41"/>
  <c r="N117" i="41"/>
  <c r="Y818" i="19" s="1"/>
  <c r="Y895" i="19" s="1"/>
  <c r="M117" i="41"/>
  <c r="Y663" i="19" s="1"/>
  <c r="Y740" i="19" s="1"/>
  <c r="L117" i="41"/>
  <c r="Y508" i="19" s="1"/>
  <c r="Y585" i="19" s="1"/>
  <c r="K117" i="41"/>
  <c r="Y353" i="19" s="1"/>
  <c r="Y430" i="19" s="1"/>
  <c r="J117" i="41"/>
  <c r="Y198" i="19" s="1"/>
  <c r="Y275" i="19" s="1"/>
  <c r="H117" i="41"/>
  <c r="G117" i="41"/>
  <c r="N116" i="41"/>
  <c r="Y817" i="19" s="1"/>
  <c r="Y894" i="19" s="1"/>
  <c r="M116" i="41"/>
  <c r="Y662" i="19" s="1"/>
  <c r="Y739" i="19" s="1"/>
  <c r="L116" i="41"/>
  <c r="Y507" i="19" s="1"/>
  <c r="Y584" i="19" s="1"/>
  <c r="K116" i="41"/>
  <c r="Y352" i="19" s="1"/>
  <c r="Y429" i="19" s="1"/>
  <c r="J116" i="41"/>
  <c r="Y197" i="19" s="1"/>
  <c r="Y274" i="19" s="1"/>
  <c r="I116" i="41"/>
  <c r="Y42" i="19" s="1"/>
  <c r="Y119" i="19" s="1"/>
  <c r="H116" i="41"/>
  <c r="G116" i="41"/>
  <c r="N115" i="41"/>
  <c r="Y816" i="19" s="1"/>
  <c r="Y893" i="19" s="1"/>
  <c r="M115" i="41"/>
  <c r="Y661" i="19" s="1"/>
  <c r="Y738" i="19" s="1"/>
  <c r="L115" i="41"/>
  <c r="Y506" i="19" s="1"/>
  <c r="Y583" i="19" s="1"/>
  <c r="K115" i="41"/>
  <c r="Y351" i="19" s="1"/>
  <c r="Y428" i="19" s="1"/>
  <c r="J115" i="41"/>
  <c r="Y196" i="19" s="1"/>
  <c r="Y273" i="19" s="1"/>
  <c r="H115" i="41"/>
  <c r="G115" i="41"/>
  <c r="F115" i="41"/>
  <c r="N113" i="41"/>
  <c r="Y813" i="19" s="1"/>
  <c r="Y890" i="19" s="1"/>
  <c r="M113" i="41"/>
  <c r="Y658" i="19" s="1"/>
  <c r="Y735" i="19" s="1"/>
  <c r="L113" i="41"/>
  <c r="Y503" i="19" s="1"/>
  <c r="Y580" i="19" s="1"/>
  <c r="K113" i="41"/>
  <c r="Y348" i="19" s="1"/>
  <c r="Y425" i="19" s="1"/>
  <c r="J113" i="41"/>
  <c r="Y193" i="19" s="1"/>
  <c r="Y270" i="19" s="1"/>
  <c r="H113" i="41"/>
  <c r="G113" i="41"/>
  <c r="N112" i="41"/>
  <c r="Y812" i="19" s="1"/>
  <c r="Y889" i="19" s="1"/>
  <c r="M112" i="41"/>
  <c r="Y657" i="19" s="1"/>
  <c r="Y734" i="19" s="1"/>
  <c r="L112" i="41"/>
  <c r="Y502" i="19" s="1"/>
  <c r="Y579" i="19" s="1"/>
  <c r="K112" i="41"/>
  <c r="Y347" i="19" s="1"/>
  <c r="Y424" i="19" s="1"/>
  <c r="J112" i="41"/>
  <c r="Y192" i="19" s="1"/>
  <c r="Y269" i="19" s="1"/>
  <c r="H112" i="41"/>
  <c r="G112" i="41"/>
  <c r="N111" i="41"/>
  <c r="Y811" i="19" s="1"/>
  <c r="Y888" i="19" s="1"/>
  <c r="M111" i="41"/>
  <c r="Y656" i="19" s="1"/>
  <c r="Y733" i="19" s="1"/>
  <c r="L111" i="41"/>
  <c r="Y501" i="19" s="1"/>
  <c r="Y578" i="19" s="1"/>
  <c r="K111" i="41"/>
  <c r="Y346" i="19" s="1"/>
  <c r="Y423" i="19" s="1"/>
  <c r="J111" i="41"/>
  <c r="Y191" i="19" s="1"/>
  <c r="Y268" i="19" s="1"/>
  <c r="H111" i="41"/>
  <c r="G111" i="41"/>
  <c r="N110" i="41"/>
  <c r="Y810" i="19" s="1"/>
  <c r="Y887" i="19" s="1"/>
  <c r="M110" i="41"/>
  <c r="Y655" i="19" s="1"/>
  <c r="Y732" i="19" s="1"/>
  <c r="L110" i="41"/>
  <c r="Y500" i="19" s="1"/>
  <c r="Y577" i="19" s="1"/>
  <c r="K110" i="41"/>
  <c r="Y345" i="19" s="1"/>
  <c r="Y422" i="19" s="1"/>
  <c r="J110" i="41"/>
  <c r="Y190" i="19" s="1"/>
  <c r="Y267" i="19" s="1"/>
  <c r="H110" i="41"/>
  <c r="G110" i="41"/>
  <c r="N109" i="41"/>
  <c r="Y809" i="19" s="1"/>
  <c r="Y886" i="19" s="1"/>
  <c r="M109" i="41"/>
  <c r="Y654" i="19" s="1"/>
  <c r="Y731" i="19" s="1"/>
  <c r="L109" i="41"/>
  <c r="Y499" i="19" s="1"/>
  <c r="Y576" i="19" s="1"/>
  <c r="K109" i="41"/>
  <c r="Y344" i="19" s="1"/>
  <c r="Y421" i="19" s="1"/>
  <c r="J109" i="41"/>
  <c r="J114" i="41" s="1"/>
  <c r="Y194" i="19" s="1"/>
  <c r="Y271" i="19" s="1"/>
  <c r="H109" i="41"/>
  <c r="G109" i="41"/>
  <c r="F109" i="41"/>
  <c r="N107" i="41"/>
  <c r="Y806" i="19" s="1"/>
  <c r="Y883" i="19" s="1"/>
  <c r="M107" i="41"/>
  <c r="Y651" i="19" s="1"/>
  <c r="Y728" i="19" s="1"/>
  <c r="L107" i="41"/>
  <c r="Y496" i="19" s="1"/>
  <c r="Y573" i="19" s="1"/>
  <c r="K107" i="41"/>
  <c r="Y341" i="19" s="1"/>
  <c r="Y418" i="19" s="1"/>
  <c r="J107" i="41"/>
  <c r="Y186" i="19" s="1"/>
  <c r="Y263" i="19" s="1"/>
  <c r="H107" i="41"/>
  <c r="G107" i="41"/>
  <c r="N106" i="41"/>
  <c r="Y805" i="19" s="1"/>
  <c r="Y882" i="19" s="1"/>
  <c r="M106" i="41"/>
  <c r="Y650" i="19" s="1"/>
  <c r="Y727" i="19" s="1"/>
  <c r="L106" i="41"/>
  <c r="Y495" i="19" s="1"/>
  <c r="Y572" i="19" s="1"/>
  <c r="K106" i="41"/>
  <c r="Y340" i="19" s="1"/>
  <c r="Y417" i="19" s="1"/>
  <c r="J106" i="41"/>
  <c r="Y185" i="19" s="1"/>
  <c r="Y262" i="19" s="1"/>
  <c r="I106" i="41"/>
  <c r="Y30" i="19" s="1"/>
  <c r="Y107" i="19" s="1"/>
  <c r="H106" i="41"/>
  <c r="G106" i="41"/>
  <c r="N105" i="41"/>
  <c r="Y804" i="19" s="1"/>
  <c r="Y881" i="19" s="1"/>
  <c r="M105" i="41"/>
  <c r="Y649" i="19" s="1"/>
  <c r="Y726" i="19" s="1"/>
  <c r="L105" i="41"/>
  <c r="Y494" i="19" s="1"/>
  <c r="Y571" i="19" s="1"/>
  <c r="K105" i="41"/>
  <c r="Y339" i="19" s="1"/>
  <c r="Y416" i="19" s="1"/>
  <c r="J105" i="41"/>
  <c r="Y184" i="19" s="1"/>
  <c r="Y261" i="19" s="1"/>
  <c r="H105" i="41"/>
  <c r="G105" i="41"/>
  <c r="N104" i="41"/>
  <c r="Y803" i="19" s="1"/>
  <c r="Y880" i="19" s="1"/>
  <c r="M104" i="41"/>
  <c r="Y648" i="19" s="1"/>
  <c r="Y725" i="19" s="1"/>
  <c r="L104" i="41"/>
  <c r="Y493" i="19" s="1"/>
  <c r="Y570" i="19" s="1"/>
  <c r="K104" i="41"/>
  <c r="Y338" i="19" s="1"/>
  <c r="Y415" i="19" s="1"/>
  <c r="J104" i="41"/>
  <c r="Y183" i="19" s="1"/>
  <c r="Y260" i="19" s="1"/>
  <c r="I104" i="41"/>
  <c r="Y28" i="19" s="1"/>
  <c r="Y105" i="19" s="1"/>
  <c r="H104" i="41"/>
  <c r="G104" i="41"/>
  <c r="N103" i="41"/>
  <c r="Y802" i="19" s="1"/>
  <c r="Y879" i="19" s="1"/>
  <c r="M103" i="41"/>
  <c r="Y647" i="19" s="1"/>
  <c r="Y724" i="19" s="1"/>
  <c r="L103" i="41"/>
  <c r="Y492" i="19" s="1"/>
  <c r="Y569" i="19" s="1"/>
  <c r="K103" i="41"/>
  <c r="Y337" i="19" s="1"/>
  <c r="Y414" i="19" s="1"/>
  <c r="J103" i="41"/>
  <c r="Y182" i="19" s="1"/>
  <c r="Y259" i="19" s="1"/>
  <c r="H103" i="41"/>
  <c r="G103" i="41"/>
  <c r="F103" i="41"/>
  <c r="N101" i="41"/>
  <c r="Y799" i="19" s="1"/>
  <c r="Y876" i="19" s="1"/>
  <c r="M101" i="41"/>
  <c r="Y644" i="19" s="1"/>
  <c r="Y721" i="19" s="1"/>
  <c r="L101" i="41"/>
  <c r="Y489" i="19" s="1"/>
  <c r="Y566" i="19" s="1"/>
  <c r="K101" i="41"/>
  <c r="Y334" i="19" s="1"/>
  <c r="Y411" i="19" s="1"/>
  <c r="J101" i="41"/>
  <c r="Y179" i="19" s="1"/>
  <c r="Y256" i="19" s="1"/>
  <c r="H101" i="41"/>
  <c r="G101" i="41"/>
  <c r="N100" i="41"/>
  <c r="Y798" i="19" s="1"/>
  <c r="Y875" i="19" s="1"/>
  <c r="M100" i="41"/>
  <c r="Y643" i="19" s="1"/>
  <c r="Y720" i="19" s="1"/>
  <c r="L100" i="41"/>
  <c r="Y488" i="19" s="1"/>
  <c r="Y565" i="19" s="1"/>
  <c r="K100" i="41"/>
  <c r="Y333" i="19" s="1"/>
  <c r="Y410" i="19" s="1"/>
  <c r="J100" i="41"/>
  <c r="Y178" i="19" s="1"/>
  <c r="Y255" i="19" s="1"/>
  <c r="H100" i="41"/>
  <c r="G100" i="41"/>
  <c r="N99" i="41"/>
  <c r="Y797" i="19" s="1"/>
  <c r="Y874" i="19" s="1"/>
  <c r="M99" i="41"/>
  <c r="Y642" i="19" s="1"/>
  <c r="Y719" i="19" s="1"/>
  <c r="L99" i="41"/>
  <c r="Y487" i="19" s="1"/>
  <c r="Y564" i="19" s="1"/>
  <c r="K99" i="41"/>
  <c r="Y332" i="19" s="1"/>
  <c r="Y409" i="19" s="1"/>
  <c r="J99" i="41"/>
  <c r="Y177" i="19" s="1"/>
  <c r="Y254" i="19" s="1"/>
  <c r="H99" i="41"/>
  <c r="G99" i="41"/>
  <c r="N98" i="41"/>
  <c r="Y796" i="19" s="1"/>
  <c r="Y873" i="19" s="1"/>
  <c r="M98" i="41"/>
  <c r="Y641" i="19" s="1"/>
  <c r="Y718" i="19" s="1"/>
  <c r="L98" i="41"/>
  <c r="Y486" i="19" s="1"/>
  <c r="Y563" i="19" s="1"/>
  <c r="K98" i="41"/>
  <c r="Y331" i="19" s="1"/>
  <c r="Y408" i="19" s="1"/>
  <c r="J98" i="41"/>
  <c r="Y176" i="19" s="1"/>
  <c r="Y253" i="19" s="1"/>
  <c r="H98" i="41"/>
  <c r="G98" i="41"/>
  <c r="N97" i="41"/>
  <c r="Y795" i="19" s="1"/>
  <c r="Y872" i="19" s="1"/>
  <c r="M97" i="41"/>
  <c r="Y640" i="19" s="1"/>
  <c r="Y717" i="19" s="1"/>
  <c r="L97" i="41"/>
  <c r="Y485" i="19" s="1"/>
  <c r="Y562" i="19" s="1"/>
  <c r="K97" i="41"/>
  <c r="Y330" i="19" s="1"/>
  <c r="Y407" i="19" s="1"/>
  <c r="J97" i="41"/>
  <c r="Y175" i="19" s="1"/>
  <c r="Y252" i="19" s="1"/>
  <c r="H97" i="41"/>
  <c r="G97" i="41"/>
  <c r="F97" i="41"/>
  <c r="M96" i="41"/>
  <c r="Y638" i="19" s="1"/>
  <c r="K96" i="41"/>
  <c r="Y328" i="19" s="1"/>
  <c r="N95" i="41"/>
  <c r="Y792" i="19" s="1"/>
  <c r="Y869" i="19" s="1"/>
  <c r="M95" i="41"/>
  <c r="Y637" i="19" s="1"/>
  <c r="Y714" i="19" s="1"/>
  <c r="L95" i="41"/>
  <c r="Y482" i="19" s="1"/>
  <c r="Y559" i="19" s="1"/>
  <c r="K95" i="41"/>
  <c r="Y327" i="19" s="1"/>
  <c r="Y404" i="19" s="1"/>
  <c r="J95" i="41"/>
  <c r="Y172" i="19" s="1"/>
  <c r="Y249" i="19" s="1"/>
  <c r="H95" i="41"/>
  <c r="G95" i="41"/>
  <c r="N94" i="41"/>
  <c r="Y791" i="19" s="1"/>
  <c r="Y868" i="19" s="1"/>
  <c r="M94" i="41"/>
  <c r="Y636" i="19" s="1"/>
  <c r="Y713" i="19" s="1"/>
  <c r="L94" i="41"/>
  <c r="Y481" i="19" s="1"/>
  <c r="Y558" i="19" s="1"/>
  <c r="K94" i="41"/>
  <c r="Y326" i="19" s="1"/>
  <c r="Y403" i="19" s="1"/>
  <c r="J94" i="41"/>
  <c r="Y171" i="19" s="1"/>
  <c r="Y248" i="19" s="1"/>
  <c r="I94" i="41"/>
  <c r="Y16" i="19" s="1"/>
  <c r="Y93" i="19" s="1"/>
  <c r="H94" i="41"/>
  <c r="G94" i="41"/>
  <c r="N93" i="41"/>
  <c r="Y790" i="19" s="1"/>
  <c r="Y867" i="19" s="1"/>
  <c r="M93" i="41"/>
  <c r="Y635" i="19" s="1"/>
  <c r="Y712" i="19" s="1"/>
  <c r="L93" i="41"/>
  <c r="Y480" i="19" s="1"/>
  <c r="Y557" i="19" s="1"/>
  <c r="K93" i="41"/>
  <c r="Y325" i="19" s="1"/>
  <c r="Y402" i="19" s="1"/>
  <c r="J93" i="41"/>
  <c r="Y170" i="19" s="1"/>
  <c r="Y247" i="19" s="1"/>
  <c r="H93" i="41"/>
  <c r="G93" i="41"/>
  <c r="N92" i="41"/>
  <c r="Y789" i="19" s="1"/>
  <c r="Y866" i="19" s="1"/>
  <c r="M92" i="41"/>
  <c r="Y634" i="19" s="1"/>
  <c r="Y711" i="19" s="1"/>
  <c r="L92" i="41"/>
  <c r="Y479" i="19" s="1"/>
  <c r="Y556" i="19" s="1"/>
  <c r="K92" i="41"/>
  <c r="Y324" i="19" s="1"/>
  <c r="Y401" i="19" s="1"/>
  <c r="J92" i="41"/>
  <c r="Y169" i="19" s="1"/>
  <c r="Y246" i="19" s="1"/>
  <c r="I92" i="41"/>
  <c r="Y14" i="19" s="1"/>
  <c r="Y91" i="19" s="1"/>
  <c r="H92" i="41"/>
  <c r="G92" i="41"/>
  <c r="N91" i="41"/>
  <c r="Y788" i="19" s="1"/>
  <c r="Y865" i="19" s="1"/>
  <c r="M91" i="41"/>
  <c r="Y633" i="19" s="1"/>
  <c r="Y710" i="19" s="1"/>
  <c r="L91" i="41"/>
  <c r="Y478" i="19" s="1"/>
  <c r="Y555" i="19" s="1"/>
  <c r="K91" i="41"/>
  <c r="Y323" i="19" s="1"/>
  <c r="Y400" i="19" s="1"/>
  <c r="J91" i="41"/>
  <c r="Y168" i="19" s="1"/>
  <c r="Y245" i="19" s="1"/>
  <c r="H91" i="41"/>
  <c r="G91" i="41"/>
  <c r="F91" i="41"/>
  <c r="N90" i="41"/>
  <c r="M90" i="41"/>
  <c r="L90" i="41"/>
  <c r="K90" i="41"/>
  <c r="J90" i="41"/>
  <c r="M81" i="41"/>
  <c r="M23" i="15" s="1"/>
  <c r="M38" i="15" s="1"/>
  <c r="K81" i="41"/>
  <c r="K23" i="15" s="1"/>
  <c r="K38" i="15" s="1"/>
  <c r="N79" i="41"/>
  <c r="M79" i="41"/>
  <c r="L79" i="41"/>
  <c r="K79" i="41"/>
  <c r="J79" i="41"/>
  <c r="I78" i="41"/>
  <c r="I149" i="41" s="1"/>
  <c r="Y80" i="19" s="1"/>
  <c r="Y157" i="19" s="1"/>
  <c r="H78" i="41"/>
  <c r="G78" i="41"/>
  <c r="I77" i="41"/>
  <c r="I148" i="41" s="1"/>
  <c r="Y79" i="19" s="1"/>
  <c r="Y156" i="19" s="1"/>
  <c r="H77" i="41"/>
  <c r="G77" i="41"/>
  <c r="I76" i="41"/>
  <c r="I147" i="41" s="1"/>
  <c r="Y78" i="19" s="1"/>
  <c r="Y155" i="19" s="1"/>
  <c r="H76" i="41"/>
  <c r="G76" i="41"/>
  <c r="I75" i="41"/>
  <c r="I146" i="41" s="1"/>
  <c r="Y77" i="19" s="1"/>
  <c r="Y154" i="19" s="1"/>
  <c r="H75" i="41"/>
  <c r="G75" i="41"/>
  <c r="I74" i="41"/>
  <c r="I145" i="41" s="1"/>
  <c r="Y76" i="19" s="1"/>
  <c r="Y153" i="19" s="1"/>
  <c r="H74" i="41"/>
  <c r="G74" i="41"/>
  <c r="F74" i="41"/>
  <c r="N73" i="41"/>
  <c r="M73" i="41"/>
  <c r="L73" i="41"/>
  <c r="K73" i="41"/>
  <c r="J73" i="41"/>
  <c r="I72" i="41"/>
  <c r="I143" i="41" s="1"/>
  <c r="Y73" i="19" s="1"/>
  <c r="Y150" i="19" s="1"/>
  <c r="H72" i="41"/>
  <c r="G72" i="41"/>
  <c r="I71" i="41"/>
  <c r="H71" i="41"/>
  <c r="G71" i="41"/>
  <c r="I70" i="41"/>
  <c r="I141" i="41" s="1"/>
  <c r="Y71" i="19" s="1"/>
  <c r="Y148" i="19" s="1"/>
  <c r="H70" i="41"/>
  <c r="G70" i="41"/>
  <c r="I69" i="41"/>
  <c r="H69" i="41"/>
  <c r="G69" i="41"/>
  <c r="I68" i="41"/>
  <c r="I139" i="41" s="1"/>
  <c r="Y69" i="19" s="1"/>
  <c r="Y146" i="19" s="1"/>
  <c r="H68" i="41"/>
  <c r="G68" i="41"/>
  <c r="F68" i="41"/>
  <c r="N67" i="41"/>
  <c r="M67" i="41"/>
  <c r="L67" i="41"/>
  <c r="K67" i="41"/>
  <c r="J67" i="41"/>
  <c r="I66" i="41"/>
  <c r="I137" i="41" s="1"/>
  <c r="Y66" i="19" s="1"/>
  <c r="Y143" i="19" s="1"/>
  <c r="H66" i="41"/>
  <c r="G66" i="41"/>
  <c r="I65" i="41"/>
  <c r="I136" i="41" s="1"/>
  <c r="Y65" i="19" s="1"/>
  <c r="Y142" i="19" s="1"/>
  <c r="H65" i="41"/>
  <c r="G65" i="41"/>
  <c r="I64" i="41"/>
  <c r="I135" i="41" s="1"/>
  <c r="Y64" i="19" s="1"/>
  <c r="Y141" i="19" s="1"/>
  <c r="H64" i="41"/>
  <c r="G64" i="41"/>
  <c r="I63" i="41"/>
  <c r="I134" i="41" s="1"/>
  <c r="Y63" i="19" s="1"/>
  <c r="Y140" i="19" s="1"/>
  <c r="H63" i="41"/>
  <c r="G63" i="41"/>
  <c r="I62" i="41"/>
  <c r="I133" i="41" s="1"/>
  <c r="Y62" i="19" s="1"/>
  <c r="Y139" i="19" s="1"/>
  <c r="H62" i="41"/>
  <c r="G62" i="41"/>
  <c r="F62" i="41"/>
  <c r="N61" i="41"/>
  <c r="M61" i="41"/>
  <c r="L61" i="41"/>
  <c r="K61" i="41"/>
  <c r="J61" i="41"/>
  <c r="I60" i="41"/>
  <c r="I131" i="41" s="1"/>
  <c r="Y59" i="19" s="1"/>
  <c r="Y136" i="19" s="1"/>
  <c r="H60" i="41"/>
  <c r="G60" i="41"/>
  <c r="I59" i="41"/>
  <c r="H59" i="41"/>
  <c r="G59" i="41"/>
  <c r="I58" i="41"/>
  <c r="I129" i="41" s="1"/>
  <c r="Y57" i="19" s="1"/>
  <c r="Y134" i="19" s="1"/>
  <c r="H58" i="41"/>
  <c r="G58" i="41"/>
  <c r="I57" i="41"/>
  <c r="H57" i="41"/>
  <c r="G57" i="41"/>
  <c r="I56" i="41"/>
  <c r="I127" i="41" s="1"/>
  <c r="Y55" i="19" s="1"/>
  <c r="Y132" i="19" s="1"/>
  <c r="H56" i="41"/>
  <c r="G56" i="41"/>
  <c r="F56" i="41"/>
  <c r="N55" i="41"/>
  <c r="M55" i="41"/>
  <c r="L55" i="41"/>
  <c r="K55" i="41"/>
  <c r="J55" i="41"/>
  <c r="I54" i="41"/>
  <c r="I125" i="41" s="1"/>
  <c r="Y52" i="19" s="1"/>
  <c r="Y129" i="19" s="1"/>
  <c r="H54" i="41"/>
  <c r="G54" i="41"/>
  <c r="I53" i="41"/>
  <c r="I124" i="41" s="1"/>
  <c r="Y51" i="19" s="1"/>
  <c r="Y128" i="19" s="1"/>
  <c r="H53" i="41"/>
  <c r="G53" i="41"/>
  <c r="I52" i="41"/>
  <c r="I123" i="41" s="1"/>
  <c r="Y50" i="19" s="1"/>
  <c r="Y127" i="19" s="1"/>
  <c r="H52" i="41"/>
  <c r="G52" i="41"/>
  <c r="I51" i="41"/>
  <c r="I122" i="41" s="1"/>
  <c r="Y49" i="19" s="1"/>
  <c r="Y126" i="19" s="1"/>
  <c r="H51" i="41"/>
  <c r="G51" i="41"/>
  <c r="I50" i="41"/>
  <c r="I121" i="41" s="1"/>
  <c r="Y48" i="19" s="1"/>
  <c r="Y125" i="19" s="1"/>
  <c r="H50" i="41"/>
  <c r="G50" i="41"/>
  <c r="F50" i="41"/>
  <c r="N49" i="41"/>
  <c r="M49" i="41"/>
  <c r="L49" i="41"/>
  <c r="K49" i="41"/>
  <c r="J49" i="41"/>
  <c r="I48" i="41"/>
  <c r="I119" i="41" s="1"/>
  <c r="Y45" i="19" s="1"/>
  <c r="Y122" i="19" s="1"/>
  <c r="H48" i="41"/>
  <c r="G48" i="41"/>
  <c r="I47" i="41"/>
  <c r="H47" i="41"/>
  <c r="G47" i="41"/>
  <c r="I46" i="41"/>
  <c r="I117" i="41" s="1"/>
  <c r="Y43" i="19" s="1"/>
  <c r="Y120" i="19" s="1"/>
  <c r="H46" i="41"/>
  <c r="G46" i="41"/>
  <c r="I45" i="41"/>
  <c r="H45" i="41"/>
  <c r="G45" i="41"/>
  <c r="I44" i="41"/>
  <c r="I115" i="41" s="1"/>
  <c r="Y41" i="19" s="1"/>
  <c r="Y118" i="19" s="1"/>
  <c r="H44" i="41"/>
  <c r="G44" i="41"/>
  <c r="F44" i="41"/>
  <c r="N43" i="41"/>
  <c r="M43" i="41"/>
  <c r="L43" i="41"/>
  <c r="K43" i="41"/>
  <c r="J43" i="41"/>
  <c r="I42" i="41"/>
  <c r="I113" i="41" s="1"/>
  <c r="Y38" i="19" s="1"/>
  <c r="Y115" i="19" s="1"/>
  <c r="H42" i="41"/>
  <c r="G42" i="41"/>
  <c r="I41" i="41"/>
  <c r="I112" i="41" s="1"/>
  <c r="Y37" i="19" s="1"/>
  <c r="Y114" i="19" s="1"/>
  <c r="H41" i="41"/>
  <c r="G41" i="41"/>
  <c r="I40" i="41"/>
  <c r="I111" i="41" s="1"/>
  <c r="Y36" i="19" s="1"/>
  <c r="Y113" i="19" s="1"/>
  <c r="H40" i="41"/>
  <c r="G40" i="41"/>
  <c r="I39" i="41"/>
  <c r="I110" i="41" s="1"/>
  <c r="Y35" i="19" s="1"/>
  <c r="Y112" i="19" s="1"/>
  <c r="H39" i="41"/>
  <c r="G39" i="41"/>
  <c r="I38" i="41"/>
  <c r="I109" i="41" s="1"/>
  <c r="Y34" i="19" s="1"/>
  <c r="Y111" i="19" s="1"/>
  <c r="H38" i="41"/>
  <c r="G38" i="41"/>
  <c r="F38" i="41"/>
  <c r="N37" i="41"/>
  <c r="M37" i="41"/>
  <c r="L37" i="41"/>
  <c r="K37" i="41"/>
  <c r="J37" i="41"/>
  <c r="I36" i="41"/>
  <c r="I107" i="41" s="1"/>
  <c r="Y31" i="19" s="1"/>
  <c r="Y108" i="19" s="1"/>
  <c r="H36" i="41"/>
  <c r="G36" i="41"/>
  <c r="I35" i="41"/>
  <c r="H35" i="41"/>
  <c r="G35" i="41"/>
  <c r="I34" i="41"/>
  <c r="I105" i="41" s="1"/>
  <c r="Y29" i="19" s="1"/>
  <c r="Y106" i="19" s="1"/>
  <c r="H34" i="41"/>
  <c r="G34" i="41"/>
  <c r="I33" i="41"/>
  <c r="H33" i="41"/>
  <c r="G33" i="41"/>
  <c r="I32" i="41"/>
  <c r="I103" i="41" s="1"/>
  <c r="Y27" i="19" s="1"/>
  <c r="Y104" i="19" s="1"/>
  <c r="H32" i="41"/>
  <c r="G32" i="41"/>
  <c r="F32" i="41"/>
  <c r="N31" i="41"/>
  <c r="M31" i="41"/>
  <c r="L31" i="41"/>
  <c r="K31" i="41"/>
  <c r="J31" i="41"/>
  <c r="I30" i="41"/>
  <c r="I101" i="41" s="1"/>
  <c r="Y24" i="19" s="1"/>
  <c r="Y101" i="19" s="1"/>
  <c r="H30" i="41"/>
  <c r="G30" i="41"/>
  <c r="I29" i="41"/>
  <c r="I100" i="41" s="1"/>
  <c r="Y23" i="19" s="1"/>
  <c r="Y100" i="19" s="1"/>
  <c r="H29" i="41"/>
  <c r="G29" i="41"/>
  <c r="I28" i="41"/>
  <c r="I99" i="41" s="1"/>
  <c r="Y22" i="19" s="1"/>
  <c r="Y99" i="19" s="1"/>
  <c r="H28" i="41"/>
  <c r="G28" i="41"/>
  <c r="I27" i="41"/>
  <c r="I98" i="41" s="1"/>
  <c r="Y21" i="19" s="1"/>
  <c r="Y98" i="19" s="1"/>
  <c r="H27" i="41"/>
  <c r="G27" i="41"/>
  <c r="I26" i="41"/>
  <c r="I97" i="41" s="1"/>
  <c r="Y20" i="19" s="1"/>
  <c r="Y97" i="19" s="1"/>
  <c r="H26" i="41"/>
  <c r="G26" i="41"/>
  <c r="F26" i="41"/>
  <c r="N25" i="41"/>
  <c r="N96" i="41" s="1"/>
  <c r="Y793" i="19" s="1"/>
  <c r="M25" i="41"/>
  <c r="L25" i="41"/>
  <c r="L96" i="41" s="1"/>
  <c r="Y483" i="19" s="1"/>
  <c r="K25" i="41"/>
  <c r="J25" i="41"/>
  <c r="J96" i="41" s="1"/>
  <c r="Y173" i="19" s="1"/>
  <c r="I24" i="41"/>
  <c r="I95" i="41" s="1"/>
  <c r="Y17" i="19" s="1"/>
  <c r="Y94" i="19" s="1"/>
  <c r="H24" i="41"/>
  <c r="G24" i="41"/>
  <c r="I23" i="41"/>
  <c r="H23" i="41"/>
  <c r="G23" i="41"/>
  <c r="I22" i="41"/>
  <c r="I93" i="41" s="1"/>
  <c r="Y15" i="19" s="1"/>
  <c r="Y92" i="19" s="1"/>
  <c r="H22" i="41"/>
  <c r="G22" i="41"/>
  <c r="I21" i="41"/>
  <c r="H21" i="41"/>
  <c r="G21" i="41"/>
  <c r="I20" i="41"/>
  <c r="I91" i="41" s="1"/>
  <c r="Y13" i="19" s="1"/>
  <c r="Y90" i="19" s="1"/>
  <c r="H20" i="41"/>
  <c r="G20" i="41"/>
  <c r="F20" i="41"/>
  <c r="N19" i="41"/>
  <c r="M19" i="41"/>
  <c r="L19" i="41"/>
  <c r="K19" i="41"/>
  <c r="J19" i="41"/>
  <c r="B14" i="41"/>
  <c r="F12" i="41"/>
  <c r="H152" i="41" s="1"/>
  <c r="N9" i="41"/>
  <c r="M9" i="41"/>
  <c r="L9" i="41"/>
  <c r="K9" i="41"/>
  <c r="J9" i="41"/>
  <c r="B6" i="41"/>
  <c r="B2" i="41"/>
  <c r="B1" i="41"/>
  <c r="H28" i="21" s="1"/>
  <c r="F169" i="40"/>
  <c r="F168" i="40"/>
  <c r="F167" i="40"/>
  <c r="F166" i="40"/>
  <c r="N165" i="40"/>
  <c r="M165" i="40"/>
  <c r="L165" i="40"/>
  <c r="K165" i="40"/>
  <c r="J165" i="40"/>
  <c r="F164" i="40"/>
  <c r="F162" i="40"/>
  <c r="F161" i="40"/>
  <c r="F160" i="40"/>
  <c r="F159" i="40"/>
  <c r="N158" i="40"/>
  <c r="M158" i="40"/>
  <c r="L158" i="40"/>
  <c r="K158" i="40"/>
  <c r="J158" i="40"/>
  <c r="F157" i="40"/>
  <c r="B155" i="40"/>
  <c r="N149" i="40"/>
  <c r="X855" i="19" s="1"/>
  <c r="X932" i="19" s="1"/>
  <c r="M149" i="40"/>
  <c r="X700" i="19" s="1"/>
  <c r="X777" i="19" s="1"/>
  <c r="L149" i="40"/>
  <c r="X545" i="19" s="1"/>
  <c r="X622" i="19" s="1"/>
  <c r="K149" i="40"/>
  <c r="X390" i="19" s="1"/>
  <c r="X467" i="19" s="1"/>
  <c r="J149" i="40"/>
  <c r="X235" i="19" s="1"/>
  <c r="X312" i="19" s="1"/>
  <c r="I149" i="40"/>
  <c r="X80" i="19" s="1"/>
  <c r="X157" i="19" s="1"/>
  <c r="H149" i="40"/>
  <c r="G149" i="40"/>
  <c r="N148" i="40"/>
  <c r="X854" i="19" s="1"/>
  <c r="X931" i="19" s="1"/>
  <c r="M148" i="40"/>
  <c r="X699" i="19" s="1"/>
  <c r="X776" i="19" s="1"/>
  <c r="L148" i="40"/>
  <c r="X544" i="19" s="1"/>
  <c r="X621" i="19" s="1"/>
  <c r="K148" i="40"/>
  <c r="X389" i="19" s="1"/>
  <c r="X466" i="19" s="1"/>
  <c r="J148" i="40"/>
  <c r="X234" i="19" s="1"/>
  <c r="X311" i="19" s="1"/>
  <c r="H148" i="40"/>
  <c r="G148" i="40"/>
  <c r="N147" i="40"/>
  <c r="X853" i="19" s="1"/>
  <c r="X930" i="19" s="1"/>
  <c r="M147" i="40"/>
  <c r="X698" i="19" s="1"/>
  <c r="X775" i="19" s="1"/>
  <c r="L147" i="40"/>
  <c r="X543" i="19" s="1"/>
  <c r="X620" i="19" s="1"/>
  <c r="K147" i="40"/>
  <c r="X388" i="19" s="1"/>
  <c r="X465" i="19" s="1"/>
  <c r="J147" i="40"/>
  <c r="X233" i="19" s="1"/>
  <c r="X310" i="19" s="1"/>
  <c r="I147" i="40"/>
  <c r="X78" i="19" s="1"/>
  <c r="X155" i="19" s="1"/>
  <c r="H147" i="40"/>
  <c r="G147" i="40"/>
  <c r="N146" i="40"/>
  <c r="X852" i="19" s="1"/>
  <c r="X929" i="19" s="1"/>
  <c r="M146" i="40"/>
  <c r="X697" i="19" s="1"/>
  <c r="X774" i="19" s="1"/>
  <c r="L146" i="40"/>
  <c r="X542" i="19" s="1"/>
  <c r="X619" i="19" s="1"/>
  <c r="K146" i="40"/>
  <c r="X387" i="19" s="1"/>
  <c r="X464" i="19" s="1"/>
  <c r="J146" i="40"/>
  <c r="X232" i="19" s="1"/>
  <c r="X309" i="19" s="1"/>
  <c r="H146" i="40"/>
  <c r="G146" i="40"/>
  <c r="N145" i="40"/>
  <c r="X851" i="19" s="1"/>
  <c r="X928" i="19" s="1"/>
  <c r="M145" i="40"/>
  <c r="X696" i="19" s="1"/>
  <c r="X773" i="19" s="1"/>
  <c r="L145" i="40"/>
  <c r="X541" i="19" s="1"/>
  <c r="X618" i="19" s="1"/>
  <c r="K145" i="40"/>
  <c r="X386" i="19" s="1"/>
  <c r="X463" i="19" s="1"/>
  <c r="J145" i="40"/>
  <c r="X231" i="19" s="1"/>
  <c r="X308" i="19" s="1"/>
  <c r="I145" i="40"/>
  <c r="X76" i="19" s="1"/>
  <c r="X153" i="19" s="1"/>
  <c r="H145" i="40"/>
  <c r="G145" i="40"/>
  <c r="F145" i="40"/>
  <c r="N143" i="40"/>
  <c r="X848" i="19" s="1"/>
  <c r="X925" i="19" s="1"/>
  <c r="M143" i="40"/>
  <c r="X693" i="19" s="1"/>
  <c r="X770" i="19" s="1"/>
  <c r="L143" i="40"/>
  <c r="X538" i="19" s="1"/>
  <c r="X615" i="19" s="1"/>
  <c r="K143" i="40"/>
  <c r="X383" i="19" s="1"/>
  <c r="X460" i="19" s="1"/>
  <c r="J143" i="40"/>
  <c r="X228" i="19" s="1"/>
  <c r="X305" i="19" s="1"/>
  <c r="H143" i="40"/>
  <c r="G143" i="40"/>
  <c r="N142" i="40"/>
  <c r="X847" i="19" s="1"/>
  <c r="X924" i="19" s="1"/>
  <c r="M142" i="40"/>
  <c r="X692" i="19" s="1"/>
  <c r="X769" i="19" s="1"/>
  <c r="L142" i="40"/>
  <c r="X537" i="19" s="1"/>
  <c r="X614" i="19" s="1"/>
  <c r="K142" i="40"/>
  <c r="X382" i="19" s="1"/>
  <c r="X459" i="19" s="1"/>
  <c r="J142" i="40"/>
  <c r="X227" i="19" s="1"/>
  <c r="X304" i="19" s="1"/>
  <c r="H142" i="40"/>
  <c r="G142" i="40"/>
  <c r="N141" i="40"/>
  <c r="X846" i="19" s="1"/>
  <c r="X923" i="19" s="1"/>
  <c r="M141" i="40"/>
  <c r="X691" i="19" s="1"/>
  <c r="X768" i="19" s="1"/>
  <c r="L141" i="40"/>
  <c r="X536" i="19" s="1"/>
  <c r="X613" i="19" s="1"/>
  <c r="K141" i="40"/>
  <c r="X381" i="19" s="1"/>
  <c r="X458" i="19" s="1"/>
  <c r="J141" i="40"/>
  <c r="X226" i="19" s="1"/>
  <c r="X303" i="19" s="1"/>
  <c r="H141" i="40"/>
  <c r="G141" i="40"/>
  <c r="N140" i="40"/>
  <c r="X845" i="19" s="1"/>
  <c r="X922" i="19" s="1"/>
  <c r="M140" i="40"/>
  <c r="X690" i="19" s="1"/>
  <c r="X767" i="19" s="1"/>
  <c r="L140" i="40"/>
  <c r="X535" i="19" s="1"/>
  <c r="X612" i="19" s="1"/>
  <c r="K140" i="40"/>
  <c r="X380" i="19" s="1"/>
  <c r="X457" i="19" s="1"/>
  <c r="J140" i="40"/>
  <c r="X225" i="19" s="1"/>
  <c r="X302" i="19" s="1"/>
  <c r="H140" i="40"/>
  <c r="G140" i="40"/>
  <c r="N139" i="40"/>
  <c r="X844" i="19" s="1"/>
  <c r="X921" i="19" s="1"/>
  <c r="M139" i="40"/>
  <c r="X689" i="19" s="1"/>
  <c r="X766" i="19" s="1"/>
  <c r="L139" i="40"/>
  <c r="X534" i="19" s="1"/>
  <c r="X611" i="19" s="1"/>
  <c r="K139" i="40"/>
  <c r="X379" i="19" s="1"/>
  <c r="X456" i="19" s="1"/>
  <c r="J139" i="40"/>
  <c r="X224" i="19" s="1"/>
  <c r="X301" i="19" s="1"/>
  <c r="H139" i="40"/>
  <c r="G139" i="40"/>
  <c r="F139" i="40"/>
  <c r="N137" i="40"/>
  <c r="X841" i="19" s="1"/>
  <c r="X918" i="19" s="1"/>
  <c r="M137" i="40"/>
  <c r="X686" i="19" s="1"/>
  <c r="X763" i="19" s="1"/>
  <c r="L137" i="40"/>
  <c r="X531" i="19" s="1"/>
  <c r="X608" i="19" s="1"/>
  <c r="K137" i="40"/>
  <c r="X376" i="19" s="1"/>
  <c r="X453" i="19" s="1"/>
  <c r="J137" i="40"/>
  <c r="X221" i="19" s="1"/>
  <c r="X298" i="19" s="1"/>
  <c r="I137" i="40"/>
  <c r="X66" i="19" s="1"/>
  <c r="X143" i="19" s="1"/>
  <c r="H137" i="40"/>
  <c r="G137" i="40"/>
  <c r="N136" i="40"/>
  <c r="X840" i="19" s="1"/>
  <c r="X917" i="19" s="1"/>
  <c r="M136" i="40"/>
  <c r="X685" i="19" s="1"/>
  <c r="X762" i="19" s="1"/>
  <c r="L136" i="40"/>
  <c r="X530" i="19" s="1"/>
  <c r="X607" i="19" s="1"/>
  <c r="K136" i="40"/>
  <c r="X375" i="19" s="1"/>
  <c r="X452" i="19" s="1"/>
  <c r="J136" i="40"/>
  <c r="X220" i="19" s="1"/>
  <c r="X297" i="19" s="1"/>
  <c r="H136" i="40"/>
  <c r="G136" i="40"/>
  <c r="N135" i="40"/>
  <c r="X839" i="19" s="1"/>
  <c r="X916" i="19" s="1"/>
  <c r="M135" i="40"/>
  <c r="X684" i="19" s="1"/>
  <c r="X761" i="19" s="1"/>
  <c r="L135" i="40"/>
  <c r="X529" i="19" s="1"/>
  <c r="X606" i="19" s="1"/>
  <c r="K135" i="40"/>
  <c r="X374" i="19" s="1"/>
  <c r="X451" i="19" s="1"/>
  <c r="J135" i="40"/>
  <c r="X219" i="19" s="1"/>
  <c r="X296" i="19" s="1"/>
  <c r="I135" i="40"/>
  <c r="X64" i="19" s="1"/>
  <c r="X141" i="19" s="1"/>
  <c r="H135" i="40"/>
  <c r="G135" i="40"/>
  <c r="N134" i="40"/>
  <c r="X838" i="19" s="1"/>
  <c r="X915" i="19" s="1"/>
  <c r="M134" i="40"/>
  <c r="X683" i="19" s="1"/>
  <c r="X760" i="19" s="1"/>
  <c r="L134" i="40"/>
  <c r="X528" i="19" s="1"/>
  <c r="X605" i="19" s="1"/>
  <c r="K134" i="40"/>
  <c r="X373" i="19" s="1"/>
  <c r="X450" i="19" s="1"/>
  <c r="J134" i="40"/>
  <c r="X218" i="19" s="1"/>
  <c r="X295" i="19" s="1"/>
  <c r="H134" i="40"/>
  <c r="G134" i="40"/>
  <c r="N133" i="40"/>
  <c r="X837" i="19" s="1"/>
  <c r="X914" i="19" s="1"/>
  <c r="M133" i="40"/>
  <c r="X682" i="19" s="1"/>
  <c r="X759" i="19" s="1"/>
  <c r="L133" i="40"/>
  <c r="X527" i="19" s="1"/>
  <c r="X604" i="19" s="1"/>
  <c r="K133" i="40"/>
  <c r="X372" i="19" s="1"/>
  <c r="X449" i="19" s="1"/>
  <c r="J133" i="40"/>
  <c r="X217" i="19" s="1"/>
  <c r="X294" i="19" s="1"/>
  <c r="I133" i="40"/>
  <c r="X62" i="19" s="1"/>
  <c r="X139" i="19" s="1"/>
  <c r="H133" i="40"/>
  <c r="G133" i="40"/>
  <c r="F133" i="40"/>
  <c r="N131" i="40"/>
  <c r="X834" i="19" s="1"/>
  <c r="X911" i="19" s="1"/>
  <c r="M131" i="40"/>
  <c r="X679" i="19" s="1"/>
  <c r="X756" i="19" s="1"/>
  <c r="L131" i="40"/>
  <c r="X524" i="19" s="1"/>
  <c r="X601" i="19" s="1"/>
  <c r="K131" i="40"/>
  <c r="X369" i="19" s="1"/>
  <c r="X446" i="19" s="1"/>
  <c r="J131" i="40"/>
  <c r="X214" i="19" s="1"/>
  <c r="X291" i="19" s="1"/>
  <c r="H131" i="40"/>
  <c r="G131" i="40"/>
  <c r="N130" i="40"/>
  <c r="X833" i="19" s="1"/>
  <c r="X910" i="19" s="1"/>
  <c r="M130" i="40"/>
  <c r="X678" i="19" s="1"/>
  <c r="X755" i="19" s="1"/>
  <c r="L130" i="40"/>
  <c r="X523" i="19" s="1"/>
  <c r="X600" i="19" s="1"/>
  <c r="K130" i="40"/>
  <c r="X368" i="19" s="1"/>
  <c r="X445" i="19" s="1"/>
  <c r="J130" i="40"/>
  <c r="X213" i="19" s="1"/>
  <c r="X290" i="19" s="1"/>
  <c r="H130" i="40"/>
  <c r="G130" i="40"/>
  <c r="N129" i="40"/>
  <c r="X832" i="19" s="1"/>
  <c r="X909" i="19" s="1"/>
  <c r="M129" i="40"/>
  <c r="X677" i="19" s="1"/>
  <c r="X754" i="19" s="1"/>
  <c r="L129" i="40"/>
  <c r="X522" i="19" s="1"/>
  <c r="X599" i="19" s="1"/>
  <c r="K129" i="40"/>
  <c r="X367" i="19" s="1"/>
  <c r="X444" i="19" s="1"/>
  <c r="J129" i="40"/>
  <c r="X212" i="19" s="1"/>
  <c r="X289" i="19" s="1"/>
  <c r="H129" i="40"/>
  <c r="G129" i="40"/>
  <c r="N128" i="40"/>
  <c r="X831" i="19" s="1"/>
  <c r="X908" i="19" s="1"/>
  <c r="M128" i="40"/>
  <c r="X676" i="19" s="1"/>
  <c r="X753" i="19" s="1"/>
  <c r="L128" i="40"/>
  <c r="X521" i="19" s="1"/>
  <c r="X598" i="19" s="1"/>
  <c r="K128" i="40"/>
  <c r="X366" i="19" s="1"/>
  <c r="X443" i="19" s="1"/>
  <c r="J128" i="40"/>
  <c r="X211" i="19" s="1"/>
  <c r="X288" i="19" s="1"/>
  <c r="H128" i="40"/>
  <c r="G128" i="40"/>
  <c r="N127" i="40"/>
  <c r="X830" i="19" s="1"/>
  <c r="X907" i="19" s="1"/>
  <c r="M127" i="40"/>
  <c r="X675" i="19" s="1"/>
  <c r="X752" i="19" s="1"/>
  <c r="L127" i="40"/>
  <c r="X520" i="19" s="1"/>
  <c r="X597" i="19" s="1"/>
  <c r="K127" i="40"/>
  <c r="X365" i="19" s="1"/>
  <c r="X442" i="19" s="1"/>
  <c r="J127" i="40"/>
  <c r="X210" i="19" s="1"/>
  <c r="X287" i="19" s="1"/>
  <c r="H127" i="40"/>
  <c r="G127" i="40"/>
  <c r="F127" i="40"/>
  <c r="N125" i="40"/>
  <c r="X827" i="19" s="1"/>
  <c r="X904" i="19" s="1"/>
  <c r="M125" i="40"/>
  <c r="X672" i="19" s="1"/>
  <c r="X749" i="19" s="1"/>
  <c r="L125" i="40"/>
  <c r="X517" i="19" s="1"/>
  <c r="X594" i="19" s="1"/>
  <c r="K125" i="40"/>
  <c r="X362" i="19" s="1"/>
  <c r="X439" i="19" s="1"/>
  <c r="J125" i="40"/>
  <c r="X207" i="19" s="1"/>
  <c r="X284" i="19" s="1"/>
  <c r="I125" i="40"/>
  <c r="X52" i="19" s="1"/>
  <c r="X129" i="19" s="1"/>
  <c r="H125" i="40"/>
  <c r="G125" i="40"/>
  <c r="N124" i="40"/>
  <c r="X826" i="19" s="1"/>
  <c r="X903" i="19" s="1"/>
  <c r="M124" i="40"/>
  <c r="X671" i="19" s="1"/>
  <c r="X748" i="19" s="1"/>
  <c r="L124" i="40"/>
  <c r="X516" i="19" s="1"/>
  <c r="X593" i="19" s="1"/>
  <c r="K124" i="40"/>
  <c r="X361" i="19" s="1"/>
  <c r="X438" i="19" s="1"/>
  <c r="J124" i="40"/>
  <c r="X206" i="19" s="1"/>
  <c r="X283" i="19" s="1"/>
  <c r="H124" i="40"/>
  <c r="G124" i="40"/>
  <c r="N123" i="40"/>
  <c r="X825" i="19" s="1"/>
  <c r="X902" i="19" s="1"/>
  <c r="M123" i="40"/>
  <c r="X670" i="19" s="1"/>
  <c r="X747" i="19" s="1"/>
  <c r="L123" i="40"/>
  <c r="X515" i="19" s="1"/>
  <c r="X592" i="19" s="1"/>
  <c r="K123" i="40"/>
  <c r="X360" i="19" s="1"/>
  <c r="X437" i="19" s="1"/>
  <c r="J123" i="40"/>
  <c r="X205" i="19" s="1"/>
  <c r="X282" i="19" s="1"/>
  <c r="I123" i="40"/>
  <c r="X50" i="19" s="1"/>
  <c r="X127" i="19" s="1"/>
  <c r="H123" i="40"/>
  <c r="G123" i="40"/>
  <c r="N122" i="40"/>
  <c r="X824" i="19" s="1"/>
  <c r="X901" i="19" s="1"/>
  <c r="M122" i="40"/>
  <c r="X669" i="19" s="1"/>
  <c r="X746" i="19" s="1"/>
  <c r="L122" i="40"/>
  <c r="X514" i="19" s="1"/>
  <c r="X591" i="19" s="1"/>
  <c r="K122" i="40"/>
  <c r="X359" i="19" s="1"/>
  <c r="X436" i="19" s="1"/>
  <c r="J122" i="40"/>
  <c r="X204" i="19" s="1"/>
  <c r="X281" i="19" s="1"/>
  <c r="H122" i="40"/>
  <c r="G122" i="40"/>
  <c r="N121" i="40"/>
  <c r="X823" i="19" s="1"/>
  <c r="X900" i="19" s="1"/>
  <c r="M121" i="40"/>
  <c r="X668" i="19" s="1"/>
  <c r="X745" i="19" s="1"/>
  <c r="L121" i="40"/>
  <c r="X513" i="19" s="1"/>
  <c r="X590" i="19" s="1"/>
  <c r="K121" i="40"/>
  <c r="X358" i="19" s="1"/>
  <c r="X435" i="19" s="1"/>
  <c r="J121" i="40"/>
  <c r="X203" i="19" s="1"/>
  <c r="X280" i="19" s="1"/>
  <c r="I121" i="40"/>
  <c r="X48" i="19" s="1"/>
  <c r="X125" i="19" s="1"/>
  <c r="H121" i="40"/>
  <c r="G121" i="40"/>
  <c r="F121" i="40"/>
  <c r="N119" i="40"/>
  <c r="X820" i="19" s="1"/>
  <c r="X897" i="19" s="1"/>
  <c r="M119" i="40"/>
  <c r="X665" i="19" s="1"/>
  <c r="X742" i="19" s="1"/>
  <c r="L119" i="40"/>
  <c r="X510" i="19" s="1"/>
  <c r="X587" i="19" s="1"/>
  <c r="K119" i="40"/>
  <c r="X355" i="19" s="1"/>
  <c r="X432" i="19" s="1"/>
  <c r="J119" i="40"/>
  <c r="X200" i="19" s="1"/>
  <c r="X277" i="19" s="1"/>
  <c r="H119" i="40"/>
  <c r="G119" i="40"/>
  <c r="N118" i="40"/>
  <c r="X819" i="19" s="1"/>
  <c r="X896" i="19" s="1"/>
  <c r="M118" i="40"/>
  <c r="X664" i="19" s="1"/>
  <c r="X741" i="19" s="1"/>
  <c r="L118" i="40"/>
  <c r="X509" i="19" s="1"/>
  <c r="X586" i="19" s="1"/>
  <c r="K118" i="40"/>
  <c r="X354" i="19" s="1"/>
  <c r="X431" i="19" s="1"/>
  <c r="J118" i="40"/>
  <c r="X199" i="19" s="1"/>
  <c r="X276" i="19" s="1"/>
  <c r="H118" i="40"/>
  <c r="G118" i="40"/>
  <c r="N117" i="40"/>
  <c r="X818" i="19" s="1"/>
  <c r="X895" i="19" s="1"/>
  <c r="M117" i="40"/>
  <c r="X663" i="19" s="1"/>
  <c r="X740" i="19" s="1"/>
  <c r="L117" i="40"/>
  <c r="X508" i="19" s="1"/>
  <c r="X585" i="19" s="1"/>
  <c r="K117" i="40"/>
  <c r="X353" i="19" s="1"/>
  <c r="X430" i="19" s="1"/>
  <c r="J117" i="40"/>
  <c r="X198" i="19" s="1"/>
  <c r="X275" i="19" s="1"/>
  <c r="H117" i="40"/>
  <c r="G117" i="40"/>
  <c r="N116" i="40"/>
  <c r="X817" i="19" s="1"/>
  <c r="X894" i="19" s="1"/>
  <c r="M116" i="40"/>
  <c r="X662" i="19" s="1"/>
  <c r="X739" i="19" s="1"/>
  <c r="L116" i="40"/>
  <c r="X507" i="19" s="1"/>
  <c r="X584" i="19" s="1"/>
  <c r="K116" i="40"/>
  <c r="X352" i="19" s="1"/>
  <c r="X429" i="19" s="1"/>
  <c r="J116" i="40"/>
  <c r="X197" i="19" s="1"/>
  <c r="X274" i="19" s="1"/>
  <c r="H116" i="40"/>
  <c r="G116" i="40"/>
  <c r="N115" i="40"/>
  <c r="X816" i="19" s="1"/>
  <c r="X893" i="19" s="1"/>
  <c r="M115" i="40"/>
  <c r="X661" i="19" s="1"/>
  <c r="X738" i="19" s="1"/>
  <c r="L115" i="40"/>
  <c r="X506" i="19" s="1"/>
  <c r="X583" i="19" s="1"/>
  <c r="K115" i="40"/>
  <c r="X351" i="19" s="1"/>
  <c r="X428" i="19" s="1"/>
  <c r="J115" i="40"/>
  <c r="X196" i="19" s="1"/>
  <c r="X273" i="19" s="1"/>
  <c r="H115" i="40"/>
  <c r="G115" i="40"/>
  <c r="F115" i="40"/>
  <c r="N113" i="40"/>
  <c r="X813" i="19" s="1"/>
  <c r="X890" i="19" s="1"/>
  <c r="M113" i="40"/>
  <c r="X658" i="19" s="1"/>
  <c r="X735" i="19" s="1"/>
  <c r="L113" i="40"/>
  <c r="X503" i="19" s="1"/>
  <c r="X580" i="19" s="1"/>
  <c r="K113" i="40"/>
  <c r="X348" i="19" s="1"/>
  <c r="X425" i="19" s="1"/>
  <c r="J113" i="40"/>
  <c r="X193" i="19" s="1"/>
  <c r="X270" i="19" s="1"/>
  <c r="I113" i="40"/>
  <c r="X38" i="19" s="1"/>
  <c r="X115" i="19" s="1"/>
  <c r="H113" i="40"/>
  <c r="G113" i="40"/>
  <c r="N112" i="40"/>
  <c r="X812" i="19" s="1"/>
  <c r="X889" i="19" s="1"/>
  <c r="M112" i="40"/>
  <c r="X657" i="19" s="1"/>
  <c r="X734" i="19" s="1"/>
  <c r="L112" i="40"/>
  <c r="X502" i="19" s="1"/>
  <c r="X579" i="19" s="1"/>
  <c r="K112" i="40"/>
  <c r="X347" i="19" s="1"/>
  <c r="X424" i="19" s="1"/>
  <c r="J112" i="40"/>
  <c r="X192" i="19" s="1"/>
  <c r="X269" i="19" s="1"/>
  <c r="H112" i="40"/>
  <c r="G112" i="40"/>
  <c r="N111" i="40"/>
  <c r="X811" i="19" s="1"/>
  <c r="X888" i="19" s="1"/>
  <c r="M111" i="40"/>
  <c r="X656" i="19" s="1"/>
  <c r="X733" i="19" s="1"/>
  <c r="L111" i="40"/>
  <c r="X501" i="19" s="1"/>
  <c r="X578" i="19" s="1"/>
  <c r="K111" i="40"/>
  <c r="X346" i="19" s="1"/>
  <c r="X423" i="19" s="1"/>
  <c r="J111" i="40"/>
  <c r="X191" i="19" s="1"/>
  <c r="X268" i="19" s="1"/>
  <c r="I111" i="40"/>
  <c r="X36" i="19" s="1"/>
  <c r="X113" i="19" s="1"/>
  <c r="H111" i="40"/>
  <c r="G111" i="40"/>
  <c r="N110" i="40"/>
  <c r="X810" i="19" s="1"/>
  <c r="X887" i="19" s="1"/>
  <c r="M110" i="40"/>
  <c r="X655" i="19" s="1"/>
  <c r="X732" i="19" s="1"/>
  <c r="L110" i="40"/>
  <c r="X500" i="19" s="1"/>
  <c r="X577" i="19" s="1"/>
  <c r="K110" i="40"/>
  <c r="X345" i="19" s="1"/>
  <c r="X422" i="19" s="1"/>
  <c r="J110" i="40"/>
  <c r="X190" i="19" s="1"/>
  <c r="X267" i="19" s="1"/>
  <c r="H110" i="40"/>
  <c r="G110" i="40"/>
  <c r="N109" i="40"/>
  <c r="X809" i="19" s="1"/>
  <c r="X886" i="19" s="1"/>
  <c r="M109" i="40"/>
  <c r="X654" i="19" s="1"/>
  <c r="X731" i="19" s="1"/>
  <c r="L109" i="40"/>
  <c r="X499" i="19" s="1"/>
  <c r="X576" i="19" s="1"/>
  <c r="K109" i="40"/>
  <c r="X344" i="19" s="1"/>
  <c r="X421" i="19" s="1"/>
  <c r="J109" i="40"/>
  <c r="X189" i="19" s="1"/>
  <c r="X266" i="19" s="1"/>
  <c r="I109" i="40"/>
  <c r="X34" i="19" s="1"/>
  <c r="X111" i="19" s="1"/>
  <c r="H109" i="40"/>
  <c r="G109" i="40"/>
  <c r="F109" i="40"/>
  <c r="N107" i="40"/>
  <c r="X806" i="19" s="1"/>
  <c r="X883" i="19" s="1"/>
  <c r="M107" i="40"/>
  <c r="X651" i="19" s="1"/>
  <c r="X728" i="19" s="1"/>
  <c r="L107" i="40"/>
  <c r="X496" i="19" s="1"/>
  <c r="X573" i="19" s="1"/>
  <c r="K107" i="40"/>
  <c r="X341" i="19" s="1"/>
  <c r="X418" i="19" s="1"/>
  <c r="J107" i="40"/>
  <c r="X186" i="19" s="1"/>
  <c r="X263" i="19" s="1"/>
  <c r="H107" i="40"/>
  <c r="G107" i="40"/>
  <c r="N106" i="40"/>
  <c r="X805" i="19" s="1"/>
  <c r="X882" i="19" s="1"/>
  <c r="M106" i="40"/>
  <c r="X650" i="19" s="1"/>
  <c r="X727" i="19" s="1"/>
  <c r="L106" i="40"/>
  <c r="X495" i="19" s="1"/>
  <c r="X572" i="19" s="1"/>
  <c r="K106" i="40"/>
  <c r="X340" i="19" s="1"/>
  <c r="X417" i="19" s="1"/>
  <c r="J106" i="40"/>
  <c r="X185" i="19" s="1"/>
  <c r="X262" i="19" s="1"/>
  <c r="H106" i="40"/>
  <c r="G106" i="40"/>
  <c r="N105" i="40"/>
  <c r="X804" i="19" s="1"/>
  <c r="X881" i="19" s="1"/>
  <c r="M105" i="40"/>
  <c r="X649" i="19" s="1"/>
  <c r="X726" i="19" s="1"/>
  <c r="L105" i="40"/>
  <c r="X494" i="19" s="1"/>
  <c r="X571" i="19" s="1"/>
  <c r="K105" i="40"/>
  <c r="X339" i="19" s="1"/>
  <c r="X416" i="19" s="1"/>
  <c r="J105" i="40"/>
  <c r="X184" i="19" s="1"/>
  <c r="X261" i="19" s="1"/>
  <c r="H105" i="40"/>
  <c r="G105" i="40"/>
  <c r="N104" i="40"/>
  <c r="X803" i="19" s="1"/>
  <c r="X880" i="19" s="1"/>
  <c r="M104" i="40"/>
  <c r="X648" i="19" s="1"/>
  <c r="X725" i="19" s="1"/>
  <c r="L104" i="40"/>
  <c r="X493" i="19" s="1"/>
  <c r="X570" i="19" s="1"/>
  <c r="K104" i="40"/>
  <c r="X338" i="19" s="1"/>
  <c r="X415" i="19" s="1"/>
  <c r="J104" i="40"/>
  <c r="X183" i="19" s="1"/>
  <c r="X260" i="19" s="1"/>
  <c r="H104" i="40"/>
  <c r="G104" i="40"/>
  <c r="N103" i="40"/>
  <c r="X802" i="19" s="1"/>
  <c r="X879" i="19" s="1"/>
  <c r="M103" i="40"/>
  <c r="X647" i="19" s="1"/>
  <c r="X724" i="19" s="1"/>
  <c r="L103" i="40"/>
  <c r="X492" i="19" s="1"/>
  <c r="X569" i="19" s="1"/>
  <c r="K103" i="40"/>
  <c r="X337" i="19" s="1"/>
  <c r="X414" i="19" s="1"/>
  <c r="J103" i="40"/>
  <c r="X182" i="19" s="1"/>
  <c r="X259" i="19" s="1"/>
  <c r="H103" i="40"/>
  <c r="G103" i="40"/>
  <c r="F103" i="40"/>
  <c r="N101" i="40"/>
  <c r="X799" i="19" s="1"/>
  <c r="X876" i="19" s="1"/>
  <c r="M101" i="40"/>
  <c r="X644" i="19" s="1"/>
  <c r="X721" i="19" s="1"/>
  <c r="L101" i="40"/>
  <c r="X489" i="19" s="1"/>
  <c r="X566" i="19" s="1"/>
  <c r="K101" i="40"/>
  <c r="X334" i="19" s="1"/>
  <c r="X411" i="19" s="1"/>
  <c r="J101" i="40"/>
  <c r="X179" i="19" s="1"/>
  <c r="X256" i="19" s="1"/>
  <c r="I101" i="40"/>
  <c r="X24" i="19" s="1"/>
  <c r="X101" i="19" s="1"/>
  <c r="H101" i="40"/>
  <c r="G101" i="40"/>
  <c r="N100" i="40"/>
  <c r="X798" i="19" s="1"/>
  <c r="X875" i="19" s="1"/>
  <c r="M100" i="40"/>
  <c r="X643" i="19" s="1"/>
  <c r="X720" i="19" s="1"/>
  <c r="L100" i="40"/>
  <c r="X488" i="19" s="1"/>
  <c r="X565" i="19" s="1"/>
  <c r="K100" i="40"/>
  <c r="X333" i="19" s="1"/>
  <c r="X410" i="19" s="1"/>
  <c r="J100" i="40"/>
  <c r="X178" i="19" s="1"/>
  <c r="X255" i="19" s="1"/>
  <c r="H100" i="40"/>
  <c r="G100" i="40"/>
  <c r="N99" i="40"/>
  <c r="X797" i="19" s="1"/>
  <c r="X874" i="19" s="1"/>
  <c r="M99" i="40"/>
  <c r="X642" i="19" s="1"/>
  <c r="X719" i="19" s="1"/>
  <c r="L99" i="40"/>
  <c r="X487" i="19" s="1"/>
  <c r="X564" i="19" s="1"/>
  <c r="K99" i="40"/>
  <c r="X332" i="19" s="1"/>
  <c r="X409" i="19" s="1"/>
  <c r="J99" i="40"/>
  <c r="X177" i="19" s="1"/>
  <c r="X254" i="19" s="1"/>
  <c r="I99" i="40"/>
  <c r="X22" i="19" s="1"/>
  <c r="X99" i="19" s="1"/>
  <c r="H99" i="40"/>
  <c r="G99" i="40"/>
  <c r="N98" i="40"/>
  <c r="X796" i="19" s="1"/>
  <c r="X873" i="19" s="1"/>
  <c r="M98" i="40"/>
  <c r="X641" i="19" s="1"/>
  <c r="X718" i="19" s="1"/>
  <c r="L98" i="40"/>
  <c r="X486" i="19" s="1"/>
  <c r="X563" i="19" s="1"/>
  <c r="K98" i="40"/>
  <c r="X331" i="19" s="1"/>
  <c r="X408" i="19" s="1"/>
  <c r="J98" i="40"/>
  <c r="X176" i="19" s="1"/>
  <c r="X253" i="19" s="1"/>
  <c r="H98" i="40"/>
  <c r="G98" i="40"/>
  <c r="N97" i="40"/>
  <c r="X795" i="19" s="1"/>
  <c r="X872" i="19" s="1"/>
  <c r="M97" i="40"/>
  <c r="X640" i="19" s="1"/>
  <c r="X717" i="19" s="1"/>
  <c r="L97" i="40"/>
  <c r="X485" i="19" s="1"/>
  <c r="X562" i="19" s="1"/>
  <c r="K97" i="40"/>
  <c r="X330" i="19" s="1"/>
  <c r="X407" i="19" s="1"/>
  <c r="J97" i="40"/>
  <c r="X175" i="19" s="1"/>
  <c r="X252" i="19" s="1"/>
  <c r="I97" i="40"/>
  <c r="X20" i="19" s="1"/>
  <c r="X97" i="19" s="1"/>
  <c r="H97" i="40"/>
  <c r="G97" i="40"/>
  <c r="F97" i="40"/>
  <c r="N96" i="40"/>
  <c r="X793" i="19" s="1"/>
  <c r="L96" i="40"/>
  <c r="X483" i="19" s="1"/>
  <c r="J96" i="40"/>
  <c r="X173" i="19" s="1"/>
  <c r="X250" i="19" s="1"/>
  <c r="N95" i="40"/>
  <c r="X792" i="19" s="1"/>
  <c r="X869" i="19" s="1"/>
  <c r="M95" i="40"/>
  <c r="X637" i="19" s="1"/>
  <c r="X714" i="19" s="1"/>
  <c r="L95" i="40"/>
  <c r="X482" i="19" s="1"/>
  <c r="X559" i="19" s="1"/>
  <c r="K95" i="40"/>
  <c r="X327" i="19" s="1"/>
  <c r="X404" i="19" s="1"/>
  <c r="J95" i="40"/>
  <c r="X172" i="19" s="1"/>
  <c r="X249" i="19" s="1"/>
  <c r="H95" i="40"/>
  <c r="G95" i="40"/>
  <c r="N94" i="40"/>
  <c r="X791" i="19" s="1"/>
  <c r="X868" i="19" s="1"/>
  <c r="M94" i="40"/>
  <c r="X636" i="19" s="1"/>
  <c r="X713" i="19" s="1"/>
  <c r="L94" i="40"/>
  <c r="X481" i="19" s="1"/>
  <c r="X558" i="19" s="1"/>
  <c r="K94" i="40"/>
  <c r="X326" i="19" s="1"/>
  <c r="X403" i="19" s="1"/>
  <c r="J94" i="40"/>
  <c r="X171" i="19" s="1"/>
  <c r="X248" i="19" s="1"/>
  <c r="H94" i="40"/>
  <c r="G94" i="40"/>
  <c r="N93" i="40"/>
  <c r="X790" i="19" s="1"/>
  <c r="X867" i="19" s="1"/>
  <c r="M93" i="40"/>
  <c r="X635" i="19" s="1"/>
  <c r="X712" i="19" s="1"/>
  <c r="L93" i="40"/>
  <c r="X480" i="19" s="1"/>
  <c r="X557" i="19" s="1"/>
  <c r="K93" i="40"/>
  <c r="X325" i="19" s="1"/>
  <c r="X402" i="19" s="1"/>
  <c r="J93" i="40"/>
  <c r="X170" i="19" s="1"/>
  <c r="X247" i="19" s="1"/>
  <c r="H93" i="40"/>
  <c r="G93" i="40"/>
  <c r="N92" i="40"/>
  <c r="X789" i="19" s="1"/>
  <c r="X866" i="19" s="1"/>
  <c r="M92" i="40"/>
  <c r="X634" i="19" s="1"/>
  <c r="X711" i="19" s="1"/>
  <c r="L92" i="40"/>
  <c r="X479" i="19" s="1"/>
  <c r="X556" i="19" s="1"/>
  <c r="K92" i="40"/>
  <c r="X324" i="19" s="1"/>
  <c r="X401" i="19" s="1"/>
  <c r="J92" i="40"/>
  <c r="X169" i="19" s="1"/>
  <c r="X246" i="19" s="1"/>
  <c r="H92" i="40"/>
  <c r="G92" i="40"/>
  <c r="N91" i="40"/>
  <c r="X788" i="19" s="1"/>
  <c r="X865" i="19" s="1"/>
  <c r="M91" i="40"/>
  <c r="X633" i="19" s="1"/>
  <c r="X710" i="19" s="1"/>
  <c r="L91" i="40"/>
  <c r="X478" i="19" s="1"/>
  <c r="X555" i="19" s="1"/>
  <c r="K91" i="40"/>
  <c r="X323" i="19" s="1"/>
  <c r="X400" i="19" s="1"/>
  <c r="J91" i="40"/>
  <c r="X168" i="19" s="1"/>
  <c r="X245" i="19" s="1"/>
  <c r="H91" i="40"/>
  <c r="G91" i="40"/>
  <c r="F91" i="40"/>
  <c r="N90" i="40"/>
  <c r="M90" i="40"/>
  <c r="L90" i="40"/>
  <c r="K90" i="40"/>
  <c r="J90" i="40"/>
  <c r="N81" i="40"/>
  <c r="N22" i="15" s="1"/>
  <c r="N37" i="15" s="1"/>
  <c r="L81" i="40"/>
  <c r="L22" i="15" s="1"/>
  <c r="L37" i="15" s="1"/>
  <c r="J81" i="40"/>
  <c r="J22" i="15" s="1"/>
  <c r="J37" i="15" s="1"/>
  <c r="H81" i="40"/>
  <c r="N79" i="40"/>
  <c r="M79" i="40"/>
  <c r="L79" i="40"/>
  <c r="K79" i="40"/>
  <c r="J79" i="40"/>
  <c r="I78" i="40"/>
  <c r="H78" i="40"/>
  <c r="G78" i="40"/>
  <c r="I77" i="40"/>
  <c r="I148" i="40" s="1"/>
  <c r="X79" i="19" s="1"/>
  <c r="X156" i="19" s="1"/>
  <c r="H77" i="40"/>
  <c r="G77" i="40"/>
  <c r="I76" i="40"/>
  <c r="H76" i="40"/>
  <c r="G76" i="40"/>
  <c r="I75" i="40"/>
  <c r="I146" i="40" s="1"/>
  <c r="X77" i="19" s="1"/>
  <c r="X154" i="19" s="1"/>
  <c r="H75" i="40"/>
  <c r="G75" i="40"/>
  <c r="I74" i="40"/>
  <c r="H74" i="40"/>
  <c r="G74" i="40"/>
  <c r="F74" i="40"/>
  <c r="N73" i="40"/>
  <c r="M73" i="40"/>
  <c r="L73" i="40"/>
  <c r="K73" i="40"/>
  <c r="J73" i="40"/>
  <c r="I72" i="40"/>
  <c r="I143" i="40" s="1"/>
  <c r="X73" i="19" s="1"/>
  <c r="X150" i="19" s="1"/>
  <c r="H72" i="40"/>
  <c r="G72" i="40"/>
  <c r="I71" i="40"/>
  <c r="I142" i="40" s="1"/>
  <c r="X72" i="19" s="1"/>
  <c r="X149" i="19" s="1"/>
  <c r="H71" i="40"/>
  <c r="G71" i="40"/>
  <c r="I70" i="40"/>
  <c r="I141" i="40" s="1"/>
  <c r="X71" i="19" s="1"/>
  <c r="X148" i="19" s="1"/>
  <c r="H70" i="40"/>
  <c r="G70" i="40"/>
  <c r="I69" i="40"/>
  <c r="I73" i="40" s="1"/>
  <c r="I144" i="40" s="1"/>
  <c r="X74" i="19" s="1"/>
  <c r="X151" i="19" s="1"/>
  <c r="H69" i="40"/>
  <c r="G69" i="40"/>
  <c r="I68" i="40"/>
  <c r="I139" i="40" s="1"/>
  <c r="X69" i="19" s="1"/>
  <c r="X146" i="19" s="1"/>
  <c r="H68" i="40"/>
  <c r="G68" i="40"/>
  <c r="F68" i="40"/>
  <c r="N67" i="40"/>
  <c r="M67" i="40"/>
  <c r="L67" i="40"/>
  <c r="K67" i="40"/>
  <c r="J67" i="40"/>
  <c r="I66" i="40"/>
  <c r="H66" i="40"/>
  <c r="G66" i="40"/>
  <c r="I65" i="40"/>
  <c r="I136" i="40" s="1"/>
  <c r="X65" i="19" s="1"/>
  <c r="X142" i="19" s="1"/>
  <c r="H65" i="40"/>
  <c r="G65" i="40"/>
  <c r="I64" i="40"/>
  <c r="H64" i="40"/>
  <c r="G64" i="40"/>
  <c r="I63" i="40"/>
  <c r="I134" i="40" s="1"/>
  <c r="X63" i="19" s="1"/>
  <c r="X140" i="19" s="1"/>
  <c r="H63" i="40"/>
  <c r="G63" i="40"/>
  <c r="I62" i="40"/>
  <c r="H62" i="40"/>
  <c r="G62" i="40"/>
  <c r="F62" i="40"/>
  <c r="N61" i="40"/>
  <c r="M61" i="40"/>
  <c r="L61" i="40"/>
  <c r="K61" i="40"/>
  <c r="J61" i="40"/>
  <c r="I60" i="40"/>
  <c r="I131" i="40" s="1"/>
  <c r="X59" i="19" s="1"/>
  <c r="X136" i="19" s="1"/>
  <c r="H60" i="40"/>
  <c r="G60" i="40"/>
  <c r="I59" i="40"/>
  <c r="I130" i="40" s="1"/>
  <c r="X58" i="19" s="1"/>
  <c r="X135" i="19" s="1"/>
  <c r="H59" i="40"/>
  <c r="G59" i="40"/>
  <c r="I58" i="40"/>
  <c r="I129" i="40" s="1"/>
  <c r="X57" i="19" s="1"/>
  <c r="X134" i="19" s="1"/>
  <c r="H58" i="40"/>
  <c r="G58" i="40"/>
  <c r="I57" i="40"/>
  <c r="I61" i="40" s="1"/>
  <c r="I132" i="40" s="1"/>
  <c r="X60" i="19" s="1"/>
  <c r="X137" i="19" s="1"/>
  <c r="H57" i="40"/>
  <c r="G57" i="40"/>
  <c r="I56" i="40"/>
  <c r="I127" i="40" s="1"/>
  <c r="X55" i="19" s="1"/>
  <c r="X132" i="19" s="1"/>
  <c r="H56" i="40"/>
  <c r="G56" i="40"/>
  <c r="F56" i="40"/>
  <c r="N55" i="40"/>
  <c r="M55" i="40"/>
  <c r="L55" i="40"/>
  <c r="K55" i="40"/>
  <c r="J55" i="40"/>
  <c r="I54" i="40"/>
  <c r="H54" i="40"/>
  <c r="G54" i="40"/>
  <c r="I53" i="40"/>
  <c r="I124" i="40" s="1"/>
  <c r="X51" i="19" s="1"/>
  <c r="X128" i="19" s="1"/>
  <c r="H53" i="40"/>
  <c r="G53" i="40"/>
  <c r="I52" i="40"/>
  <c r="H52" i="40"/>
  <c r="G52" i="40"/>
  <c r="I51" i="40"/>
  <c r="I122" i="40" s="1"/>
  <c r="X49" i="19" s="1"/>
  <c r="X126" i="19" s="1"/>
  <c r="H51" i="40"/>
  <c r="G51" i="40"/>
  <c r="I50" i="40"/>
  <c r="H50" i="40"/>
  <c r="G50" i="40"/>
  <c r="F50" i="40"/>
  <c r="N49" i="40"/>
  <c r="M49" i="40"/>
  <c r="L49" i="40"/>
  <c r="K49" i="40"/>
  <c r="J49" i="40"/>
  <c r="I48" i="40"/>
  <c r="I119" i="40" s="1"/>
  <c r="X45" i="19" s="1"/>
  <c r="X122" i="19" s="1"/>
  <c r="H48" i="40"/>
  <c r="G48" i="40"/>
  <c r="I47" i="40"/>
  <c r="I118" i="40" s="1"/>
  <c r="X44" i="19" s="1"/>
  <c r="X121" i="19" s="1"/>
  <c r="H47" i="40"/>
  <c r="G47" i="40"/>
  <c r="I46" i="40"/>
  <c r="I117" i="40" s="1"/>
  <c r="X43" i="19" s="1"/>
  <c r="X120" i="19" s="1"/>
  <c r="H46" i="40"/>
  <c r="G46" i="40"/>
  <c r="I45" i="40"/>
  <c r="I49" i="40" s="1"/>
  <c r="I120" i="40" s="1"/>
  <c r="X46" i="19" s="1"/>
  <c r="X123" i="19" s="1"/>
  <c r="H45" i="40"/>
  <c r="G45" i="40"/>
  <c r="I44" i="40"/>
  <c r="I115" i="40" s="1"/>
  <c r="X41" i="19" s="1"/>
  <c r="X118" i="19" s="1"/>
  <c r="H44" i="40"/>
  <c r="G44" i="40"/>
  <c r="F44" i="40"/>
  <c r="N43" i="40"/>
  <c r="M43" i="40"/>
  <c r="L43" i="40"/>
  <c r="K43" i="40"/>
  <c r="J43" i="40"/>
  <c r="I42" i="40"/>
  <c r="H42" i="40"/>
  <c r="G42" i="40"/>
  <c r="I41" i="40"/>
  <c r="I112" i="40" s="1"/>
  <c r="X37" i="19" s="1"/>
  <c r="X114" i="19" s="1"/>
  <c r="H41" i="40"/>
  <c r="G41" i="40"/>
  <c r="I40" i="40"/>
  <c r="H40" i="40"/>
  <c r="G40" i="40"/>
  <c r="I39" i="40"/>
  <c r="I110" i="40" s="1"/>
  <c r="X35" i="19" s="1"/>
  <c r="X112" i="19" s="1"/>
  <c r="H39" i="40"/>
  <c r="G39" i="40"/>
  <c r="I38" i="40"/>
  <c r="H38" i="40"/>
  <c r="G38" i="40"/>
  <c r="F38" i="40"/>
  <c r="N37" i="40"/>
  <c r="M37" i="40"/>
  <c r="L37" i="40"/>
  <c r="K37" i="40"/>
  <c r="J37" i="40"/>
  <c r="I36" i="40"/>
  <c r="I107" i="40" s="1"/>
  <c r="X31" i="19" s="1"/>
  <c r="X108" i="19" s="1"/>
  <c r="H36" i="40"/>
  <c r="G36" i="40"/>
  <c r="I35" i="40"/>
  <c r="I106" i="40" s="1"/>
  <c r="X30" i="19" s="1"/>
  <c r="X107" i="19" s="1"/>
  <c r="H35" i="40"/>
  <c r="G35" i="40"/>
  <c r="I34" i="40"/>
  <c r="I105" i="40" s="1"/>
  <c r="X29" i="19" s="1"/>
  <c r="X106" i="19" s="1"/>
  <c r="H34" i="40"/>
  <c r="G34" i="40"/>
  <c r="I33" i="40"/>
  <c r="I37" i="40" s="1"/>
  <c r="I108" i="40" s="1"/>
  <c r="X32" i="19" s="1"/>
  <c r="X109" i="19" s="1"/>
  <c r="H33" i="40"/>
  <c r="G33" i="40"/>
  <c r="I32" i="40"/>
  <c r="I103" i="40" s="1"/>
  <c r="X27" i="19" s="1"/>
  <c r="X104" i="19" s="1"/>
  <c r="H32" i="40"/>
  <c r="G32" i="40"/>
  <c r="F32" i="40"/>
  <c r="N31" i="40"/>
  <c r="M31" i="40"/>
  <c r="L31" i="40"/>
  <c r="K31" i="40"/>
  <c r="J31" i="40"/>
  <c r="I30" i="40"/>
  <c r="H30" i="40"/>
  <c r="G30" i="40"/>
  <c r="I29" i="40"/>
  <c r="I100" i="40" s="1"/>
  <c r="X23" i="19" s="1"/>
  <c r="X100" i="19" s="1"/>
  <c r="H29" i="40"/>
  <c r="G29" i="40"/>
  <c r="I28" i="40"/>
  <c r="H28" i="40"/>
  <c r="G28" i="40"/>
  <c r="I27" i="40"/>
  <c r="I98" i="40" s="1"/>
  <c r="X21" i="19" s="1"/>
  <c r="X98" i="19" s="1"/>
  <c r="H27" i="40"/>
  <c r="G27" i="40"/>
  <c r="I26" i="40"/>
  <c r="H26" i="40"/>
  <c r="G26" i="40"/>
  <c r="F26" i="40"/>
  <c r="N25" i="40"/>
  <c r="M25" i="40"/>
  <c r="M96" i="40" s="1"/>
  <c r="X638" i="19" s="1"/>
  <c r="L25" i="40"/>
  <c r="K25" i="40"/>
  <c r="K96" i="40" s="1"/>
  <c r="X328" i="19" s="1"/>
  <c r="J25" i="40"/>
  <c r="I24" i="40"/>
  <c r="I95" i="40" s="1"/>
  <c r="X17" i="19" s="1"/>
  <c r="X94" i="19" s="1"/>
  <c r="H24" i="40"/>
  <c r="G24" i="40"/>
  <c r="I23" i="40"/>
  <c r="I94" i="40" s="1"/>
  <c r="X16" i="19" s="1"/>
  <c r="X93" i="19" s="1"/>
  <c r="H23" i="40"/>
  <c r="G23" i="40"/>
  <c r="I22" i="40"/>
  <c r="I93" i="40" s="1"/>
  <c r="X15" i="19" s="1"/>
  <c r="X92" i="19" s="1"/>
  <c r="H22" i="40"/>
  <c r="G22" i="40"/>
  <c r="I21" i="40"/>
  <c r="I25" i="40" s="1"/>
  <c r="H21" i="40"/>
  <c r="G21" i="40"/>
  <c r="I20" i="40"/>
  <c r="I91" i="40" s="1"/>
  <c r="X13" i="19" s="1"/>
  <c r="X90" i="19" s="1"/>
  <c r="H20" i="40"/>
  <c r="G20" i="40"/>
  <c r="F20" i="40"/>
  <c r="N19" i="40"/>
  <c r="M19" i="40"/>
  <c r="L19" i="40"/>
  <c r="K19" i="40"/>
  <c r="J19" i="40"/>
  <c r="B14" i="40"/>
  <c r="F12" i="40"/>
  <c r="H152" i="40" s="1"/>
  <c r="N9" i="40"/>
  <c r="M9" i="40"/>
  <c r="L9" i="40"/>
  <c r="K9" i="40"/>
  <c r="J9" i="40"/>
  <c r="B6" i="40"/>
  <c r="B2" i="40"/>
  <c r="B1" i="40"/>
  <c r="H27" i="21" s="1"/>
  <c r="F169" i="38"/>
  <c r="F168" i="38"/>
  <c r="F167" i="38"/>
  <c r="F166" i="38"/>
  <c r="N165" i="38"/>
  <c r="M165" i="38"/>
  <c r="L165" i="38"/>
  <c r="K165" i="38"/>
  <c r="J165" i="38"/>
  <c r="F164" i="38"/>
  <c r="F162" i="38"/>
  <c r="F161" i="38"/>
  <c r="F160" i="38"/>
  <c r="F159" i="38"/>
  <c r="N158" i="38"/>
  <c r="M158" i="38"/>
  <c r="L158" i="38"/>
  <c r="K158" i="38"/>
  <c r="J158" i="38"/>
  <c r="F157" i="38"/>
  <c r="B155" i="38"/>
  <c r="N149" i="38"/>
  <c r="W855" i="19" s="1"/>
  <c r="W932" i="19" s="1"/>
  <c r="M149" i="38"/>
  <c r="W700" i="19" s="1"/>
  <c r="W777" i="19" s="1"/>
  <c r="L149" i="38"/>
  <c r="W545" i="19" s="1"/>
  <c r="W622" i="19" s="1"/>
  <c r="K149" i="38"/>
  <c r="W390" i="19" s="1"/>
  <c r="W467" i="19" s="1"/>
  <c r="J149" i="38"/>
  <c r="W235" i="19" s="1"/>
  <c r="W312" i="19" s="1"/>
  <c r="H149" i="38"/>
  <c r="G149" i="38"/>
  <c r="N148" i="38"/>
  <c r="W854" i="19" s="1"/>
  <c r="W931" i="19" s="1"/>
  <c r="M148" i="38"/>
  <c r="W699" i="19" s="1"/>
  <c r="W776" i="19" s="1"/>
  <c r="L148" i="38"/>
  <c r="W544" i="19" s="1"/>
  <c r="W621" i="19" s="1"/>
  <c r="K148" i="38"/>
  <c r="W389" i="19" s="1"/>
  <c r="W466" i="19" s="1"/>
  <c r="J148" i="38"/>
  <c r="W234" i="19" s="1"/>
  <c r="W311" i="19" s="1"/>
  <c r="H148" i="38"/>
  <c r="G148" i="38"/>
  <c r="N147" i="38"/>
  <c r="W853" i="19" s="1"/>
  <c r="W930" i="19" s="1"/>
  <c r="M147" i="38"/>
  <c r="W698" i="19" s="1"/>
  <c r="W775" i="19" s="1"/>
  <c r="L147" i="38"/>
  <c r="W543" i="19" s="1"/>
  <c r="W620" i="19" s="1"/>
  <c r="K147" i="38"/>
  <c r="W388" i="19" s="1"/>
  <c r="W465" i="19" s="1"/>
  <c r="J147" i="38"/>
  <c r="W233" i="19" s="1"/>
  <c r="W310" i="19" s="1"/>
  <c r="H147" i="38"/>
  <c r="G147" i="38"/>
  <c r="N146" i="38"/>
  <c r="W852" i="19" s="1"/>
  <c r="W929" i="19" s="1"/>
  <c r="M146" i="38"/>
  <c r="W697" i="19" s="1"/>
  <c r="W774" i="19" s="1"/>
  <c r="L146" i="38"/>
  <c r="W542" i="19" s="1"/>
  <c r="W619" i="19" s="1"/>
  <c r="K146" i="38"/>
  <c r="W387" i="19" s="1"/>
  <c r="W464" i="19" s="1"/>
  <c r="J146" i="38"/>
  <c r="W232" i="19" s="1"/>
  <c r="W309" i="19" s="1"/>
  <c r="H146" i="38"/>
  <c r="G146" i="38"/>
  <c r="N145" i="38"/>
  <c r="W851" i="19" s="1"/>
  <c r="W928" i="19" s="1"/>
  <c r="M145" i="38"/>
  <c r="W696" i="19" s="1"/>
  <c r="W773" i="19" s="1"/>
  <c r="L145" i="38"/>
  <c r="W541" i="19" s="1"/>
  <c r="W618" i="19" s="1"/>
  <c r="K145" i="38"/>
  <c r="W386" i="19" s="1"/>
  <c r="W463" i="19" s="1"/>
  <c r="J145" i="38"/>
  <c r="J150" i="38" s="1"/>
  <c r="W236" i="19" s="1"/>
  <c r="W313" i="19" s="1"/>
  <c r="H145" i="38"/>
  <c r="G145" i="38"/>
  <c r="F145" i="38"/>
  <c r="N143" i="38"/>
  <c r="W848" i="19" s="1"/>
  <c r="W925" i="19" s="1"/>
  <c r="M143" i="38"/>
  <c r="W693" i="19" s="1"/>
  <c r="W770" i="19" s="1"/>
  <c r="L143" i="38"/>
  <c r="W538" i="19" s="1"/>
  <c r="W615" i="19" s="1"/>
  <c r="K143" i="38"/>
  <c r="W383" i="19" s="1"/>
  <c r="W460" i="19" s="1"/>
  <c r="J143" i="38"/>
  <c r="W228" i="19" s="1"/>
  <c r="W305" i="19" s="1"/>
  <c r="H143" i="38"/>
  <c r="G143" i="38"/>
  <c r="N142" i="38"/>
  <c r="W847" i="19" s="1"/>
  <c r="W924" i="19" s="1"/>
  <c r="M142" i="38"/>
  <c r="W692" i="19" s="1"/>
  <c r="W769" i="19" s="1"/>
  <c r="L142" i="38"/>
  <c r="W537" i="19" s="1"/>
  <c r="W614" i="19" s="1"/>
  <c r="K142" i="38"/>
  <c r="W382" i="19" s="1"/>
  <c r="W459" i="19" s="1"/>
  <c r="J142" i="38"/>
  <c r="W227" i="19" s="1"/>
  <c r="W304" i="19" s="1"/>
  <c r="I142" i="38"/>
  <c r="W72" i="19" s="1"/>
  <c r="W149" i="19" s="1"/>
  <c r="H142" i="38"/>
  <c r="G142" i="38"/>
  <c r="N141" i="38"/>
  <c r="W846" i="19" s="1"/>
  <c r="W923" i="19" s="1"/>
  <c r="M141" i="38"/>
  <c r="W691" i="19" s="1"/>
  <c r="W768" i="19" s="1"/>
  <c r="L141" i="38"/>
  <c r="W536" i="19" s="1"/>
  <c r="W613" i="19" s="1"/>
  <c r="K141" i="38"/>
  <c r="W381" i="19" s="1"/>
  <c r="W458" i="19" s="1"/>
  <c r="J141" i="38"/>
  <c r="W226" i="19" s="1"/>
  <c r="W303" i="19" s="1"/>
  <c r="H141" i="38"/>
  <c r="G141" i="38"/>
  <c r="N140" i="38"/>
  <c r="W845" i="19" s="1"/>
  <c r="W922" i="19" s="1"/>
  <c r="M140" i="38"/>
  <c r="W690" i="19" s="1"/>
  <c r="W767" i="19" s="1"/>
  <c r="L140" i="38"/>
  <c r="W535" i="19" s="1"/>
  <c r="W612" i="19" s="1"/>
  <c r="K140" i="38"/>
  <c r="W380" i="19" s="1"/>
  <c r="W457" i="19" s="1"/>
  <c r="J140" i="38"/>
  <c r="W225" i="19" s="1"/>
  <c r="W302" i="19" s="1"/>
  <c r="I140" i="38"/>
  <c r="W70" i="19" s="1"/>
  <c r="W147" i="19" s="1"/>
  <c r="H140" i="38"/>
  <c r="G140" i="38"/>
  <c r="N139" i="38"/>
  <c r="W844" i="19" s="1"/>
  <c r="W921" i="19" s="1"/>
  <c r="M139" i="38"/>
  <c r="W689" i="19" s="1"/>
  <c r="W766" i="19" s="1"/>
  <c r="L139" i="38"/>
  <c r="W534" i="19" s="1"/>
  <c r="W611" i="19" s="1"/>
  <c r="K139" i="38"/>
  <c r="W379" i="19" s="1"/>
  <c r="W456" i="19" s="1"/>
  <c r="J139" i="38"/>
  <c r="W224" i="19" s="1"/>
  <c r="W301" i="19" s="1"/>
  <c r="H139" i="38"/>
  <c r="G139" i="38"/>
  <c r="F139" i="38"/>
  <c r="N137" i="38"/>
  <c r="W841" i="19" s="1"/>
  <c r="W918" i="19" s="1"/>
  <c r="M137" i="38"/>
  <c r="W686" i="19" s="1"/>
  <c r="W763" i="19" s="1"/>
  <c r="L137" i="38"/>
  <c r="W531" i="19" s="1"/>
  <c r="W608" i="19" s="1"/>
  <c r="K137" i="38"/>
  <c r="W376" i="19" s="1"/>
  <c r="W453" i="19" s="1"/>
  <c r="J137" i="38"/>
  <c r="W221" i="19" s="1"/>
  <c r="W298" i="19" s="1"/>
  <c r="H137" i="38"/>
  <c r="G137" i="38"/>
  <c r="N136" i="38"/>
  <c r="W840" i="19" s="1"/>
  <c r="W917" i="19" s="1"/>
  <c r="M136" i="38"/>
  <c r="W685" i="19" s="1"/>
  <c r="W762" i="19" s="1"/>
  <c r="L136" i="38"/>
  <c r="W530" i="19" s="1"/>
  <c r="W607" i="19" s="1"/>
  <c r="K136" i="38"/>
  <c r="W375" i="19" s="1"/>
  <c r="W452" i="19" s="1"/>
  <c r="J136" i="38"/>
  <c r="W220" i="19" s="1"/>
  <c r="W297" i="19" s="1"/>
  <c r="H136" i="38"/>
  <c r="G136" i="38"/>
  <c r="N135" i="38"/>
  <c r="W839" i="19" s="1"/>
  <c r="W916" i="19" s="1"/>
  <c r="M135" i="38"/>
  <c r="W684" i="19" s="1"/>
  <c r="W761" i="19" s="1"/>
  <c r="L135" i="38"/>
  <c r="W529" i="19" s="1"/>
  <c r="W606" i="19" s="1"/>
  <c r="K135" i="38"/>
  <c r="W374" i="19" s="1"/>
  <c r="W451" i="19" s="1"/>
  <c r="J135" i="38"/>
  <c r="W219" i="19" s="1"/>
  <c r="W296" i="19" s="1"/>
  <c r="H135" i="38"/>
  <c r="G135" i="38"/>
  <c r="N134" i="38"/>
  <c r="W838" i="19" s="1"/>
  <c r="W915" i="19" s="1"/>
  <c r="M134" i="38"/>
  <c r="W683" i="19" s="1"/>
  <c r="W760" i="19" s="1"/>
  <c r="L134" i="38"/>
  <c r="W528" i="19" s="1"/>
  <c r="W605" i="19" s="1"/>
  <c r="K134" i="38"/>
  <c r="W373" i="19" s="1"/>
  <c r="W450" i="19" s="1"/>
  <c r="J134" i="38"/>
  <c r="W218" i="19" s="1"/>
  <c r="W295" i="19" s="1"/>
  <c r="H134" i="38"/>
  <c r="G134" i="38"/>
  <c r="N133" i="38"/>
  <c r="W837" i="19" s="1"/>
  <c r="W914" i="19" s="1"/>
  <c r="M133" i="38"/>
  <c r="W682" i="19" s="1"/>
  <c r="W759" i="19" s="1"/>
  <c r="L133" i="38"/>
  <c r="W527" i="19" s="1"/>
  <c r="W604" i="19" s="1"/>
  <c r="K133" i="38"/>
  <c r="W372" i="19" s="1"/>
  <c r="W449" i="19" s="1"/>
  <c r="J133" i="38"/>
  <c r="J138" i="38" s="1"/>
  <c r="W222" i="19" s="1"/>
  <c r="W299" i="19" s="1"/>
  <c r="H133" i="38"/>
  <c r="G133" i="38"/>
  <c r="F133" i="38"/>
  <c r="N131" i="38"/>
  <c r="W834" i="19" s="1"/>
  <c r="W911" i="19" s="1"/>
  <c r="M131" i="38"/>
  <c r="W679" i="19" s="1"/>
  <c r="W756" i="19" s="1"/>
  <c r="L131" i="38"/>
  <c r="W524" i="19" s="1"/>
  <c r="W601" i="19" s="1"/>
  <c r="K131" i="38"/>
  <c r="W369" i="19" s="1"/>
  <c r="W446" i="19" s="1"/>
  <c r="J131" i="38"/>
  <c r="W214" i="19" s="1"/>
  <c r="W291" i="19" s="1"/>
  <c r="H131" i="38"/>
  <c r="G131" i="38"/>
  <c r="N130" i="38"/>
  <c r="W833" i="19" s="1"/>
  <c r="W910" i="19" s="1"/>
  <c r="M130" i="38"/>
  <c r="W678" i="19" s="1"/>
  <c r="W755" i="19" s="1"/>
  <c r="L130" i="38"/>
  <c r="W523" i="19" s="1"/>
  <c r="W600" i="19" s="1"/>
  <c r="K130" i="38"/>
  <c r="W368" i="19" s="1"/>
  <c r="W445" i="19" s="1"/>
  <c r="J130" i="38"/>
  <c r="W213" i="19" s="1"/>
  <c r="W290" i="19" s="1"/>
  <c r="I130" i="38"/>
  <c r="W58" i="19" s="1"/>
  <c r="W135" i="19" s="1"/>
  <c r="H130" i="38"/>
  <c r="G130" i="38"/>
  <c r="N129" i="38"/>
  <c r="W832" i="19" s="1"/>
  <c r="W909" i="19" s="1"/>
  <c r="M129" i="38"/>
  <c r="W677" i="19" s="1"/>
  <c r="W754" i="19" s="1"/>
  <c r="L129" i="38"/>
  <c r="W522" i="19" s="1"/>
  <c r="W599" i="19" s="1"/>
  <c r="K129" i="38"/>
  <c r="W367" i="19" s="1"/>
  <c r="W444" i="19" s="1"/>
  <c r="J129" i="38"/>
  <c r="W212" i="19" s="1"/>
  <c r="W289" i="19" s="1"/>
  <c r="H129" i="38"/>
  <c r="G129" i="38"/>
  <c r="N128" i="38"/>
  <c r="W831" i="19" s="1"/>
  <c r="W908" i="19" s="1"/>
  <c r="M128" i="38"/>
  <c r="W676" i="19" s="1"/>
  <c r="W753" i="19" s="1"/>
  <c r="L128" i="38"/>
  <c r="W521" i="19" s="1"/>
  <c r="W598" i="19" s="1"/>
  <c r="K128" i="38"/>
  <c r="W366" i="19" s="1"/>
  <c r="W443" i="19" s="1"/>
  <c r="J128" i="38"/>
  <c r="W211" i="19" s="1"/>
  <c r="W288" i="19" s="1"/>
  <c r="I128" i="38"/>
  <c r="W56" i="19" s="1"/>
  <c r="W133" i="19" s="1"/>
  <c r="H128" i="38"/>
  <c r="G128" i="38"/>
  <c r="N127" i="38"/>
  <c r="W830" i="19" s="1"/>
  <c r="W907" i="19" s="1"/>
  <c r="M127" i="38"/>
  <c r="W675" i="19" s="1"/>
  <c r="W752" i="19" s="1"/>
  <c r="L127" i="38"/>
  <c r="W520" i="19" s="1"/>
  <c r="W597" i="19" s="1"/>
  <c r="K127" i="38"/>
  <c r="W365" i="19" s="1"/>
  <c r="W442" i="19" s="1"/>
  <c r="J127" i="38"/>
  <c r="W210" i="19" s="1"/>
  <c r="W287" i="19" s="1"/>
  <c r="H127" i="38"/>
  <c r="G127" i="38"/>
  <c r="F127" i="38"/>
  <c r="N125" i="38"/>
  <c r="W827" i="19" s="1"/>
  <c r="W904" i="19" s="1"/>
  <c r="M125" i="38"/>
  <c r="W672" i="19" s="1"/>
  <c r="W749" i="19" s="1"/>
  <c r="L125" i="38"/>
  <c r="W517" i="19" s="1"/>
  <c r="W594" i="19" s="1"/>
  <c r="K125" i="38"/>
  <c r="W362" i="19" s="1"/>
  <c r="W439" i="19" s="1"/>
  <c r="J125" i="38"/>
  <c r="W207" i="19" s="1"/>
  <c r="W284" i="19" s="1"/>
  <c r="H125" i="38"/>
  <c r="G125" i="38"/>
  <c r="N124" i="38"/>
  <c r="W826" i="19" s="1"/>
  <c r="W903" i="19" s="1"/>
  <c r="M124" i="38"/>
  <c r="W671" i="19" s="1"/>
  <c r="W748" i="19" s="1"/>
  <c r="L124" i="38"/>
  <c r="W516" i="19" s="1"/>
  <c r="W593" i="19" s="1"/>
  <c r="K124" i="38"/>
  <c r="W361" i="19" s="1"/>
  <c r="W438" i="19" s="1"/>
  <c r="J124" i="38"/>
  <c r="W206" i="19" s="1"/>
  <c r="W283" i="19" s="1"/>
  <c r="H124" i="38"/>
  <c r="G124" i="38"/>
  <c r="N123" i="38"/>
  <c r="W825" i="19" s="1"/>
  <c r="W902" i="19" s="1"/>
  <c r="M123" i="38"/>
  <c r="W670" i="19" s="1"/>
  <c r="W747" i="19" s="1"/>
  <c r="L123" i="38"/>
  <c r="W515" i="19" s="1"/>
  <c r="W592" i="19" s="1"/>
  <c r="K123" i="38"/>
  <c r="W360" i="19" s="1"/>
  <c r="W437" i="19" s="1"/>
  <c r="J123" i="38"/>
  <c r="W205" i="19" s="1"/>
  <c r="W282" i="19" s="1"/>
  <c r="H123" i="38"/>
  <c r="G123" i="38"/>
  <c r="N122" i="38"/>
  <c r="W824" i="19" s="1"/>
  <c r="W901" i="19" s="1"/>
  <c r="M122" i="38"/>
  <c r="W669" i="19" s="1"/>
  <c r="W746" i="19" s="1"/>
  <c r="L122" i="38"/>
  <c r="W514" i="19" s="1"/>
  <c r="W591" i="19" s="1"/>
  <c r="K122" i="38"/>
  <c r="W359" i="19" s="1"/>
  <c r="W436" i="19" s="1"/>
  <c r="J122" i="38"/>
  <c r="W204" i="19" s="1"/>
  <c r="W281" i="19" s="1"/>
  <c r="H122" i="38"/>
  <c r="G122" i="38"/>
  <c r="N121" i="38"/>
  <c r="W823" i="19" s="1"/>
  <c r="W900" i="19" s="1"/>
  <c r="M121" i="38"/>
  <c r="W668" i="19" s="1"/>
  <c r="W745" i="19" s="1"/>
  <c r="L121" i="38"/>
  <c r="W513" i="19" s="1"/>
  <c r="W590" i="19" s="1"/>
  <c r="K121" i="38"/>
  <c r="W358" i="19" s="1"/>
  <c r="W435" i="19" s="1"/>
  <c r="J121" i="38"/>
  <c r="J126" i="38" s="1"/>
  <c r="W208" i="19" s="1"/>
  <c r="W285" i="19" s="1"/>
  <c r="H121" i="38"/>
  <c r="G121" i="38"/>
  <c r="F121" i="38"/>
  <c r="N119" i="38"/>
  <c r="W820" i="19" s="1"/>
  <c r="W897" i="19" s="1"/>
  <c r="M119" i="38"/>
  <c r="W665" i="19" s="1"/>
  <c r="W742" i="19" s="1"/>
  <c r="L119" i="38"/>
  <c r="W510" i="19" s="1"/>
  <c r="W587" i="19" s="1"/>
  <c r="K119" i="38"/>
  <c r="W355" i="19" s="1"/>
  <c r="W432" i="19" s="1"/>
  <c r="J119" i="38"/>
  <c r="W200" i="19" s="1"/>
  <c r="W277" i="19" s="1"/>
  <c r="H119" i="38"/>
  <c r="G119" i="38"/>
  <c r="N118" i="38"/>
  <c r="W819" i="19" s="1"/>
  <c r="W896" i="19" s="1"/>
  <c r="M118" i="38"/>
  <c r="W664" i="19" s="1"/>
  <c r="W741" i="19" s="1"/>
  <c r="L118" i="38"/>
  <c r="W509" i="19" s="1"/>
  <c r="W586" i="19" s="1"/>
  <c r="K118" i="38"/>
  <c r="W354" i="19" s="1"/>
  <c r="W431" i="19" s="1"/>
  <c r="J118" i="38"/>
  <c r="W199" i="19" s="1"/>
  <c r="W276" i="19" s="1"/>
  <c r="I118" i="38"/>
  <c r="W44" i="19" s="1"/>
  <c r="W121" i="19" s="1"/>
  <c r="H118" i="38"/>
  <c r="G118" i="38"/>
  <c r="N117" i="38"/>
  <c r="W818" i="19" s="1"/>
  <c r="W895" i="19" s="1"/>
  <c r="M117" i="38"/>
  <c r="W663" i="19" s="1"/>
  <c r="W740" i="19" s="1"/>
  <c r="L117" i="38"/>
  <c r="W508" i="19" s="1"/>
  <c r="W585" i="19" s="1"/>
  <c r="K117" i="38"/>
  <c r="W353" i="19" s="1"/>
  <c r="W430" i="19" s="1"/>
  <c r="J117" i="38"/>
  <c r="W198" i="19" s="1"/>
  <c r="W275" i="19" s="1"/>
  <c r="H117" i="38"/>
  <c r="G117" i="38"/>
  <c r="N116" i="38"/>
  <c r="W817" i="19" s="1"/>
  <c r="W894" i="19" s="1"/>
  <c r="M116" i="38"/>
  <c r="W662" i="19" s="1"/>
  <c r="W739" i="19" s="1"/>
  <c r="L116" i="38"/>
  <c r="W507" i="19" s="1"/>
  <c r="W584" i="19" s="1"/>
  <c r="K116" i="38"/>
  <c r="W352" i="19" s="1"/>
  <c r="W429" i="19" s="1"/>
  <c r="J116" i="38"/>
  <c r="W197" i="19" s="1"/>
  <c r="W274" i="19" s="1"/>
  <c r="I116" i="38"/>
  <c r="W42" i="19" s="1"/>
  <c r="W119" i="19" s="1"/>
  <c r="H116" i="38"/>
  <c r="G116" i="38"/>
  <c r="N115" i="38"/>
  <c r="W816" i="19" s="1"/>
  <c r="W893" i="19" s="1"/>
  <c r="M115" i="38"/>
  <c r="W661" i="19" s="1"/>
  <c r="W738" i="19" s="1"/>
  <c r="L115" i="38"/>
  <c r="W506" i="19" s="1"/>
  <c r="W583" i="19" s="1"/>
  <c r="K115" i="38"/>
  <c r="W351" i="19" s="1"/>
  <c r="W428" i="19" s="1"/>
  <c r="J115" i="38"/>
  <c r="W196" i="19" s="1"/>
  <c r="W273" i="19" s="1"/>
  <c r="H115" i="38"/>
  <c r="G115" i="38"/>
  <c r="F115" i="38"/>
  <c r="N113" i="38"/>
  <c r="W813" i="19" s="1"/>
  <c r="W890" i="19" s="1"/>
  <c r="M113" i="38"/>
  <c r="W658" i="19" s="1"/>
  <c r="W735" i="19" s="1"/>
  <c r="L113" i="38"/>
  <c r="W503" i="19" s="1"/>
  <c r="W580" i="19" s="1"/>
  <c r="K113" i="38"/>
  <c r="W348" i="19" s="1"/>
  <c r="W425" i="19" s="1"/>
  <c r="J113" i="38"/>
  <c r="W193" i="19" s="1"/>
  <c r="W270" i="19" s="1"/>
  <c r="H113" i="38"/>
  <c r="G113" i="38"/>
  <c r="N112" i="38"/>
  <c r="W812" i="19" s="1"/>
  <c r="W889" i="19" s="1"/>
  <c r="M112" i="38"/>
  <c r="W657" i="19" s="1"/>
  <c r="W734" i="19" s="1"/>
  <c r="L112" i="38"/>
  <c r="W502" i="19" s="1"/>
  <c r="W579" i="19" s="1"/>
  <c r="K112" i="38"/>
  <c r="W347" i="19" s="1"/>
  <c r="W424" i="19" s="1"/>
  <c r="J112" i="38"/>
  <c r="W192" i="19" s="1"/>
  <c r="W269" i="19" s="1"/>
  <c r="H112" i="38"/>
  <c r="G112" i="38"/>
  <c r="N111" i="38"/>
  <c r="W811" i="19" s="1"/>
  <c r="W888" i="19" s="1"/>
  <c r="M111" i="38"/>
  <c r="W656" i="19" s="1"/>
  <c r="W733" i="19" s="1"/>
  <c r="L111" i="38"/>
  <c r="W501" i="19" s="1"/>
  <c r="W578" i="19" s="1"/>
  <c r="K111" i="38"/>
  <c r="W346" i="19" s="1"/>
  <c r="W423" i="19" s="1"/>
  <c r="J111" i="38"/>
  <c r="W191" i="19" s="1"/>
  <c r="W268" i="19" s="1"/>
  <c r="H111" i="38"/>
  <c r="G111" i="38"/>
  <c r="N110" i="38"/>
  <c r="W810" i="19" s="1"/>
  <c r="W887" i="19" s="1"/>
  <c r="M110" i="38"/>
  <c r="W655" i="19" s="1"/>
  <c r="W732" i="19" s="1"/>
  <c r="L110" i="38"/>
  <c r="W500" i="19" s="1"/>
  <c r="W577" i="19" s="1"/>
  <c r="K110" i="38"/>
  <c r="W345" i="19" s="1"/>
  <c r="W422" i="19" s="1"/>
  <c r="J110" i="38"/>
  <c r="W190" i="19" s="1"/>
  <c r="W267" i="19" s="1"/>
  <c r="H110" i="38"/>
  <c r="G110" i="38"/>
  <c r="N109" i="38"/>
  <c r="W809" i="19" s="1"/>
  <c r="W886" i="19" s="1"/>
  <c r="M109" i="38"/>
  <c r="W654" i="19" s="1"/>
  <c r="W731" i="19" s="1"/>
  <c r="L109" i="38"/>
  <c r="W499" i="19" s="1"/>
  <c r="W576" i="19" s="1"/>
  <c r="K109" i="38"/>
  <c r="W344" i="19" s="1"/>
  <c r="W421" i="19" s="1"/>
  <c r="J109" i="38"/>
  <c r="W189" i="19" s="1"/>
  <c r="W266" i="19" s="1"/>
  <c r="H109" i="38"/>
  <c r="G109" i="38"/>
  <c r="F109" i="38"/>
  <c r="N107" i="38"/>
  <c r="W806" i="19" s="1"/>
  <c r="W883" i="19" s="1"/>
  <c r="M107" i="38"/>
  <c r="W651" i="19" s="1"/>
  <c r="W728" i="19" s="1"/>
  <c r="L107" i="38"/>
  <c r="W496" i="19" s="1"/>
  <c r="W573" i="19" s="1"/>
  <c r="K107" i="38"/>
  <c r="W341" i="19" s="1"/>
  <c r="W418" i="19" s="1"/>
  <c r="J107" i="38"/>
  <c r="W186" i="19" s="1"/>
  <c r="W263" i="19" s="1"/>
  <c r="H107" i="38"/>
  <c r="G107" i="38"/>
  <c r="N106" i="38"/>
  <c r="W805" i="19" s="1"/>
  <c r="W882" i="19" s="1"/>
  <c r="M106" i="38"/>
  <c r="W650" i="19" s="1"/>
  <c r="W727" i="19" s="1"/>
  <c r="L106" i="38"/>
  <c r="W495" i="19" s="1"/>
  <c r="W572" i="19" s="1"/>
  <c r="K106" i="38"/>
  <c r="W340" i="19" s="1"/>
  <c r="W417" i="19" s="1"/>
  <c r="J106" i="38"/>
  <c r="W185" i="19" s="1"/>
  <c r="W262" i="19" s="1"/>
  <c r="I106" i="38"/>
  <c r="W30" i="19" s="1"/>
  <c r="W107" i="19" s="1"/>
  <c r="H106" i="38"/>
  <c r="G106" i="38"/>
  <c r="N105" i="38"/>
  <c r="W804" i="19" s="1"/>
  <c r="W881" i="19" s="1"/>
  <c r="M105" i="38"/>
  <c r="W649" i="19" s="1"/>
  <c r="W726" i="19" s="1"/>
  <c r="L105" i="38"/>
  <c r="W494" i="19" s="1"/>
  <c r="W571" i="19" s="1"/>
  <c r="K105" i="38"/>
  <c r="W339" i="19" s="1"/>
  <c r="W416" i="19" s="1"/>
  <c r="J105" i="38"/>
  <c r="W184" i="19" s="1"/>
  <c r="W261" i="19" s="1"/>
  <c r="H105" i="38"/>
  <c r="G105" i="38"/>
  <c r="N104" i="38"/>
  <c r="W803" i="19" s="1"/>
  <c r="W880" i="19" s="1"/>
  <c r="M104" i="38"/>
  <c r="W648" i="19" s="1"/>
  <c r="W725" i="19" s="1"/>
  <c r="L104" i="38"/>
  <c r="W493" i="19" s="1"/>
  <c r="W570" i="19" s="1"/>
  <c r="K104" i="38"/>
  <c r="W338" i="19" s="1"/>
  <c r="W415" i="19" s="1"/>
  <c r="J104" i="38"/>
  <c r="W183" i="19" s="1"/>
  <c r="W260" i="19" s="1"/>
  <c r="I104" i="38"/>
  <c r="W28" i="19" s="1"/>
  <c r="W105" i="19" s="1"/>
  <c r="H104" i="38"/>
  <c r="G104" i="38"/>
  <c r="N103" i="38"/>
  <c r="W802" i="19" s="1"/>
  <c r="W879" i="19" s="1"/>
  <c r="M103" i="38"/>
  <c r="W647" i="19" s="1"/>
  <c r="W724" i="19" s="1"/>
  <c r="L103" i="38"/>
  <c r="W492" i="19" s="1"/>
  <c r="W569" i="19" s="1"/>
  <c r="K103" i="38"/>
  <c r="W337" i="19" s="1"/>
  <c r="W414" i="19" s="1"/>
  <c r="J103" i="38"/>
  <c r="W182" i="19" s="1"/>
  <c r="W259" i="19" s="1"/>
  <c r="H103" i="38"/>
  <c r="G103" i="38"/>
  <c r="F103" i="38"/>
  <c r="N101" i="38"/>
  <c r="W799" i="19" s="1"/>
  <c r="W876" i="19" s="1"/>
  <c r="M101" i="38"/>
  <c r="W644" i="19" s="1"/>
  <c r="W721" i="19" s="1"/>
  <c r="L101" i="38"/>
  <c r="W489" i="19" s="1"/>
  <c r="W566" i="19" s="1"/>
  <c r="K101" i="38"/>
  <c r="W334" i="19" s="1"/>
  <c r="W411" i="19" s="1"/>
  <c r="J101" i="38"/>
  <c r="W179" i="19" s="1"/>
  <c r="W256" i="19" s="1"/>
  <c r="H101" i="38"/>
  <c r="G101" i="38"/>
  <c r="N100" i="38"/>
  <c r="W798" i="19" s="1"/>
  <c r="W875" i="19" s="1"/>
  <c r="M100" i="38"/>
  <c r="W643" i="19" s="1"/>
  <c r="W720" i="19" s="1"/>
  <c r="L100" i="38"/>
  <c r="W488" i="19" s="1"/>
  <c r="W565" i="19" s="1"/>
  <c r="K100" i="38"/>
  <c r="W333" i="19" s="1"/>
  <c r="W410" i="19" s="1"/>
  <c r="J100" i="38"/>
  <c r="W178" i="19" s="1"/>
  <c r="W255" i="19" s="1"/>
  <c r="H100" i="38"/>
  <c r="G100" i="38"/>
  <c r="N99" i="38"/>
  <c r="W797" i="19" s="1"/>
  <c r="W874" i="19" s="1"/>
  <c r="M99" i="38"/>
  <c r="W642" i="19" s="1"/>
  <c r="W719" i="19" s="1"/>
  <c r="L99" i="38"/>
  <c r="W487" i="19" s="1"/>
  <c r="W564" i="19" s="1"/>
  <c r="K99" i="38"/>
  <c r="W332" i="19" s="1"/>
  <c r="W409" i="19" s="1"/>
  <c r="J99" i="38"/>
  <c r="W177" i="19" s="1"/>
  <c r="W254" i="19" s="1"/>
  <c r="H99" i="38"/>
  <c r="G99" i="38"/>
  <c r="N98" i="38"/>
  <c r="W796" i="19" s="1"/>
  <c r="W873" i="19" s="1"/>
  <c r="M98" i="38"/>
  <c r="W641" i="19" s="1"/>
  <c r="W718" i="19" s="1"/>
  <c r="L98" i="38"/>
  <c r="W486" i="19" s="1"/>
  <c r="W563" i="19" s="1"/>
  <c r="K98" i="38"/>
  <c r="W331" i="19" s="1"/>
  <c r="W408" i="19" s="1"/>
  <c r="J98" i="38"/>
  <c r="W176" i="19" s="1"/>
  <c r="W253" i="19" s="1"/>
  <c r="H98" i="38"/>
  <c r="G98" i="38"/>
  <c r="N97" i="38"/>
  <c r="W795" i="19" s="1"/>
  <c r="W872" i="19" s="1"/>
  <c r="M97" i="38"/>
  <c r="W640" i="19" s="1"/>
  <c r="W717" i="19" s="1"/>
  <c r="L97" i="38"/>
  <c r="W485" i="19" s="1"/>
  <c r="W562" i="19" s="1"/>
  <c r="K97" i="38"/>
  <c r="W330" i="19" s="1"/>
  <c r="W407" i="19" s="1"/>
  <c r="J97" i="38"/>
  <c r="J102" i="38" s="1"/>
  <c r="W180" i="19" s="1"/>
  <c r="W257" i="19" s="1"/>
  <c r="H97" i="38"/>
  <c r="G97" i="38"/>
  <c r="F97" i="38"/>
  <c r="M96" i="38"/>
  <c r="W638" i="19" s="1"/>
  <c r="K96" i="38"/>
  <c r="W328" i="19" s="1"/>
  <c r="W405" i="19" s="1"/>
  <c r="N95" i="38"/>
  <c r="W792" i="19" s="1"/>
  <c r="W869" i="19" s="1"/>
  <c r="M95" i="38"/>
  <c r="W637" i="19" s="1"/>
  <c r="W714" i="19" s="1"/>
  <c r="L95" i="38"/>
  <c r="W482" i="19" s="1"/>
  <c r="W559" i="19" s="1"/>
  <c r="K95" i="38"/>
  <c r="W327" i="19" s="1"/>
  <c r="W404" i="19" s="1"/>
  <c r="J95" i="38"/>
  <c r="W172" i="19" s="1"/>
  <c r="W249" i="19" s="1"/>
  <c r="H95" i="38"/>
  <c r="G95" i="38"/>
  <c r="N94" i="38"/>
  <c r="W791" i="19" s="1"/>
  <c r="W868" i="19" s="1"/>
  <c r="M94" i="38"/>
  <c r="W636" i="19" s="1"/>
  <c r="W713" i="19" s="1"/>
  <c r="L94" i="38"/>
  <c r="W481" i="19" s="1"/>
  <c r="W558" i="19" s="1"/>
  <c r="K94" i="38"/>
  <c r="W326" i="19" s="1"/>
  <c r="W403" i="19" s="1"/>
  <c r="J94" i="38"/>
  <c r="W171" i="19" s="1"/>
  <c r="W248" i="19" s="1"/>
  <c r="I94" i="38"/>
  <c r="W16" i="19" s="1"/>
  <c r="W93" i="19" s="1"/>
  <c r="H94" i="38"/>
  <c r="G94" i="38"/>
  <c r="N93" i="38"/>
  <c r="W790" i="19" s="1"/>
  <c r="W867" i="19" s="1"/>
  <c r="M93" i="38"/>
  <c r="W635" i="19" s="1"/>
  <c r="W712" i="19" s="1"/>
  <c r="L93" i="38"/>
  <c r="W480" i="19" s="1"/>
  <c r="W557" i="19" s="1"/>
  <c r="K93" i="38"/>
  <c r="W325" i="19" s="1"/>
  <c r="W402" i="19" s="1"/>
  <c r="J93" i="38"/>
  <c r="W170" i="19" s="1"/>
  <c r="W247" i="19" s="1"/>
  <c r="H93" i="38"/>
  <c r="G93" i="38"/>
  <c r="N92" i="38"/>
  <c r="W789" i="19" s="1"/>
  <c r="W866" i="19" s="1"/>
  <c r="M92" i="38"/>
  <c r="W634" i="19" s="1"/>
  <c r="W711" i="19" s="1"/>
  <c r="L92" i="38"/>
  <c r="W479" i="19" s="1"/>
  <c r="W556" i="19" s="1"/>
  <c r="K92" i="38"/>
  <c r="W324" i="19" s="1"/>
  <c r="W401" i="19" s="1"/>
  <c r="J92" i="38"/>
  <c r="W169" i="19" s="1"/>
  <c r="W246" i="19" s="1"/>
  <c r="I92" i="38"/>
  <c r="W14" i="19" s="1"/>
  <c r="W91" i="19" s="1"/>
  <c r="H92" i="38"/>
  <c r="G92" i="38"/>
  <c r="N91" i="38"/>
  <c r="W788" i="19" s="1"/>
  <c r="W865" i="19" s="1"/>
  <c r="M91" i="38"/>
  <c r="W633" i="19" s="1"/>
  <c r="W710" i="19" s="1"/>
  <c r="L91" i="38"/>
  <c r="W478" i="19" s="1"/>
  <c r="W555" i="19" s="1"/>
  <c r="K91" i="38"/>
  <c r="W323" i="19" s="1"/>
  <c r="W400" i="19" s="1"/>
  <c r="J91" i="38"/>
  <c r="W168" i="19" s="1"/>
  <c r="W245" i="19" s="1"/>
  <c r="H91" i="38"/>
  <c r="G91" i="38"/>
  <c r="F91" i="38"/>
  <c r="N90" i="38"/>
  <c r="M90" i="38"/>
  <c r="L90" i="38"/>
  <c r="K90" i="38"/>
  <c r="J90" i="38"/>
  <c r="M81" i="38"/>
  <c r="M152" i="38" s="1"/>
  <c r="K81" i="38"/>
  <c r="K21" i="15" s="1"/>
  <c r="K36" i="15" s="1"/>
  <c r="N79" i="38"/>
  <c r="M79" i="38"/>
  <c r="L79" i="38"/>
  <c r="K79" i="38"/>
  <c r="J79" i="38"/>
  <c r="I78" i="38"/>
  <c r="I149" i="38" s="1"/>
  <c r="W80" i="19" s="1"/>
  <c r="W157" i="19" s="1"/>
  <c r="H78" i="38"/>
  <c r="G78" i="38"/>
  <c r="I77" i="38"/>
  <c r="I148" i="38" s="1"/>
  <c r="W79" i="19" s="1"/>
  <c r="W156" i="19" s="1"/>
  <c r="H77" i="38"/>
  <c r="G77" i="38"/>
  <c r="I76" i="38"/>
  <c r="I147" i="38" s="1"/>
  <c r="W78" i="19" s="1"/>
  <c r="W155" i="19" s="1"/>
  <c r="H76" i="38"/>
  <c r="G76" i="38"/>
  <c r="I75" i="38"/>
  <c r="I146" i="38" s="1"/>
  <c r="W77" i="19" s="1"/>
  <c r="W154" i="19" s="1"/>
  <c r="H75" i="38"/>
  <c r="G75" i="38"/>
  <c r="I74" i="38"/>
  <c r="I145" i="38" s="1"/>
  <c r="W76" i="19" s="1"/>
  <c r="W153" i="19" s="1"/>
  <c r="H74" i="38"/>
  <c r="G74" i="38"/>
  <c r="F74" i="38"/>
  <c r="N73" i="38"/>
  <c r="M73" i="38"/>
  <c r="L73" i="38"/>
  <c r="K73" i="38"/>
  <c r="J73" i="38"/>
  <c r="I72" i="38"/>
  <c r="I143" i="38" s="1"/>
  <c r="W73" i="19" s="1"/>
  <c r="W150" i="19" s="1"/>
  <c r="H72" i="38"/>
  <c r="G72" i="38"/>
  <c r="I71" i="38"/>
  <c r="H71" i="38"/>
  <c r="G71" i="38"/>
  <c r="I70" i="38"/>
  <c r="I141" i="38" s="1"/>
  <c r="W71" i="19" s="1"/>
  <c r="W148" i="19" s="1"/>
  <c r="H70" i="38"/>
  <c r="G70" i="38"/>
  <c r="I69" i="38"/>
  <c r="H69" i="38"/>
  <c r="G69" i="38"/>
  <c r="I68" i="38"/>
  <c r="I139" i="38" s="1"/>
  <c r="W69" i="19" s="1"/>
  <c r="W146" i="19" s="1"/>
  <c r="H68" i="38"/>
  <c r="G68" i="38"/>
  <c r="F68" i="38"/>
  <c r="N67" i="38"/>
  <c r="M67" i="38"/>
  <c r="L67" i="38"/>
  <c r="K67" i="38"/>
  <c r="J67" i="38"/>
  <c r="I66" i="38"/>
  <c r="I137" i="38" s="1"/>
  <c r="W66" i="19" s="1"/>
  <c r="W143" i="19" s="1"/>
  <c r="H66" i="38"/>
  <c r="G66" i="38"/>
  <c r="I65" i="38"/>
  <c r="I136" i="38" s="1"/>
  <c r="W65" i="19" s="1"/>
  <c r="W142" i="19" s="1"/>
  <c r="H65" i="38"/>
  <c r="G65" i="38"/>
  <c r="I64" i="38"/>
  <c r="I135" i="38" s="1"/>
  <c r="W64" i="19" s="1"/>
  <c r="W141" i="19" s="1"/>
  <c r="H64" i="38"/>
  <c r="G64" i="38"/>
  <c r="I63" i="38"/>
  <c r="I134" i="38" s="1"/>
  <c r="W63" i="19" s="1"/>
  <c r="W140" i="19" s="1"/>
  <c r="H63" i="38"/>
  <c r="G63" i="38"/>
  <c r="I62" i="38"/>
  <c r="I133" i="38" s="1"/>
  <c r="W62" i="19" s="1"/>
  <c r="W139" i="19" s="1"/>
  <c r="H62" i="38"/>
  <c r="G62" i="38"/>
  <c r="F62" i="38"/>
  <c r="N61" i="38"/>
  <c r="M61" i="38"/>
  <c r="L61" i="38"/>
  <c r="K61" i="38"/>
  <c r="J61" i="38"/>
  <c r="I60" i="38"/>
  <c r="I131" i="38" s="1"/>
  <c r="W59" i="19" s="1"/>
  <c r="W136" i="19" s="1"/>
  <c r="H60" i="38"/>
  <c r="G60" i="38"/>
  <c r="I59" i="38"/>
  <c r="H59" i="38"/>
  <c r="G59" i="38"/>
  <c r="I58" i="38"/>
  <c r="I129" i="38" s="1"/>
  <c r="W57" i="19" s="1"/>
  <c r="W134" i="19" s="1"/>
  <c r="H58" i="38"/>
  <c r="G58" i="38"/>
  <c r="I57" i="38"/>
  <c r="H57" i="38"/>
  <c r="G57" i="38"/>
  <c r="I56" i="38"/>
  <c r="I127" i="38" s="1"/>
  <c r="W55" i="19" s="1"/>
  <c r="W132" i="19" s="1"/>
  <c r="H56" i="38"/>
  <c r="G56" i="38"/>
  <c r="F56" i="38"/>
  <c r="N55" i="38"/>
  <c r="M55" i="38"/>
  <c r="L55" i="38"/>
  <c r="K55" i="38"/>
  <c r="J55" i="38"/>
  <c r="I54" i="38"/>
  <c r="I125" i="38" s="1"/>
  <c r="W52" i="19" s="1"/>
  <c r="W129" i="19" s="1"/>
  <c r="H54" i="38"/>
  <c r="G54" i="38"/>
  <c r="I53" i="38"/>
  <c r="I124" i="38" s="1"/>
  <c r="W51" i="19" s="1"/>
  <c r="W128" i="19" s="1"/>
  <c r="H53" i="38"/>
  <c r="G53" i="38"/>
  <c r="I52" i="38"/>
  <c r="I123" i="38" s="1"/>
  <c r="W50" i="19" s="1"/>
  <c r="W127" i="19" s="1"/>
  <c r="H52" i="38"/>
  <c r="G52" i="38"/>
  <c r="I51" i="38"/>
  <c r="I122" i="38" s="1"/>
  <c r="W49" i="19" s="1"/>
  <c r="W126" i="19" s="1"/>
  <c r="H51" i="38"/>
  <c r="G51" i="38"/>
  <c r="I50" i="38"/>
  <c r="I121" i="38" s="1"/>
  <c r="W48" i="19" s="1"/>
  <c r="W125" i="19" s="1"/>
  <c r="H50" i="38"/>
  <c r="G50" i="38"/>
  <c r="F50" i="38"/>
  <c r="N49" i="38"/>
  <c r="M49" i="38"/>
  <c r="L49" i="38"/>
  <c r="K49" i="38"/>
  <c r="J49" i="38"/>
  <c r="I48" i="38"/>
  <c r="I119" i="38" s="1"/>
  <c r="W45" i="19" s="1"/>
  <c r="W122" i="19" s="1"/>
  <c r="H48" i="38"/>
  <c r="G48" i="38"/>
  <c r="I47" i="38"/>
  <c r="H47" i="38"/>
  <c r="G47" i="38"/>
  <c r="I46" i="38"/>
  <c r="I117" i="38" s="1"/>
  <c r="W43" i="19" s="1"/>
  <c r="W120" i="19" s="1"/>
  <c r="H46" i="38"/>
  <c r="G46" i="38"/>
  <c r="I45" i="38"/>
  <c r="H45" i="38"/>
  <c r="G45" i="38"/>
  <c r="I44" i="38"/>
  <c r="I115" i="38" s="1"/>
  <c r="W41" i="19" s="1"/>
  <c r="W118" i="19" s="1"/>
  <c r="H44" i="38"/>
  <c r="G44" i="38"/>
  <c r="F44" i="38"/>
  <c r="N43" i="38"/>
  <c r="M43" i="38"/>
  <c r="L43" i="38"/>
  <c r="K43" i="38"/>
  <c r="J43" i="38"/>
  <c r="I42" i="38"/>
  <c r="I113" i="38" s="1"/>
  <c r="W38" i="19" s="1"/>
  <c r="W115" i="19" s="1"/>
  <c r="H42" i="38"/>
  <c r="G42" i="38"/>
  <c r="I41" i="38"/>
  <c r="I112" i="38" s="1"/>
  <c r="W37" i="19" s="1"/>
  <c r="W114" i="19" s="1"/>
  <c r="H41" i="38"/>
  <c r="G41" i="38"/>
  <c r="I40" i="38"/>
  <c r="I111" i="38" s="1"/>
  <c r="W36" i="19" s="1"/>
  <c r="W113" i="19" s="1"/>
  <c r="H40" i="38"/>
  <c r="G40" i="38"/>
  <c r="I39" i="38"/>
  <c r="I110" i="38" s="1"/>
  <c r="W35" i="19" s="1"/>
  <c r="W112" i="19" s="1"/>
  <c r="H39" i="38"/>
  <c r="G39" i="38"/>
  <c r="I38" i="38"/>
  <c r="I109" i="38" s="1"/>
  <c r="W34" i="19" s="1"/>
  <c r="W111" i="19" s="1"/>
  <c r="H38" i="38"/>
  <c r="G38" i="38"/>
  <c r="F38" i="38"/>
  <c r="N37" i="38"/>
  <c r="M37" i="38"/>
  <c r="L37" i="38"/>
  <c r="K37" i="38"/>
  <c r="J37" i="38"/>
  <c r="I36" i="38"/>
  <c r="I107" i="38" s="1"/>
  <c r="W31" i="19" s="1"/>
  <c r="W108" i="19" s="1"/>
  <c r="H36" i="38"/>
  <c r="G36" i="38"/>
  <c r="I35" i="38"/>
  <c r="H35" i="38"/>
  <c r="G35" i="38"/>
  <c r="I34" i="38"/>
  <c r="I105" i="38" s="1"/>
  <c r="W29" i="19" s="1"/>
  <c r="W106" i="19" s="1"/>
  <c r="H34" i="38"/>
  <c r="G34" i="38"/>
  <c r="I33" i="38"/>
  <c r="H33" i="38"/>
  <c r="G33" i="38"/>
  <c r="I32" i="38"/>
  <c r="I103" i="38" s="1"/>
  <c r="W27" i="19" s="1"/>
  <c r="W104" i="19" s="1"/>
  <c r="H32" i="38"/>
  <c r="G32" i="38"/>
  <c r="F32" i="38"/>
  <c r="N31" i="38"/>
  <c r="M31" i="38"/>
  <c r="L31" i="38"/>
  <c r="K31" i="38"/>
  <c r="J31" i="38"/>
  <c r="I30" i="38"/>
  <c r="I101" i="38" s="1"/>
  <c r="W24" i="19" s="1"/>
  <c r="W101" i="19" s="1"/>
  <c r="H30" i="38"/>
  <c r="G30" i="38"/>
  <c r="I29" i="38"/>
  <c r="I100" i="38" s="1"/>
  <c r="W23" i="19" s="1"/>
  <c r="W100" i="19" s="1"/>
  <c r="H29" i="38"/>
  <c r="G29" i="38"/>
  <c r="I28" i="38"/>
  <c r="I99" i="38" s="1"/>
  <c r="W22" i="19" s="1"/>
  <c r="W99" i="19" s="1"/>
  <c r="H28" i="38"/>
  <c r="G28" i="38"/>
  <c r="I27" i="38"/>
  <c r="I98" i="38" s="1"/>
  <c r="W21" i="19" s="1"/>
  <c r="W98" i="19" s="1"/>
  <c r="H27" i="38"/>
  <c r="G27" i="38"/>
  <c r="I26" i="38"/>
  <c r="I97" i="38" s="1"/>
  <c r="W20" i="19" s="1"/>
  <c r="W97" i="19" s="1"/>
  <c r="H26" i="38"/>
  <c r="G26" i="38"/>
  <c r="F26" i="38"/>
  <c r="N25" i="38"/>
  <c r="N96" i="38" s="1"/>
  <c r="W793" i="19" s="1"/>
  <c r="M25" i="38"/>
  <c r="L25" i="38"/>
  <c r="L96" i="38" s="1"/>
  <c r="W483" i="19" s="1"/>
  <c r="K25" i="38"/>
  <c r="J25" i="38"/>
  <c r="J96" i="38" s="1"/>
  <c r="W173" i="19" s="1"/>
  <c r="I24" i="38"/>
  <c r="I95" i="38" s="1"/>
  <c r="W17" i="19" s="1"/>
  <c r="W94" i="19" s="1"/>
  <c r="H24" i="38"/>
  <c r="G24" i="38"/>
  <c r="I23" i="38"/>
  <c r="H23" i="38"/>
  <c r="G23" i="38"/>
  <c r="I22" i="38"/>
  <c r="I93" i="38" s="1"/>
  <c r="W15" i="19" s="1"/>
  <c r="W92" i="19" s="1"/>
  <c r="H22" i="38"/>
  <c r="G22" i="38"/>
  <c r="I21" i="38"/>
  <c r="H21" i="38"/>
  <c r="G21" i="38"/>
  <c r="I20" i="38"/>
  <c r="I91" i="38" s="1"/>
  <c r="W13" i="19" s="1"/>
  <c r="W90" i="19" s="1"/>
  <c r="H20" i="38"/>
  <c r="G20" i="38"/>
  <c r="F20" i="38"/>
  <c r="N19" i="38"/>
  <c r="M19" i="38"/>
  <c r="L19" i="38"/>
  <c r="K19" i="38"/>
  <c r="J19" i="38"/>
  <c r="B14" i="38"/>
  <c r="F12" i="38"/>
  <c r="H152" i="38" s="1"/>
  <c r="N9" i="38"/>
  <c r="M9" i="38"/>
  <c r="L9" i="38"/>
  <c r="K9" i="38"/>
  <c r="J9" i="38"/>
  <c r="B6" i="38"/>
  <c r="B2" i="38"/>
  <c r="B1" i="38"/>
  <c r="H26" i="21" s="1"/>
  <c r="F169" i="37"/>
  <c r="F168" i="37"/>
  <c r="F167" i="37"/>
  <c r="F166" i="37"/>
  <c r="N165" i="37"/>
  <c r="M165" i="37"/>
  <c r="L165" i="37"/>
  <c r="K165" i="37"/>
  <c r="J165" i="37"/>
  <c r="F164" i="37"/>
  <c r="F162" i="37"/>
  <c r="F161" i="37"/>
  <c r="F160" i="37"/>
  <c r="F159" i="37"/>
  <c r="N158" i="37"/>
  <c r="M158" i="37"/>
  <c r="L158" i="37"/>
  <c r="K158" i="37"/>
  <c r="J158" i="37"/>
  <c r="F157" i="37"/>
  <c r="B155" i="37"/>
  <c r="N149" i="37"/>
  <c r="V855" i="19" s="1"/>
  <c r="V932" i="19" s="1"/>
  <c r="M149" i="37"/>
  <c r="V700" i="19" s="1"/>
  <c r="V777" i="19" s="1"/>
  <c r="L149" i="37"/>
  <c r="V545" i="19" s="1"/>
  <c r="V622" i="19" s="1"/>
  <c r="K149" i="37"/>
  <c r="V390" i="19" s="1"/>
  <c r="V467" i="19" s="1"/>
  <c r="J149" i="37"/>
  <c r="V235" i="19" s="1"/>
  <c r="V312" i="19" s="1"/>
  <c r="I149" i="37"/>
  <c r="V80" i="19" s="1"/>
  <c r="V157" i="19" s="1"/>
  <c r="H149" i="37"/>
  <c r="G149" i="37"/>
  <c r="N148" i="37"/>
  <c r="V854" i="19" s="1"/>
  <c r="V931" i="19" s="1"/>
  <c r="M148" i="37"/>
  <c r="V699" i="19" s="1"/>
  <c r="V776" i="19" s="1"/>
  <c r="L148" i="37"/>
  <c r="V544" i="19" s="1"/>
  <c r="V621" i="19" s="1"/>
  <c r="K148" i="37"/>
  <c r="V389" i="19" s="1"/>
  <c r="V466" i="19" s="1"/>
  <c r="J148" i="37"/>
  <c r="V234" i="19" s="1"/>
  <c r="V311" i="19" s="1"/>
  <c r="H148" i="37"/>
  <c r="G148" i="37"/>
  <c r="N147" i="37"/>
  <c r="V853" i="19" s="1"/>
  <c r="V930" i="19" s="1"/>
  <c r="M147" i="37"/>
  <c r="V698" i="19" s="1"/>
  <c r="V775" i="19" s="1"/>
  <c r="L147" i="37"/>
  <c r="V543" i="19" s="1"/>
  <c r="V620" i="19" s="1"/>
  <c r="K147" i="37"/>
  <c r="V388" i="19" s="1"/>
  <c r="V465" i="19" s="1"/>
  <c r="J147" i="37"/>
  <c r="V233" i="19" s="1"/>
  <c r="V310" i="19" s="1"/>
  <c r="I147" i="37"/>
  <c r="V78" i="19" s="1"/>
  <c r="V155" i="19" s="1"/>
  <c r="H147" i="37"/>
  <c r="G147" i="37"/>
  <c r="N146" i="37"/>
  <c r="V852" i="19" s="1"/>
  <c r="V929" i="19" s="1"/>
  <c r="M146" i="37"/>
  <c r="V697" i="19" s="1"/>
  <c r="V774" i="19" s="1"/>
  <c r="L146" i="37"/>
  <c r="V542" i="19" s="1"/>
  <c r="V619" i="19" s="1"/>
  <c r="K146" i="37"/>
  <c r="V387" i="19" s="1"/>
  <c r="V464" i="19" s="1"/>
  <c r="J146" i="37"/>
  <c r="V232" i="19" s="1"/>
  <c r="V309" i="19" s="1"/>
  <c r="H146" i="37"/>
  <c r="G146" i="37"/>
  <c r="N145" i="37"/>
  <c r="V851" i="19" s="1"/>
  <c r="V928" i="19" s="1"/>
  <c r="M145" i="37"/>
  <c r="V696" i="19" s="1"/>
  <c r="V773" i="19" s="1"/>
  <c r="L145" i="37"/>
  <c r="V541" i="19" s="1"/>
  <c r="V618" i="19" s="1"/>
  <c r="K145" i="37"/>
  <c r="V386" i="19" s="1"/>
  <c r="V463" i="19" s="1"/>
  <c r="J145" i="37"/>
  <c r="V231" i="19" s="1"/>
  <c r="V308" i="19" s="1"/>
  <c r="I145" i="37"/>
  <c r="V76" i="19" s="1"/>
  <c r="V153" i="19" s="1"/>
  <c r="H145" i="37"/>
  <c r="G145" i="37"/>
  <c r="F145" i="37"/>
  <c r="N143" i="37"/>
  <c r="V848" i="19" s="1"/>
  <c r="V925" i="19" s="1"/>
  <c r="M143" i="37"/>
  <c r="V693" i="19" s="1"/>
  <c r="V770" i="19" s="1"/>
  <c r="L143" i="37"/>
  <c r="V538" i="19" s="1"/>
  <c r="V615" i="19" s="1"/>
  <c r="K143" i="37"/>
  <c r="V383" i="19" s="1"/>
  <c r="V460" i="19" s="1"/>
  <c r="J143" i="37"/>
  <c r="V228" i="19" s="1"/>
  <c r="V305" i="19" s="1"/>
  <c r="H143" i="37"/>
  <c r="G143" i="37"/>
  <c r="N142" i="37"/>
  <c r="V847" i="19" s="1"/>
  <c r="V924" i="19" s="1"/>
  <c r="M142" i="37"/>
  <c r="V692" i="19" s="1"/>
  <c r="V769" i="19" s="1"/>
  <c r="L142" i="37"/>
  <c r="V537" i="19" s="1"/>
  <c r="V614" i="19" s="1"/>
  <c r="K142" i="37"/>
  <c r="V382" i="19" s="1"/>
  <c r="V459" i="19" s="1"/>
  <c r="J142" i="37"/>
  <c r="V227" i="19" s="1"/>
  <c r="V304" i="19" s="1"/>
  <c r="H142" i="37"/>
  <c r="G142" i="37"/>
  <c r="N141" i="37"/>
  <c r="V846" i="19" s="1"/>
  <c r="V923" i="19" s="1"/>
  <c r="M141" i="37"/>
  <c r="V691" i="19" s="1"/>
  <c r="V768" i="19" s="1"/>
  <c r="L141" i="37"/>
  <c r="V536" i="19" s="1"/>
  <c r="V613" i="19" s="1"/>
  <c r="K141" i="37"/>
  <c r="V381" i="19" s="1"/>
  <c r="V458" i="19" s="1"/>
  <c r="J141" i="37"/>
  <c r="V226" i="19" s="1"/>
  <c r="V303" i="19" s="1"/>
  <c r="H141" i="37"/>
  <c r="G141" i="37"/>
  <c r="N140" i="37"/>
  <c r="V845" i="19" s="1"/>
  <c r="V922" i="19" s="1"/>
  <c r="M140" i="37"/>
  <c r="V690" i="19" s="1"/>
  <c r="V767" i="19" s="1"/>
  <c r="L140" i="37"/>
  <c r="V535" i="19" s="1"/>
  <c r="V612" i="19" s="1"/>
  <c r="K140" i="37"/>
  <c r="V380" i="19" s="1"/>
  <c r="V457" i="19" s="1"/>
  <c r="J140" i="37"/>
  <c r="V225" i="19" s="1"/>
  <c r="V302" i="19" s="1"/>
  <c r="H140" i="37"/>
  <c r="G140" i="37"/>
  <c r="N139" i="37"/>
  <c r="V844" i="19" s="1"/>
  <c r="V921" i="19" s="1"/>
  <c r="M139" i="37"/>
  <c r="V689" i="19" s="1"/>
  <c r="V766" i="19" s="1"/>
  <c r="L139" i="37"/>
  <c r="V534" i="19" s="1"/>
  <c r="V611" i="19" s="1"/>
  <c r="K139" i="37"/>
  <c r="V379" i="19" s="1"/>
  <c r="V456" i="19" s="1"/>
  <c r="J139" i="37"/>
  <c r="V224" i="19" s="1"/>
  <c r="V301" i="19" s="1"/>
  <c r="H139" i="37"/>
  <c r="G139" i="37"/>
  <c r="F139" i="37"/>
  <c r="N137" i="37"/>
  <c r="V841" i="19" s="1"/>
  <c r="V918" i="19" s="1"/>
  <c r="M137" i="37"/>
  <c r="V686" i="19" s="1"/>
  <c r="V763" i="19" s="1"/>
  <c r="L137" i="37"/>
  <c r="V531" i="19" s="1"/>
  <c r="V608" i="19" s="1"/>
  <c r="K137" i="37"/>
  <c r="V376" i="19" s="1"/>
  <c r="V453" i="19" s="1"/>
  <c r="J137" i="37"/>
  <c r="V221" i="19" s="1"/>
  <c r="V298" i="19" s="1"/>
  <c r="I137" i="37"/>
  <c r="V66" i="19" s="1"/>
  <c r="V143" i="19" s="1"/>
  <c r="H137" i="37"/>
  <c r="G137" i="37"/>
  <c r="N136" i="37"/>
  <c r="V840" i="19" s="1"/>
  <c r="V917" i="19" s="1"/>
  <c r="M136" i="37"/>
  <c r="V685" i="19" s="1"/>
  <c r="V762" i="19" s="1"/>
  <c r="L136" i="37"/>
  <c r="V530" i="19" s="1"/>
  <c r="V607" i="19" s="1"/>
  <c r="K136" i="37"/>
  <c r="V375" i="19" s="1"/>
  <c r="V452" i="19" s="1"/>
  <c r="J136" i="37"/>
  <c r="V220" i="19" s="1"/>
  <c r="V297" i="19" s="1"/>
  <c r="H136" i="37"/>
  <c r="G136" i="37"/>
  <c r="N135" i="37"/>
  <c r="V839" i="19" s="1"/>
  <c r="V916" i="19" s="1"/>
  <c r="M135" i="37"/>
  <c r="V684" i="19" s="1"/>
  <c r="V761" i="19" s="1"/>
  <c r="L135" i="37"/>
  <c r="V529" i="19" s="1"/>
  <c r="V606" i="19" s="1"/>
  <c r="K135" i="37"/>
  <c r="V374" i="19" s="1"/>
  <c r="V451" i="19" s="1"/>
  <c r="J135" i="37"/>
  <c r="V219" i="19" s="1"/>
  <c r="V296" i="19" s="1"/>
  <c r="I135" i="37"/>
  <c r="V64" i="19" s="1"/>
  <c r="V141" i="19" s="1"/>
  <c r="H135" i="37"/>
  <c r="G135" i="37"/>
  <c r="N134" i="37"/>
  <c r="V838" i="19" s="1"/>
  <c r="V915" i="19" s="1"/>
  <c r="M134" i="37"/>
  <c r="V683" i="19" s="1"/>
  <c r="V760" i="19" s="1"/>
  <c r="L134" i="37"/>
  <c r="V528" i="19" s="1"/>
  <c r="V605" i="19" s="1"/>
  <c r="K134" i="37"/>
  <c r="V373" i="19" s="1"/>
  <c r="V450" i="19" s="1"/>
  <c r="J134" i="37"/>
  <c r="V218" i="19" s="1"/>
  <c r="V295" i="19" s="1"/>
  <c r="H134" i="37"/>
  <c r="G134" i="37"/>
  <c r="N133" i="37"/>
  <c r="V837" i="19" s="1"/>
  <c r="V914" i="19" s="1"/>
  <c r="M133" i="37"/>
  <c r="V682" i="19" s="1"/>
  <c r="V759" i="19" s="1"/>
  <c r="L133" i="37"/>
  <c r="V527" i="19" s="1"/>
  <c r="V604" i="19" s="1"/>
  <c r="K133" i="37"/>
  <c r="V372" i="19" s="1"/>
  <c r="V449" i="19" s="1"/>
  <c r="J133" i="37"/>
  <c r="V217" i="19" s="1"/>
  <c r="V294" i="19" s="1"/>
  <c r="I133" i="37"/>
  <c r="V62" i="19" s="1"/>
  <c r="V139" i="19" s="1"/>
  <c r="H133" i="37"/>
  <c r="G133" i="37"/>
  <c r="F133" i="37"/>
  <c r="N131" i="37"/>
  <c r="V834" i="19" s="1"/>
  <c r="V911" i="19" s="1"/>
  <c r="M131" i="37"/>
  <c r="V679" i="19" s="1"/>
  <c r="V756" i="19" s="1"/>
  <c r="L131" i="37"/>
  <c r="V524" i="19" s="1"/>
  <c r="V601" i="19" s="1"/>
  <c r="K131" i="37"/>
  <c r="V369" i="19" s="1"/>
  <c r="V446" i="19" s="1"/>
  <c r="J131" i="37"/>
  <c r="V214" i="19" s="1"/>
  <c r="V291" i="19" s="1"/>
  <c r="H131" i="37"/>
  <c r="G131" i="37"/>
  <c r="N130" i="37"/>
  <c r="V833" i="19" s="1"/>
  <c r="V910" i="19" s="1"/>
  <c r="M130" i="37"/>
  <c r="V678" i="19" s="1"/>
  <c r="V755" i="19" s="1"/>
  <c r="L130" i="37"/>
  <c r="V523" i="19" s="1"/>
  <c r="V600" i="19" s="1"/>
  <c r="K130" i="37"/>
  <c r="V368" i="19" s="1"/>
  <c r="V445" i="19" s="1"/>
  <c r="J130" i="37"/>
  <c r="V213" i="19" s="1"/>
  <c r="V290" i="19" s="1"/>
  <c r="H130" i="37"/>
  <c r="G130" i="37"/>
  <c r="N129" i="37"/>
  <c r="V832" i="19" s="1"/>
  <c r="V909" i="19" s="1"/>
  <c r="M129" i="37"/>
  <c r="V677" i="19" s="1"/>
  <c r="V754" i="19" s="1"/>
  <c r="L129" i="37"/>
  <c r="V522" i="19" s="1"/>
  <c r="V599" i="19" s="1"/>
  <c r="K129" i="37"/>
  <c r="V367" i="19" s="1"/>
  <c r="V444" i="19" s="1"/>
  <c r="J129" i="37"/>
  <c r="V212" i="19" s="1"/>
  <c r="V289" i="19" s="1"/>
  <c r="H129" i="37"/>
  <c r="G129" i="37"/>
  <c r="N128" i="37"/>
  <c r="V831" i="19" s="1"/>
  <c r="V908" i="19" s="1"/>
  <c r="M128" i="37"/>
  <c r="V676" i="19" s="1"/>
  <c r="V753" i="19" s="1"/>
  <c r="L128" i="37"/>
  <c r="V521" i="19" s="1"/>
  <c r="V598" i="19" s="1"/>
  <c r="K128" i="37"/>
  <c r="V366" i="19" s="1"/>
  <c r="V443" i="19" s="1"/>
  <c r="J128" i="37"/>
  <c r="V211" i="19" s="1"/>
  <c r="V288" i="19" s="1"/>
  <c r="H128" i="37"/>
  <c r="G128" i="37"/>
  <c r="N127" i="37"/>
  <c r="V830" i="19" s="1"/>
  <c r="V907" i="19" s="1"/>
  <c r="M127" i="37"/>
  <c r="V675" i="19" s="1"/>
  <c r="V752" i="19" s="1"/>
  <c r="L127" i="37"/>
  <c r="V520" i="19" s="1"/>
  <c r="V597" i="19" s="1"/>
  <c r="K127" i="37"/>
  <c r="V365" i="19" s="1"/>
  <c r="V442" i="19" s="1"/>
  <c r="J127" i="37"/>
  <c r="V210" i="19" s="1"/>
  <c r="V287" i="19" s="1"/>
  <c r="H127" i="37"/>
  <c r="G127" i="37"/>
  <c r="F127" i="37"/>
  <c r="N125" i="37"/>
  <c r="V827" i="19" s="1"/>
  <c r="V904" i="19" s="1"/>
  <c r="M125" i="37"/>
  <c r="V672" i="19" s="1"/>
  <c r="V749" i="19" s="1"/>
  <c r="L125" i="37"/>
  <c r="V517" i="19" s="1"/>
  <c r="V594" i="19" s="1"/>
  <c r="K125" i="37"/>
  <c r="V362" i="19" s="1"/>
  <c r="V439" i="19" s="1"/>
  <c r="J125" i="37"/>
  <c r="V207" i="19" s="1"/>
  <c r="V284" i="19" s="1"/>
  <c r="I125" i="37"/>
  <c r="V52" i="19" s="1"/>
  <c r="V129" i="19" s="1"/>
  <c r="H125" i="37"/>
  <c r="G125" i="37"/>
  <c r="N124" i="37"/>
  <c r="V826" i="19" s="1"/>
  <c r="V903" i="19" s="1"/>
  <c r="M124" i="37"/>
  <c r="V671" i="19" s="1"/>
  <c r="V748" i="19" s="1"/>
  <c r="L124" i="37"/>
  <c r="V516" i="19" s="1"/>
  <c r="V593" i="19" s="1"/>
  <c r="K124" i="37"/>
  <c r="V361" i="19" s="1"/>
  <c r="V438" i="19" s="1"/>
  <c r="J124" i="37"/>
  <c r="V206" i="19" s="1"/>
  <c r="V283" i="19" s="1"/>
  <c r="H124" i="37"/>
  <c r="G124" i="37"/>
  <c r="N123" i="37"/>
  <c r="V825" i="19" s="1"/>
  <c r="V902" i="19" s="1"/>
  <c r="M123" i="37"/>
  <c r="V670" i="19" s="1"/>
  <c r="V747" i="19" s="1"/>
  <c r="L123" i="37"/>
  <c r="V515" i="19" s="1"/>
  <c r="V592" i="19" s="1"/>
  <c r="K123" i="37"/>
  <c r="V360" i="19" s="1"/>
  <c r="V437" i="19" s="1"/>
  <c r="J123" i="37"/>
  <c r="V205" i="19" s="1"/>
  <c r="V282" i="19" s="1"/>
  <c r="I123" i="37"/>
  <c r="V50" i="19" s="1"/>
  <c r="V127" i="19" s="1"/>
  <c r="H123" i="37"/>
  <c r="G123" i="37"/>
  <c r="N122" i="37"/>
  <c r="V824" i="19" s="1"/>
  <c r="V901" i="19" s="1"/>
  <c r="M122" i="37"/>
  <c r="V669" i="19" s="1"/>
  <c r="V746" i="19" s="1"/>
  <c r="L122" i="37"/>
  <c r="V514" i="19" s="1"/>
  <c r="V591" i="19" s="1"/>
  <c r="K122" i="37"/>
  <c r="V359" i="19" s="1"/>
  <c r="V436" i="19" s="1"/>
  <c r="J122" i="37"/>
  <c r="V204" i="19" s="1"/>
  <c r="V281" i="19" s="1"/>
  <c r="H122" i="37"/>
  <c r="G122" i="37"/>
  <c r="N121" i="37"/>
  <c r="V823" i="19" s="1"/>
  <c r="V900" i="19" s="1"/>
  <c r="M121" i="37"/>
  <c r="V668" i="19" s="1"/>
  <c r="V745" i="19" s="1"/>
  <c r="L121" i="37"/>
  <c r="V513" i="19" s="1"/>
  <c r="V590" i="19" s="1"/>
  <c r="K121" i="37"/>
  <c r="V358" i="19" s="1"/>
  <c r="V435" i="19" s="1"/>
  <c r="J121" i="37"/>
  <c r="V203" i="19" s="1"/>
  <c r="V280" i="19" s="1"/>
  <c r="I121" i="37"/>
  <c r="V48" i="19" s="1"/>
  <c r="V125" i="19" s="1"/>
  <c r="H121" i="37"/>
  <c r="G121" i="37"/>
  <c r="F121" i="37"/>
  <c r="N119" i="37"/>
  <c r="V820" i="19" s="1"/>
  <c r="V897" i="19" s="1"/>
  <c r="M119" i="37"/>
  <c r="V665" i="19" s="1"/>
  <c r="V742" i="19" s="1"/>
  <c r="L119" i="37"/>
  <c r="V510" i="19" s="1"/>
  <c r="V587" i="19" s="1"/>
  <c r="K119" i="37"/>
  <c r="V355" i="19" s="1"/>
  <c r="V432" i="19" s="1"/>
  <c r="J119" i="37"/>
  <c r="V200" i="19" s="1"/>
  <c r="V277" i="19" s="1"/>
  <c r="H119" i="37"/>
  <c r="G119" i="37"/>
  <c r="N118" i="37"/>
  <c r="V819" i="19" s="1"/>
  <c r="V896" i="19" s="1"/>
  <c r="M118" i="37"/>
  <c r="V664" i="19" s="1"/>
  <c r="V741" i="19" s="1"/>
  <c r="L118" i="37"/>
  <c r="V509" i="19" s="1"/>
  <c r="V586" i="19" s="1"/>
  <c r="K118" i="37"/>
  <c r="V354" i="19" s="1"/>
  <c r="V431" i="19" s="1"/>
  <c r="J118" i="37"/>
  <c r="V199" i="19" s="1"/>
  <c r="V276" i="19" s="1"/>
  <c r="H118" i="37"/>
  <c r="G118" i="37"/>
  <c r="N117" i="37"/>
  <c r="V818" i="19" s="1"/>
  <c r="V895" i="19" s="1"/>
  <c r="M117" i="37"/>
  <c r="V663" i="19" s="1"/>
  <c r="V740" i="19" s="1"/>
  <c r="L117" i="37"/>
  <c r="V508" i="19" s="1"/>
  <c r="V585" i="19" s="1"/>
  <c r="K117" i="37"/>
  <c r="V353" i="19" s="1"/>
  <c r="V430" i="19" s="1"/>
  <c r="J117" i="37"/>
  <c r="V198" i="19" s="1"/>
  <c r="V275" i="19" s="1"/>
  <c r="H117" i="37"/>
  <c r="G117" i="37"/>
  <c r="N116" i="37"/>
  <c r="V817" i="19" s="1"/>
  <c r="V894" i="19" s="1"/>
  <c r="M116" i="37"/>
  <c r="V662" i="19" s="1"/>
  <c r="V739" i="19" s="1"/>
  <c r="L116" i="37"/>
  <c r="V507" i="19" s="1"/>
  <c r="V584" i="19" s="1"/>
  <c r="K116" i="37"/>
  <c r="V352" i="19" s="1"/>
  <c r="V429" i="19" s="1"/>
  <c r="J116" i="37"/>
  <c r="V197" i="19" s="1"/>
  <c r="V274" i="19" s="1"/>
  <c r="H116" i="37"/>
  <c r="G116" i="37"/>
  <c r="N115" i="37"/>
  <c r="V816" i="19" s="1"/>
  <c r="V893" i="19" s="1"/>
  <c r="M115" i="37"/>
  <c r="V661" i="19" s="1"/>
  <c r="V738" i="19" s="1"/>
  <c r="L115" i="37"/>
  <c r="V506" i="19" s="1"/>
  <c r="V583" i="19" s="1"/>
  <c r="K115" i="37"/>
  <c r="V351" i="19" s="1"/>
  <c r="V428" i="19" s="1"/>
  <c r="J115" i="37"/>
  <c r="V196" i="19" s="1"/>
  <c r="V273" i="19" s="1"/>
  <c r="H115" i="37"/>
  <c r="G115" i="37"/>
  <c r="F115" i="37"/>
  <c r="N113" i="37"/>
  <c r="V813" i="19" s="1"/>
  <c r="V890" i="19" s="1"/>
  <c r="M113" i="37"/>
  <c r="V658" i="19" s="1"/>
  <c r="V735" i="19" s="1"/>
  <c r="L113" i="37"/>
  <c r="V503" i="19" s="1"/>
  <c r="V580" i="19" s="1"/>
  <c r="K113" i="37"/>
  <c r="V348" i="19" s="1"/>
  <c r="V425" i="19" s="1"/>
  <c r="J113" i="37"/>
  <c r="V193" i="19" s="1"/>
  <c r="V270" i="19" s="1"/>
  <c r="I113" i="37"/>
  <c r="V38" i="19" s="1"/>
  <c r="V115" i="19" s="1"/>
  <c r="H113" i="37"/>
  <c r="G113" i="37"/>
  <c r="N112" i="37"/>
  <c r="V812" i="19" s="1"/>
  <c r="V889" i="19" s="1"/>
  <c r="M112" i="37"/>
  <c r="V657" i="19" s="1"/>
  <c r="V734" i="19" s="1"/>
  <c r="L112" i="37"/>
  <c r="V502" i="19" s="1"/>
  <c r="V579" i="19" s="1"/>
  <c r="K112" i="37"/>
  <c r="V347" i="19" s="1"/>
  <c r="V424" i="19" s="1"/>
  <c r="J112" i="37"/>
  <c r="V192" i="19" s="1"/>
  <c r="V269" i="19" s="1"/>
  <c r="H112" i="37"/>
  <c r="G112" i="37"/>
  <c r="N111" i="37"/>
  <c r="V811" i="19" s="1"/>
  <c r="V888" i="19" s="1"/>
  <c r="M111" i="37"/>
  <c r="V656" i="19" s="1"/>
  <c r="V733" i="19" s="1"/>
  <c r="L111" i="37"/>
  <c r="V501" i="19" s="1"/>
  <c r="V578" i="19" s="1"/>
  <c r="K111" i="37"/>
  <c r="V346" i="19" s="1"/>
  <c r="V423" i="19" s="1"/>
  <c r="J111" i="37"/>
  <c r="V191" i="19" s="1"/>
  <c r="V268" i="19" s="1"/>
  <c r="I111" i="37"/>
  <c r="V36" i="19" s="1"/>
  <c r="V113" i="19" s="1"/>
  <c r="H111" i="37"/>
  <c r="G111" i="37"/>
  <c r="N110" i="37"/>
  <c r="V810" i="19" s="1"/>
  <c r="V887" i="19" s="1"/>
  <c r="M110" i="37"/>
  <c r="V655" i="19" s="1"/>
  <c r="V732" i="19" s="1"/>
  <c r="L110" i="37"/>
  <c r="V500" i="19" s="1"/>
  <c r="V577" i="19" s="1"/>
  <c r="K110" i="37"/>
  <c r="V345" i="19" s="1"/>
  <c r="V422" i="19" s="1"/>
  <c r="J110" i="37"/>
  <c r="V190" i="19" s="1"/>
  <c r="V267" i="19" s="1"/>
  <c r="H110" i="37"/>
  <c r="G110" i="37"/>
  <c r="N109" i="37"/>
  <c r="V809" i="19" s="1"/>
  <c r="V886" i="19" s="1"/>
  <c r="M109" i="37"/>
  <c r="V654" i="19" s="1"/>
  <c r="V731" i="19" s="1"/>
  <c r="L109" i="37"/>
  <c r="V499" i="19" s="1"/>
  <c r="V576" i="19" s="1"/>
  <c r="K109" i="37"/>
  <c r="V344" i="19" s="1"/>
  <c r="V421" i="19" s="1"/>
  <c r="J109" i="37"/>
  <c r="V189" i="19" s="1"/>
  <c r="V266" i="19" s="1"/>
  <c r="I109" i="37"/>
  <c r="V34" i="19" s="1"/>
  <c r="V111" i="19" s="1"/>
  <c r="H109" i="37"/>
  <c r="G109" i="37"/>
  <c r="F109" i="37"/>
  <c r="N107" i="37"/>
  <c r="V806" i="19" s="1"/>
  <c r="V883" i="19" s="1"/>
  <c r="M107" i="37"/>
  <c r="V651" i="19" s="1"/>
  <c r="V728" i="19" s="1"/>
  <c r="L107" i="37"/>
  <c r="V496" i="19" s="1"/>
  <c r="V573" i="19" s="1"/>
  <c r="K107" i="37"/>
  <c r="V341" i="19" s="1"/>
  <c r="V418" i="19" s="1"/>
  <c r="J107" i="37"/>
  <c r="V186" i="19" s="1"/>
  <c r="V263" i="19" s="1"/>
  <c r="H107" i="37"/>
  <c r="G107" i="37"/>
  <c r="N106" i="37"/>
  <c r="V805" i="19" s="1"/>
  <c r="V882" i="19" s="1"/>
  <c r="M106" i="37"/>
  <c r="V650" i="19" s="1"/>
  <c r="V727" i="19" s="1"/>
  <c r="L106" i="37"/>
  <c r="V495" i="19" s="1"/>
  <c r="V572" i="19" s="1"/>
  <c r="K106" i="37"/>
  <c r="V340" i="19" s="1"/>
  <c r="V417" i="19" s="1"/>
  <c r="J106" i="37"/>
  <c r="V185" i="19" s="1"/>
  <c r="V262" i="19" s="1"/>
  <c r="H106" i="37"/>
  <c r="G106" i="37"/>
  <c r="N105" i="37"/>
  <c r="V804" i="19" s="1"/>
  <c r="V881" i="19" s="1"/>
  <c r="M105" i="37"/>
  <c r="V649" i="19" s="1"/>
  <c r="V726" i="19" s="1"/>
  <c r="L105" i="37"/>
  <c r="V494" i="19" s="1"/>
  <c r="V571" i="19" s="1"/>
  <c r="K105" i="37"/>
  <c r="V339" i="19" s="1"/>
  <c r="V416" i="19" s="1"/>
  <c r="J105" i="37"/>
  <c r="V184" i="19" s="1"/>
  <c r="V261" i="19" s="1"/>
  <c r="H105" i="37"/>
  <c r="G105" i="37"/>
  <c r="N104" i="37"/>
  <c r="V803" i="19" s="1"/>
  <c r="V880" i="19" s="1"/>
  <c r="M104" i="37"/>
  <c r="V648" i="19" s="1"/>
  <c r="V725" i="19" s="1"/>
  <c r="L104" i="37"/>
  <c r="V493" i="19" s="1"/>
  <c r="V570" i="19" s="1"/>
  <c r="K104" i="37"/>
  <c r="V338" i="19" s="1"/>
  <c r="V415" i="19" s="1"/>
  <c r="J104" i="37"/>
  <c r="V183" i="19" s="1"/>
  <c r="V260" i="19" s="1"/>
  <c r="H104" i="37"/>
  <c r="G104" i="37"/>
  <c r="N103" i="37"/>
  <c r="N108" i="37" s="1"/>
  <c r="V807" i="19" s="1"/>
  <c r="V884" i="19" s="1"/>
  <c r="M103" i="37"/>
  <c r="V647" i="19" s="1"/>
  <c r="V724" i="19" s="1"/>
  <c r="L103" i="37"/>
  <c r="V492" i="19" s="1"/>
  <c r="V569" i="19" s="1"/>
  <c r="K103" i="37"/>
  <c r="V337" i="19" s="1"/>
  <c r="V414" i="19" s="1"/>
  <c r="J103" i="37"/>
  <c r="V182" i="19" s="1"/>
  <c r="V259" i="19" s="1"/>
  <c r="H103" i="37"/>
  <c r="G103" i="37"/>
  <c r="F103" i="37"/>
  <c r="N101" i="37"/>
  <c r="V799" i="19" s="1"/>
  <c r="V876" i="19" s="1"/>
  <c r="M101" i="37"/>
  <c r="V644" i="19" s="1"/>
  <c r="V721" i="19" s="1"/>
  <c r="L101" i="37"/>
  <c r="V489" i="19" s="1"/>
  <c r="V566" i="19" s="1"/>
  <c r="K101" i="37"/>
  <c r="V334" i="19" s="1"/>
  <c r="V411" i="19" s="1"/>
  <c r="J101" i="37"/>
  <c r="V179" i="19" s="1"/>
  <c r="V256" i="19" s="1"/>
  <c r="I101" i="37"/>
  <c r="V24" i="19" s="1"/>
  <c r="V101" i="19" s="1"/>
  <c r="H101" i="37"/>
  <c r="G101" i="37"/>
  <c r="N100" i="37"/>
  <c r="V798" i="19" s="1"/>
  <c r="V875" i="19" s="1"/>
  <c r="M100" i="37"/>
  <c r="V643" i="19" s="1"/>
  <c r="V720" i="19" s="1"/>
  <c r="L100" i="37"/>
  <c r="V488" i="19" s="1"/>
  <c r="V565" i="19" s="1"/>
  <c r="K100" i="37"/>
  <c r="V333" i="19" s="1"/>
  <c r="V410" i="19" s="1"/>
  <c r="J100" i="37"/>
  <c r="V178" i="19" s="1"/>
  <c r="V255" i="19" s="1"/>
  <c r="H100" i="37"/>
  <c r="G100" i="37"/>
  <c r="N99" i="37"/>
  <c r="V797" i="19" s="1"/>
  <c r="V874" i="19" s="1"/>
  <c r="M99" i="37"/>
  <c r="V642" i="19" s="1"/>
  <c r="V719" i="19" s="1"/>
  <c r="L99" i="37"/>
  <c r="V487" i="19" s="1"/>
  <c r="V564" i="19" s="1"/>
  <c r="K99" i="37"/>
  <c r="V332" i="19" s="1"/>
  <c r="V409" i="19" s="1"/>
  <c r="J99" i="37"/>
  <c r="V177" i="19" s="1"/>
  <c r="V254" i="19" s="1"/>
  <c r="I99" i="37"/>
  <c r="V22" i="19" s="1"/>
  <c r="V99" i="19" s="1"/>
  <c r="H99" i="37"/>
  <c r="G99" i="37"/>
  <c r="N98" i="37"/>
  <c r="V796" i="19" s="1"/>
  <c r="V873" i="19" s="1"/>
  <c r="M98" i="37"/>
  <c r="V641" i="19" s="1"/>
  <c r="V718" i="19" s="1"/>
  <c r="L98" i="37"/>
  <c r="V486" i="19" s="1"/>
  <c r="V563" i="19" s="1"/>
  <c r="K98" i="37"/>
  <c r="V331" i="19" s="1"/>
  <c r="V408" i="19" s="1"/>
  <c r="J98" i="37"/>
  <c r="V176" i="19" s="1"/>
  <c r="V253" i="19" s="1"/>
  <c r="H98" i="37"/>
  <c r="G98" i="37"/>
  <c r="N97" i="37"/>
  <c r="V795" i="19" s="1"/>
  <c r="V872" i="19" s="1"/>
  <c r="M97" i="37"/>
  <c r="V640" i="19" s="1"/>
  <c r="V717" i="19" s="1"/>
  <c r="L97" i="37"/>
  <c r="V485" i="19" s="1"/>
  <c r="V562" i="19" s="1"/>
  <c r="K97" i="37"/>
  <c r="V330" i="19" s="1"/>
  <c r="V407" i="19" s="1"/>
  <c r="J97" i="37"/>
  <c r="V175" i="19" s="1"/>
  <c r="V252" i="19" s="1"/>
  <c r="I97" i="37"/>
  <c r="V20" i="19" s="1"/>
  <c r="V97" i="19" s="1"/>
  <c r="H97" i="37"/>
  <c r="G97" i="37"/>
  <c r="F97" i="37"/>
  <c r="N96" i="37"/>
  <c r="V793" i="19" s="1"/>
  <c r="L96" i="37"/>
  <c r="V483" i="19" s="1"/>
  <c r="J96" i="37"/>
  <c r="V173" i="19" s="1"/>
  <c r="N95" i="37"/>
  <c r="V792" i="19" s="1"/>
  <c r="V869" i="19" s="1"/>
  <c r="M95" i="37"/>
  <c r="V637" i="19" s="1"/>
  <c r="V714" i="19" s="1"/>
  <c r="L95" i="37"/>
  <c r="V482" i="19" s="1"/>
  <c r="V559" i="19" s="1"/>
  <c r="K95" i="37"/>
  <c r="V327" i="19" s="1"/>
  <c r="V404" i="19" s="1"/>
  <c r="J95" i="37"/>
  <c r="V172" i="19" s="1"/>
  <c r="V249" i="19" s="1"/>
  <c r="H95" i="37"/>
  <c r="G95" i="37"/>
  <c r="N94" i="37"/>
  <c r="V791" i="19" s="1"/>
  <c r="V868" i="19" s="1"/>
  <c r="M94" i="37"/>
  <c r="V636" i="19" s="1"/>
  <c r="V713" i="19" s="1"/>
  <c r="L94" i="37"/>
  <c r="V481" i="19" s="1"/>
  <c r="V558" i="19" s="1"/>
  <c r="K94" i="37"/>
  <c r="V326" i="19" s="1"/>
  <c r="V403" i="19" s="1"/>
  <c r="J94" i="37"/>
  <c r="V171" i="19" s="1"/>
  <c r="V248" i="19" s="1"/>
  <c r="H94" i="37"/>
  <c r="G94" i="37"/>
  <c r="N93" i="37"/>
  <c r="V790" i="19" s="1"/>
  <c r="V867" i="19" s="1"/>
  <c r="M93" i="37"/>
  <c r="V635" i="19" s="1"/>
  <c r="V712" i="19" s="1"/>
  <c r="L93" i="37"/>
  <c r="V480" i="19" s="1"/>
  <c r="V557" i="19" s="1"/>
  <c r="K93" i="37"/>
  <c r="V325" i="19" s="1"/>
  <c r="V402" i="19" s="1"/>
  <c r="J93" i="37"/>
  <c r="V170" i="19" s="1"/>
  <c r="V247" i="19" s="1"/>
  <c r="H93" i="37"/>
  <c r="G93" i="37"/>
  <c r="N92" i="37"/>
  <c r="V789" i="19" s="1"/>
  <c r="V866" i="19" s="1"/>
  <c r="M92" i="37"/>
  <c r="V634" i="19" s="1"/>
  <c r="V711" i="19" s="1"/>
  <c r="L92" i="37"/>
  <c r="V479" i="19" s="1"/>
  <c r="V556" i="19" s="1"/>
  <c r="K92" i="37"/>
  <c r="V324" i="19" s="1"/>
  <c r="V401" i="19" s="1"/>
  <c r="J92" i="37"/>
  <c r="V169" i="19" s="1"/>
  <c r="V246" i="19" s="1"/>
  <c r="H92" i="37"/>
  <c r="G92" i="37"/>
  <c r="N91" i="37"/>
  <c r="V788" i="19" s="1"/>
  <c r="V865" i="19" s="1"/>
  <c r="M91" i="37"/>
  <c r="V633" i="19" s="1"/>
  <c r="V710" i="19" s="1"/>
  <c r="L91" i="37"/>
  <c r="V478" i="19" s="1"/>
  <c r="V555" i="19" s="1"/>
  <c r="K91" i="37"/>
  <c r="V323" i="19" s="1"/>
  <c r="V400" i="19" s="1"/>
  <c r="J91" i="37"/>
  <c r="V168" i="19" s="1"/>
  <c r="V245" i="19" s="1"/>
  <c r="H91" i="37"/>
  <c r="G91" i="37"/>
  <c r="F91" i="37"/>
  <c r="N90" i="37"/>
  <c r="M90" i="37"/>
  <c r="L90" i="37"/>
  <c r="K90" i="37"/>
  <c r="J90" i="37"/>
  <c r="N81" i="37"/>
  <c r="N20" i="15" s="1"/>
  <c r="N35" i="15" s="1"/>
  <c r="L81" i="37"/>
  <c r="L20" i="15" s="1"/>
  <c r="L35" i="15" s="1"/>
  <c r="J81" i="37"/>
  <c r="J20" i="15" s="1"/>
  <c r="J35" i="15" s="1"/>
  <c r="H81" i="37"/>
  <c r="N79" i="37"/>
  <c r="M79" i="37"/>
  <c r="L79" i="37"/>
  <c r="K79" i="37"/>
  <c r="J79" i="37"/>
  <c r="I78" i="37"/>
  <c r="H78" i="37"/>
  <c r="G78" i="37"/>
  <c r="I77" i="37"/>
  <c r="I148" i="37" s="1"/>
  <c r="V79" i="19" s="1"/>
  <c r="V156" i="19" s="1"/>
  <c r="H77" i="37"/>
  <c r="G77" i="37"/>
  <c r="I76" i="37"/>
  <c r="H76" i="37"/>
  <c r="G76" i="37"/>
  <c r="I75" i="37"/>
  <c r="I146" i="37" s="1"/>
  <c r="V77" i="19" s="1"/>
  <c r="V154" i="19" s="1"/>
  <c r="H75" i="37"/>
  <c r="G75" i="37"/>
  <c r="I74" i="37"/>
  <c r="H74" i="37"/>
  <c r="G74" i="37"/>
  <c r="F74" i="37"/>
  <c r="N73" i="37"/>
  <c r="M73" i="37"/>
  <c r="L73" i="37"/>
  <c r="K73" i="37"/>
  <c r="J73" i="37"/>
  <c r="I72" i="37"/>
  <c r="I143" i="37" s="1"/>
  <c r="V73" i="19" s="1"/>
  <c r="V150" i="19" s="1"/>
  <c r="H72" i="37"/>
  <c r="G72" i="37"/>
  <c r="I71" i="37"/>
  <c r="I142" i="37" s="1"/>
  <c r="V72" i="19" s="1"/>
  <c r="V149" i="19" s="1"/>
  <c r="H71" i="37"/>
  <c r="G71" i="37"/>
  <c r="I70" i="37"/>
  <c r="I141" i="37" s="1"/>
  <c r="V71" i="19" s="1"/>
  <c r="V148" i="19" s="1"/>
  <c r="H70" i="37"/>
  <c r="G70" i="37"/>
  <c r="I69" i="37"/>
  <c r="I73" i="37" s="1"/>
  <c r="I144" i="37" s="1"/>
  <c r="V74" i="19" s="1"/>
  <c r="V151" i="19" s="1"/>
  <c r="H69" i="37"/>
  <c r="G69" i="37"/>
  <c r="I68" i="37"/>
  <c r="I139" i="37" s="1"/>
  <c r="V69" i="19" s="1"/>
  <c r="V146" i="19" s="1"/>
  <c r="H68" i="37"/>
  <c r="G68" i="37"/>
  <c r="F68" i="37"/>
  <c r="N67" i="37"/>
  <c r="M67" i="37"/>
  <c r="L67" i="37"/>
  <c r="K67" i="37"/>
  <c r="J67" i="37"/>
  <c r="I66" i="37"/>
  <c r="H66" i="37"/>
  <c r="G66" i="37"/>
  <c r="I65" i="37"/>
  <c r="I136" i="37" s="1"/>
  <c r="V65" i="19" s="1"/>
  <c r="V142" i="19" s="1"/>
  <c r="H65" i="37"/>
  <c r="G65" i="37"/>
  <c r="I64" i="37"/>
  <c r="H64" i="37"/>
  <c r="G64" i="37"/>
  <c r="I63" i="37"/>
  <c r="I134" i="37" s="1"/>
  <c r="V63" i="19" s="1"/>
  <c r="V140" i="19" s="1"/>
  <c r="H63" i="37"/>
  <c r="G63" i="37"/>
  <c r="I62" i="37"/>
  <c r="H62" i="37"/>
  <c r="G62" i="37"/>
  <c r="F62" i="37"/>
  <c r="N61" i="37"/>
  <c r="M61" i="37"/>
  <c r="L61" i="37"/>
  <c r="K61" i="37"/>
  <c r="J61" i="37"/>
  <c r="I60" i="37"/>
  <c r="I131" i="37" s="1"/>
  <c r="V59" i="19" s="1"/>
  <c r="V136" i="19" s="1"/>
  <c r="H60" i="37"/>
  <c r="G60" i="37"/>
  <c r="I59" i="37"/>
  <c r="I130" i="37" s="1"/>
  <c r="V58" i="19" s="1"/>
  <c r="V135" i="19" s="1"/>
  <c r="H59" i="37"/>
  <c r="G59" i="37"/>
  <c r="I58" i="37"/>
  <c r="I129" i="37" s="1"/>
  <c r="V57" i="19" s="1"/>
  <c r="V134" i="19" s="1"/>
  <c r="H58" i="37"/>
  <c r="G58" i="37"/>
  <c r="I57" i="37"/>
  <c r="I61" i="37" s="1"/>
  <c r="I132" i="37" s="1"/>
  <c r="V60" i="19" s="1"/>
  <c r="V137" i="19" s="1"/>
  <c r="H57" i="37"/>
  <c r="G57" i="37"/>
  <c r="I56" i="37"/>
  <c r="I127" i="37" s="1"/>
  <c r="V55" i="19" s="1"/>
  <c r="V132" i="19" s="1"/>
  <c r="H56" i="37"/>
  <c r="G56" i="37"/>
  <c r="F56" i="37"/>
  <c r="N55" i="37"/>
  <c r="M55" i="37"/>
  <c r="L55" i="37"/>
  <c r="K55" i="37"/>
  <c r="J55" i="37"/>
  <c r="I54" i="37"/>
  <c r="H54" i="37"/>
  <c r="G54" i="37"/>
  <c r="I53" i="37"/>
  <c r="I124" i="37" s="1"/>
  <c r="V51" i="19" s="1"/>
  <c r="V128" i="19" s="1"/>
  <c r="H53" i="37"/>
  <c r="G53" i="37"/>
  <c r="I52" i="37"/>
  <c r="H52" i="37"/>
  <c r="G52" i="37"/>
  <c r="I51" i="37"/>
  <c r="I122" i="37" s="1"/>
  <c r="V49" i="19" s="1"/>
  <c r="V126" i="19" s="1"/>
  <c r="H51" i="37"/>
  <c r="G51" i="37"/>
  <c r="I50" i="37"/>
  <c r="H50" i="37"/>
  <c r="G50" i="37"/>
  <c r="F50" i="37"/>
  <c r="N49" i="37"/>
  <c r="M49" i="37"/>
  <c r="L49" i="37"/>
  <c r="K49" i="37"/>
  <c r="J49" i="37"/>
  <c r="I48" i="37"/>
  <c r="I119" i="37" s="1"/>
  <c r="V45" i="19" s="1"/>
  <c r="V122" i="19" s="1"/>
  <c r="H48" i="37"/>
  <c r="G48" i="37"/>
  <c r="I47" i="37"/>
  <c r="I118" i="37" s="1"/>
  <c r="V44" i="19" s="1"/>
  <c r="V121" i="19" s="1"/>
  <c r="H47" i="37"/>
  <c r="G47" i="37"/>
  <c r="I46" i="37"/>
  <c r="I117" i="37" s="1"/>
  <c r="V43" i="19" s="1"/>
  <c r="V120" i="19" s="1"/>
  <c r="H46" i="37"/>
  <c r="G46" i="37"/>
  <c r="I45" i="37"/>
  <c r="I49" i="37" s="1"/>
  <c r="I120" i="37" s="1"/>
  <c r="V46" i="19" s="1"/>
  <c r="V123" i="19" s="1"/>
  <c r="H45" i="37"/>
  <c r="G45" i="37"/>
  <c r="I44" i="37"/>
  <c r="I115" i="37" s="1"/>
  <c r="V41" i="19" s="1"/>
  <c r="V118" i="19" s="1"/>
  <c r="H44" i="37"/>
  <c r="G44" i="37"/>
  <c r="F44" i="37"/>
  <c r="N43" i="37"/>
  <c r="M43" i="37"/>
  <c r="L43" i="37"/>
  <c r="K43" i="37"/>
  <c r="J43" i="37"/>
  <c r="I42" i="37"/>
  <c r="H42" i="37"/>
  <c r="G42" i="37"/>
  <c r="I41" i="37"/>
  <c r="I112" i="37" s="1"/>
  <c r="V37" i="19" s="1"/>
  <c r="V114" i="19" s="1"/>
  <c r="H41" i="37"/>
  <c r="G41" i="37"/>
  <c r="I40" i="37"/>
  <c r="H40" i="37"/>
  <c r="G40" i="37"/>
  <c r="I39" i="37"/>
  <c r="I110" i="37" s="1"/>
  <c r="V35" i="19" s="1"/>
  <c r="V112" i="19" s="1"/>
  <c r="H39" i="37"/>
  <c r="G39" i="37"/>
  <c r="I38" i="37"/>
  <c r="H38" i="37"/>
  <c r="G38" i="37"/>
  <c r="F38" i="37"/>
  <c r="N37" i="37"/>
  <c r="M37" i="37"/>
  <c r="L37" i="37"/>
  <c r="K37" i="37"/>
  <c r="J37" i="37"/>
  <c r="I36" i="37"/>
  <c r="I107" i="37" s="1"/>
  <c r="V31" i="19" s="1"/>
  <c r="V108" i="19" s="1"/>
  <c r="H36" i="37"/>
  <c r="G36" i="37"/>
  <c r="I35" i="37"/>
  <c r="I106" i="37" s="1"/>
  <c r="V30" i="19" s="1"/>
  <c r="V107" i="19" s="1"/>
  <c r="H35" i="37"/>
  <c r="G35" i="37"/>
  <c r="I34" i="37"/>
  <c r="I105" i="37" s="1"/>
  <c r="V29" i="19" s="1"/>
  <c r="V106" i="19" s="1"/>
  <c r="H34" i="37"/>
  <c r="G34" i="37"/>
  <c r="I33" i="37"/>
  <c r="I104" i="37" s="1"/>
  <c r="V28" i="19" s="1"/>
  <c r="V105" i="19" s="1"/>
  <c r="H33" i="37"/>
  <c r="G33" i="37"/>
  <c r="I32" i="37"/>
  <c r="I103" i="37" s="1"/>
  <c r="V27" i="19" s="1"/>
  <c r="V104" i="19" s="1"/>
  <c r="H32" i="37"/>
  <c r="G32" i="37"/>
  <c r="F32" i="37"/>
  <c r="N31" i="37"/>
  <c r="M31" i="37"/>
  <c r="L31" i="37"/>
  <c r="K31" i="37"/>
  <c r="J31" i="37"/>
  <c r="I30" i="37"/>
  <c r="H30" i="37"/>
  <c r="G30" i="37"/>
  <c r="I29" i="37"/>
  <c r="I100" i="37" s="1"/>
  <c r="V23" i="19" s="1"/>
  <c r="V100" i="19" s="1"/>
  <c r="H29" i="37"/>
  <c r="G29" i="37"/>
  <c r="I28" i="37"/>
  <c r="H28" i="37"/>
  <c r="G28" i="37"/>
  <c r="I27" i="37"/>
  <c r="I98" i="37" s="1"/>
  <c r="V21" i="19" s="1"/>
  <c r="V98" i="19" s="1"/>
  <c r="H27" i="37"/>
  <c r="G27" i="37"/>
  <c r="I26" i="37"/>
  <c r="H26" i="37"/>
  <c r="G26" i="37"/>
  <c r="F26" i="37"/>
  <c r="N25" i="37"/>
  <c r="M25" i="37"/>
  <c r="L25" i="37"/>
  <c r="K25" i="37"/>
  <c r="J25" i="37"/>
  <c r="I24" i="37"/>
  <c r="I95" i="37" s="1"/>
  <c r="V17" i="19" s="1"/>
  <c r="V94" i="19" s="1"/>
  <c r="H24" i="37"/>
  <c r="G24" i="37"/>
  <c r="I23" i="37"/>
  <c r="I94" i="37" s="1"/>
  <c r="V16" i="19" s="1"/>
  <c r="V93" i="19" s="1"/>
  <c r="H23" i="37"/>
  <c r="G23" i="37"/>
  <c r="I22" i="37"/>
  <c r="I93" i="37" s="1"/>
  <c r="V15" i="19" s="1"/>
  <c r="V92" i="19" s="1"/>
  <c r="H22" i="37"/>
  <c r="G22" i="37"/>
  <c r="I21" i="37"/>
  <c r="I92" i="37" s="1"/>
  <c r="V14" i="19" s="1"/>
  <c r="V91" i="19" s="1"/>
  <c r="H21" i="37"/>
  <c r="G21" i="37"/>
  <c r="I20" i="37"/>
  <c r="I91" i="37" s="1"/>
  <c r="V13" i="19" s="1"/>
  <c r="V90" i="19" s="1"/>
  <c r="H20" i="37"/>
  <c r="G20" i="37"/>
  <c r="F20" i="37"/>
  <c r="N19" i="37"/>
  <c r="M19" i="37"/>
  <c r="L19" i="37"/>
  <c r="K19" i="37"/>
  <c r="J19" i="37"/>
  <c r="B14" i="37"/>
  <c r="F12" i="37"/>
  <c r="H152" i="37" s="1"/>
  <c r="N9" i="37"/>
  <c r="M9" i="37"/>
  <c r="L9" i="37"/>
  <c r="K9" i="37"/>
  <c r="J9" i="37"/>
  <c r="B6" i="37"/>
  <c r="B2" i="37"/>
  <c r="B1" i="37"/>
  <c r="H25" i="21" s="1"/>
  <c r="F169" i="14"/>
  <c r="F168" i="14"/>
  <c r="F167" i="14"/>
  <c r="F166" i="14"/>
  <c r="N165" i="14"/>
  <c r="M165" i="14"/>
  <c r="L165" i="14"/>
  <c r="K165" i="14"/>
  <c r="J165" i="14"/>
  <c r="F164" i="14"/>
  <c r="F162" i="14"/>
  <c r="F161" i="14"/>
  <c r="F160" i="14"/>
  <c r="F159" i="14"/>
  <c r="N158" i="14"/>
  <c r="M158" i="14"/>
  <c r="L158" i="14"/>
  <c r="K158" i="14"/>
  <c r="J158" i="14"/>
  <c r="F157" i="14"/>
  <c r="B155" i="14"/>
  <c r="N149" i="14"/>
  <c r="M149" i="14"/>
  <c r="U700" i="19" s="1"/>
  <c r="U777" i="19" s="1"/>
  <c r="L149" i="14"/>
  <c r="K149" i="14"/>
  <c r="U390" i="19" s="1"/>
  <c r="U467" i="19" s="1"/>
  <c r="J149" i="14"/>
  <c r="H149" i="14"/>
  <c r="G149" i="14"/>
  <c r="N148" i="14"/>
  <c r="M148" i="14"/>
  <c r="U699" i="19" s="1"/>
  <c r="L148" i="14"/>
  <c r="K148" i="14"/>
  <c r="U389" i="19" s="1"/>
  <c r="J148" i="14"/>
  <c r="H148" i="14"/>
  <c r="G148" i="14"/>
  <c r="N147" i="14"/>
  <c r="M147" i="14"/>
  <c r="U698" i="19" s="1"/>
  <c r="U775" i="19" s="1"/>
  <c r="L147" i="14"/>
  <c r="K147" i="14"/>
  <c r="U388" i="19" s="1"/>
  <c r="U465" i="19" s="1"/>
  <c r="J147" i="14"/>
  <c r="H147" i="14"/>
  <c r="G147" i="14"/>
  <c r="N146" i="14"/>
  <c r="M146" i="14"/>
  <c r="U697" i="19" s="1"/>
  <c r="L146" i="14"/>
  <c r="K146" i="14"/>
  <c r="U387" i="19" s="1"/>
  <c r="J146" i="14"/>
  <c r="H146" i="14"/>
  <c r="G146" i="14"/>
  <c r="N145" i="14"/>
  <c r="M145" i="14"/>
  <c r="U696" i="19" s="1"/>
  <c r="U773" i="19" s="1"/>
  <c r="L145" i="14"/>
  <c r="K145" i="14"/>
  <c r="U386" i="19" s="1"/>
  <c r="U463" i="19" s="1"/>
  <c r="J145" i="14"/>
  <c r="H145" i="14"/>
  <c r="G145" i="14"/>
  <c r="F145" i="14"/>
  <c r="N143" i="14"/>
  <c r="U848" i="19" s="1"/>
  <c r="M143" i="14"/>
  <c r="L143" i="14"/>
  <c r="U538" i="19" s="1"/>
  <c r="U615" i="19" s="1"/>
  <c r="K143" i="14"/>
  <c r="J143" i="14"/>
  <c r="U228" i="19" s="1"/>
  <c r="U305" i="19" s="1"/>
  <c r="H143" i="14"/>
  <c r="G143" i="14"/>
  <c r="N142" i="14"/>
  <c r="U847" i="19" s="1"/>
  <c r="U924" i="19" s="1"/>
  <c r="M142" i="14"/>
  <c r="L142" i="14"/>
  <c r="U537" i="19" s="1"/>
  <c r="U614" i="19" s="1"/>
  <c r="K142" i="14"/>
  <c r="J142" i="14"/>
  <c r="U227" i="19" s="1"/>
  <c r="U304" i="19" s="1"/>
  <c r="H142" i="14"/>
  <c r="G142" i="14"/>
  <c r="N141" i="14"/>
  <c r="U846" i="19" s="1"/>
  <c r="M141" i="14"/>
  <c r="L141" i="14"/>
  <c r="U536" i="19" s="1"/>
  <c r="U613" i="19" s="1"/>
  <c r="K141" i="14"/>
  <c r="J141" i="14"/>
  <c r="U226" i="19" s="1"/>
  <c r="U303" i="19" s="1"/>
  <c r="H141" i="14"/>
  <c r="G141" i="14"/>
  <c r="N140" i="14"/>
  <c r="U845" i="19" s="1"/>
  <c r="U922" i="19" s="1"/>
  <c r="M140" i="14"/>
  <c r="L140" i="14"/>
  <c r="U535" i="19" s="1"/>
  <c r="U612" i="19" s="1"/>
  <c r="K140" i="14"/>
  <c r="J140" i="14"/>
  <c r="U225" i="19" s="1"/>
  <c r="H140" i="14"/>
  <c r="G140" i="14"/>
  <c r="N139" i="14"/>
  <c r="U844" i="19" s="1"/>
  <c r="M139" i="14"/>
  <c r="L139" i="14"/>
  <c r="U534" i="19" s="1"/>
  <c r="U611" i="19" s="1"/>
  <c r="K139" i="14"/>
  <c r="J139" i="14"/>
  <c r="U224" i="19" s="1"/>
  <c r="U301" i="19" s="1"/>
  <c r="H139" i="14"/>
  <c r="G139" i="14"/>
  <c r="F139" i="14"/>
  <c r="N137" i="14"/>
  <c r="M137" i="14"/>
  <c r="U686" i="19" s="1"/>
  <c r="U763" i="19" s="1"/>
  <c r="L137" i="14"/>
  <c r="K137" i="14"/>
  <c r="U376" i="19" s="1"/>
  <c r="U453" i="19" s="1"/>
  <c r="J137" i="14"/>
  <c r="H137" i="14"/>
  <c r="G137" i="14"/>
  <c r="N136" i="14"/>
  <c r="M136" i="14"/>
  <c r="U685" i="19" s="1"/>
  <c r="L136" i="14"/>
  <c r="K136" i="14"/>
  <c r="U375" i="19" s="1"/>
  <c r="J136" i="14"/>
  <c r="H136" i="14"/>
  <c r="G136" i="14"/>
  <c r="N135" i="14"/>
  <c r="M135" i="14"/>
  <c r="U684" i="19" s="1"/>
  <c r="U761" i="19" s="1"/>
  <c r="L135" i="14"/>
  <c r="K135" i="14"/>
  <c r="U374" i="19" s="1"/>
  <c r="U451" i="19" s="1"/>
  <c r="J135" i="14"/>
  <c r="H135" i="14"/>
  <c r="G135" i="14"/>
  <c r="N134" i="14"/>
  <c r="M134" i="14"/>
  <c r="U683" i="19" s="1"/>
  <c r="L134" i="14"/>
  <c r="K134" i="14"/>
  <c r="U373" i="19" s="1"/>
  <c r="J134" i="14"/>
  <c r="H134" i="14"/>
  <c r="G134" i="14"/>
  <c r="N133" i="14"/>
  <c r="M133" i="14"/>
  <c r="U682" i="19" s="1"/>
  <c r="U759" i="19" s="1"/>
  <c r="L133" i="14"/>
  <c r="K133" i="14"/>
  <c r="U372" i="19" s="1"/>
  <c r="U449" i="19" s="1"/>
  <c r="J133" i="14"/>
  <c r="H133" i="14"/>
  <c r="G133" i="14"/>
  <c r="F133" i="14"/>
  <c r="K132" i="14"/>
  <c r="U370" i="19" s="1"/>
  <c r="U447" i="19" s="1"/>
  <c r="N131" i="14"/>
  <c r="U834" i="19" s="1"/>
  <c r="M131" i="14"/>
  <c r="L131" i="14"/>
  <c r="U524" i="19" s="1"/>
  <c r="U601" i="19" s="1"/>
  <c r="K131" i="14"/>
  <c r="J131" i="14"/>
  <c r="U214" i="19" s="1"/>
  <c r="U291" i="19" s="1"/>
  <c r="H131" i="14"/>
  <c r="G131" i="14"/>
  <c r="N130" i="14"/>
  <c r="U833" i="19" s="1"/>
  <c r="U910" i="19" s="1"/>
  <c r="M130" i="14"/>
  <c r="L130" i="14"/>
  <c r="U523" i="19" s="1"/>
  <c r="U600" i="19" s="1"/>
  <c r="K130" i="14"/>
  <c r="J130" i="14"/>
  <c r="U213" i="19" s="1"/>
  <c r="U290" i="19" s="1"/>
  <c r="H130" i="14"/>
  <c r="G130" i="14"/>
  <c r="N129" i="14"/>
  <c r="U832" i="19" s="1"/>
  <c r="M129" i="14"/>
  <c r="L129" i="14"/>
  <c r="U522" i="19" s="1"/>
  <c r="U599" i="19" s="1"/>
  <c r="K129" i="14"/>
  <c r="J129" i="14"/>
  <c r="U212" i="19" s="1"/>
  <c r="U289" i="19" s="1"/>
  <c r="H129" i="14"/>
  <c r="G129" i="14"/>
  <c r="N128" i="14"/>
  <c r="U831" i="19" s="1"/>
  <c r="U908" i="19" s="1"/>
  <c r="M128" i="14"/>
  <c r="L128" i="14"/>
  <c r="U521" i="19" s="1"/>
  <c r="U598" i="19" s="1"/>
  <c r="K128" i="14"/>
  <c r="J128" i="14"/>
  <c r="U211" i="19" s="1"/>
  <c r="H128" i="14"/>
  <c r="G128" i="14"/>
  <c r="N127" i="14"/>
  <c r="U830" i="19" s="1"/>
  <c r="M127" i="14"/>
  <c r="L127" i="14"/>
  <c r="U520" i="19" s="1"/>
  <c r="U597" i="19" s="1"/>
  <c r="K127" i="14"/>
  <c r="J127" i="14"/>
  <c r="U210" i="19" s="1"/>
  <c r="U287" i="19" s="1"/>
  <c r="H127" i="14"/>
  <c r="G127" i="14"/>
  <c r="F127" i="14"/>
  <c r="N125" i="14"/>
  <c r="M125" i="14"/>
  <c r="U672" i="19" s="1"/>
  <c r="U749" i="19" s="1"/>
  <c r="L125" i="14"/>
  <c r="K125" i="14"/>
  <c r="U362" i="19" s="1"/>
  <c r="U439" i="19" s="1"/>
  <c r="J125" i="14"/>
  <c r="H125" i="14"/>
  <c r="G125" i="14"/>
  <c r="N124" i="14"/>
  <c r="M124" i="14"/>
  <c r="U671" i="19" s="1"/>
  <c r="L124" i="14"/>
  <c r="K124" i="14"/>
  <c r="U361" i="19" s="1"/>
  <c r="J124" i="14"/>
  <c r="H124" i="14"/>
  <c r="G124" i="14"/>
  <c r="N123" i="14"/>
  <c r="M123" i="14"/>
  <c r="U670" i="19" s="1"/>
  <c r="U747" i="19" s="1"/>
  <c r="L123" i="14"/>
  <c r="K123" i="14"/>
  <c r="U360" i="19" s="1"/>
  <c r="U437" i="19" s="1"/>
  <c r="J123" i="14"/>
  <c r="H123" i="14"/>
  <c r="G123" i="14"/>
  <c r="N122" i="14"/>
  <c r="M122" i="14"/>
  <c r="U669" i="19" s="1"/>
  <c r="L122" i="14"/>
  <c r="K122" i="14"/>
  <c r="U359" i="19" s="1"/>
  <c r="J122" i="14"/>
  <c r="H122" i="14"/>
  <c r="G122" i="14"/>
  <c r="N121" i="14"/>
  <c r="M121" i="14"/>
  <c r="U668" i="19" s="1"/>
  <c r="U745" i="19" s="1"/>
  <c r="L121" i="14"/>
  <c r="K121" i="14"/>
  <c r="U358" i="19" s="1"/>
  <c r="U435" i="19" s="1"/>
  <c r="J121" i="14"/>
  <c r="H121" i="14"/>
  <c r="G121" i="14"/>
  <c r="F121" i="14"/>
  <c r="N119" i="14"/>
  <c r="U820" i="19" s="1"/>
  <c r="M119" i="14"/>
  <c r="L119" i="14"/>
  <c r="U510" i="19" s="1"/>
  <c r="U587" i="19" s="1"/>
  <c r="K119" i="14"/>
  <c r="J119" i="14"/>
  <c r="U200" i="19" s="1"/>
  <c r="U277" i="19" s="1"/>
  <c r="H119" i="14"/>
  <c r="G119" i="14"/>
  <c r="N118" i="14"/>
  <c r="U819" i="19" s="1"/>
  <c r="U896" i="19" s="1"/>
  <c r="M118" i="14"/>
  <c r="L118" i="14"/>
  <c r="U509" i="19" s="1"/>
  <c r="U586" i="19" s="1"/>
  <c r="K118" i="14"/>
  <c r="J118" i="14"/>
  <c r="U199" i="19" s="1"/>
  <c r="U276" i="19" s="1"/>
  <c r="H118" i="14"/>
  <c r="G118" i="14"/>
  <c r="N117" i="14"/>
  <c r="U818" i="19" s="1"/>
  <c r="U895" i="19" s="1"/>
  <c r="M117" i="14"/>
  <c r="U663" i="19" s="1"/>
  <c r="U740" i="19" s="1"/>
  <c r="L117" i="14"/>
  <c r="U508" i="19" s="1"/>
  <c r="U585" i="19" s="1"/>
  <c r="K117" i="14"/>
  <c r="U353" i="19" s="1"/>
  <c r="U430" i="19" s="1"/>
  <c r="J117" i="14"/>
  <c r="U198" i="19" s="1"/>
  <c r="U275" i="19" s="1"/>
  <c r="H117" i="14"/>
  <c r="G117" i="14"/>
  <c r="N116" i="14"/>
  <c r="U817" i="19" s="1"/>
  <c r="U894" i="19" s="1"/>
  <c r="M116" i="14"/>
  <c r="U662" i="19" s="1"/>
  <c r="U739" i="19" s="1"/>
  <c r="L116" i="14"/>
  <c r="U507" i="19" s="1"/>
  <c r="U584" i="19" s="1"/>
  <c r="K116" i="14"/>
  <c r="U352" i="19" s="1"/>
  <c r="U429" i="19" s="1"/>
  <c r="J116" i="14"/>
  <c r="U197" i="19" s="1"/>
  <c r="U274" i="19" s="1"/>
  <c r="H116" i="14"/>
  <c r="G116" i="14"/>
  <c r="N115" i="14"/>
  <c r="U816" i="19" s="1"/>
  <c r="U893" i="19" s="1"/>
  <c r="M115" i="14"/>
  <c r="U661" i="19" s="1"/>
  <c r="U738" i="19" s="1"/>
  <c r="L115" i="14"/>
  <c r="U506" i="19" s="1"/>
  <c r="U583" i="19" s="1"/>
  <c r="K115" i="14"/>
  <c r="U351" i="19" s="1"/>
  <c r="U428" i="19" s="1"/>
  <c r="J115" i="14"/>
  <c r="U196" i="19" s="1"/>
  <c r="U273" i="19" s="1"/>
  <c r="H115" i="14"/>
  <c r="G115" i="14"/>
  <c r="F115" i="14"/>
  <c r="N113" i="14"/>
  <c r="M113" i="14"/>
  <c r="U658" i="19" s="1"/>
  <c r="U735" i="19" s="1"/>
  <c r="L113" i="14"/>
  <c r="K113" i="14"/>
  <c r="U348" i="19" s="1"/>
  <c r="U425" i="19" s="1"/>
  <c r="J113" i="14"/>
  <c r="H113" i="14"/>
  <c r="G113" i="14"/>
  <c r="N112" i="14"/>
  <c r="M112" i="14"/>
  <c r="U657" i="19" s="1"/>
  <c r="L112" i="14"/>
  <c r="K112" i="14"/>
  <c r="U347" i="19" s="1"/>
  <c r="J112" i="14"/>
  <c r="H112" i="14"/>
  <c r="G112" i="14"/>
  <c r="N111" i="14"/>
  <c r="U811" i="19" s="1"/>
  <c r="U888" i="19" s="1"/>
  <c r="M111" i="14"/>
  <c r="U656" i="19" s="1"/>
  <c r="U733" i="19" s="1"/>
  <c r="L111" i="14"/>
  <c r="U501" i="19" s="1"/>
  <c r="U578" i="19" s="1"/>
  <c r="K111" i="14"/>
  <c r="U346" i="19" s="1"/>
  <c r="U423" i="19" s="1"/>
  <c r="J111" i="14"/>
  <c r="U191" i="19" s="1"/>
  <c r="U268" i="19" s="1"/>
  <c r="H111" i="14"/>
  <c r="G111" i="14"/>
  <c r="N110" i="14"/>
  <c r="U810" i="19" s="1"/>
  <c r="U887" i="19" s="1"/>
  <c r="M110" i="14"/>
  <c r="U655" i="19" s="1"/>
  <c r="U732" i="19" s="1"/>
  <c r="L110" i="14"/>
  <c r="U500" i="19" s="1"/>
  <c r="U577" i="19" s="1"/>
  <c r="K110" i="14"/>
  <c r="U345" i="19" s="1"/>
  <c r="U422" i="19" s="1"/>
  <c r="J110" i="14"/>
  <c r="U190" i="19" s="1"/>
  <c r="U267" i="19" s="1"/>
  <c r="H110" i="14"/>
  <c r="G110" i="14"/>
  <c r="N109" i="14"/>
  <c r="U809" i="19" s="1"/>
  <c r="U886" i="19" s="1"/>
  <c r="M109" i="14"/>
  <c r="U654" i="19" s="1"/>
  <c r="U731" i="19" s="1"/>
  <c r="L109" i="14"/>
  <c r="U499" i="19" s="1"/>
  <c r="U576" i="19" s="1"/>
  <c r="K109" i="14"/>
  <c r="U344" i="19" s="1"/>
  <c r="U421" i="19" s="1"/>
  <c r="J109" i="14"/>
  <c r="U189" i="19" s="1"/>
  <c r="U266" i="19" s="1"/>
  <c r="H109" i="14"/>
  <c r="G109" i="14"/>
  <c r="F109" i="14"/>
  <c r="K108" i="14"/>
  <c r="U342" i="19" s="1"/>
  <c r="U419" i="19" s="1"/>
  <c r="N107" i="14"/>
  <c r="U806" i="19" s="1"/>
  <c r="M107" i="14"/>
  <c r="L107" i="14"/>
  <c r="U496" i="19" s="1"/>
  <c r="U573" i="19" s="1"/>
  <c r="K107" i="14"/>
  <c r="J107" i="14"/>
  <c r="U186" i="19" s="1"/>
  <c r="U263" i="19" s="1"/>
  <c r="H107" i="14"/>
  <c r="G107" i="14"/>
  <c r="N106" i="14"/>
  <c r="U805" i="19" s="1"/>
  <c r="U882" i="19" s="1"/>
  <c r="M106" i="14"/>
  <c r="L106" i="14"/>
  <c r="U495" i="19" s="1"/>
  <c r="U572" i="19" s="1"/>
  <c r="K106" i="14"/>
  <c r="J106" i="14"/>
  <c r="U185" i="19" s="1"/>
  <c r="U262" i="19" s="1"/>
  <c r="H106" i="14"/>
  <c r="G106" i="14"/>
  <c r="N105" i="14"/>
  <c r="U804" i="19" s="1"/>
  <c r="M105" i="14"/>
  <c r="L105" i="14"/>
  <c r="U494" i="19" s="1"/>
  <c r="U571" i="19" s="1"/>
  <c r="K105" i="14"/>
  <c r="J105" i="14"/>
  <c r="U184" i="19" s="1"/>
  <c r="U261" i="19" s="1"/>
  <c r="H105" i="14"/>
  <c r="G105" i="14"/>
  <c r="N104" i="14"/>
  <c r="U803" i="19" s="1"/>
  <c r="U880" i="19" s="1"/>
  <c r="M104" i="14"/>
  <c r="U648" i="19" s="1"/>
  <c r="U725" i="19" s="1"/>
  <c r="L104" i="14"/>
  <c r="U493" i="19" s="1"/>
  <c r="U570" i="19" s="1"/>
  <c r="K104" i="14"/>
  <c r="U338" i="19" s="1"/>
  <c r="U415" i="19" s="1"/>
  <c r="J104" i="14"/>
  <c r="U183" i="19" s="1"/>
  <c r="U260" i="19" s="1"/>
  <c r="H104" i="14"/>
  <c r="G104" i="14"/>
  <c r="N103" i="14"/>
  <c r="U802" i="19" s="1"/>
  <c r="U879" i="19" s="1"/>
  <c r="M103" i="14"/>
  <c r="U647" i="19" s="1"/>
  <c r="U724" i="19" s="1"/>
  <c r="L103" i="14"/>
  <c r="U492" i="19" s="1"/>
  <c r="U569" i="19" s="1"/>
  <c r="K103" i="14"/>
  <c r="U337" i="19" s="1"/>
  <c r="U414" i="19" s="1"/>
  <c r="J103" i="14"/>
  <c r="U182" i="19" s="1"/>
  <c r="U259" i="19" s="1"/>
  <c r="H103" i="14"/>
  <c r="G103" i="14"/>
  <c r="F103" i="14"/>
  <c r="N101" i="14"/>
  <c r="M101" i="14"/>
  <c r="U644" i="19" s="1"/>
  <c r="U721" i="19" s="1"/>
  <c r="L101" i="14"/>
  <c r="K101" i="14"/>
  <c r="U334" i="19" s="1"/>
  <c r="U411" i="19" s="1"/>
  <c r="J101" i="14"/>
  <c r="H101" i="14"/>
  <c r="G101" i="14"/>
  <c r="N100" i="14"/>
  <c r="M100" i="14"/>
  <c r="U643" i="19" s="1"/>
  <c r="L100" i="14"/>
  <c r="K100" i="14"/>
  <c r="J100" i="14"/>
  <c r="H100" i="14"/>
  <c r="G100" i="14"/>
  <c r="N99" i="14"/>
  <c r="U797" i="19" s="1"/>
  <c r="U874" i="19" s="1"/>
  <c r="M99" i="14"/>
  <c r="U642" i="19" s="1"/>
  <c r="U719" i="19" s="1"/>
  <c r="L99" i="14"/>
  <c r="U487" i="19" s="1"/>
  <c r="U564" i="19" s="1"/>
  <c r="K99" i="14"/>
  <c r="U332" i="19" s="1"/>
  <c r="U409" i="19" s="1"/>
  <c r="J99" i="14"/>
  <c r="U177" i="19" s="1"/>
  <c r="U254" i="19" s="1"/>
  <c r="H99" i="14"/>
  <c r="G99" i="14"/>
  <c r="N98" i="14"/>
  <c r="U796" i="19" s="1"/>
  <c r="U873" i="19" s="1"/>
  <c r="M98" i="14"/>
  <c r="U641" i="19" s="1"/>
  <c r="U718" i="19" s="1"/>
  <c r="L98" i="14"/>
  <c r="U486" i="19" s="1"/>
  <c r="U563" i="19" s="1"/>
  <c r="K98" i="14"/>
  <c r="U331" i="19" s="1"/>
  <c r="U408" i="19" s="1"/>
  <c r="J98" i="14"/>
  <c r="U176" i="19" s="1"/>
  <c r="U253" i="19" s="1"/>
  <c r="H98" i="14"/>
  <c r="G98" i="14"/>
  <c r="N97" i="14"/>
  <c r="U795" i="19" s="1"/>
  <c r="U872" i="19" s="1"/>
  <c r="M97" i="14"/>
  <c r="L97" i="14"/>
  <c r="U485" i="19" s="1"/>
  <c r="U562" i="19" s="1"/>
  <c r="K97" i="14"/>
  <c r="J97" i="14"/>
  <c r="U175" i="19" s="1"/>
  <c r="U252" i="19" s="1"/>
  <c r="H97" i="14"/>
  <c r="G97" i="14"/>
  <c r="F97" i="14"/>
  <c r="N95" i="14"/>
  <c r="M95" i="14"/>
  <c r="L95" i="14"/>
  <c r="K95" i="14"/>
  <c r="J95" i="14"/>
  <c r="H95" i="14"/>
  <c r="G95" i="14"/>
  <c r="N94" i="14"/>
  <c r="U791" i="19" s="1"/>
  <c r="U868" i="19" s="1"/>
  <c r="M94" i="14"/>
  <c r="U636" i="19" s="1"/>
  <c r="U713" i="19" s="1"/>
  <c r="L94" i="14"/>
  <c r="U481" i="19" s="1"/>
  <c r="U558" i="19" s="1"/>
  <c r="K94" i="14"/>
  <c r="U326" i="19" s="1"/>
  <c r="U403" i="19" s="1"/>
  <c r="J94" i="14"/>
  <c r="U171" i="19" s="1"/>
  <c r="U248" i="19" s="1"/>
  <c r="H94" i="14"/>
  <c r="G94" i="14"/>
  <c r="N93" i="14"/>
  <c r="U790" i="19" s="1"/>
  <c r="U867" i="19" s="1"/>
  <c r="M93" i="14"/>
  <c r="U635" i="19" s="1"/>
  <c r="U712" i="19" s="1"/>
  <c r="L93" i="14"/>
  <c r="U480" i="19" s="1"/>
  <c r="U557" i="19" s="1"/>
  <c r="K93" i="14"/>
  <c r="U325" i="19" s="1"/>
  <c r="U402" i="19" s="1"/>
  <c r="J93" i="14"/>
  <c r="U170" i="19" s="1"/>
  <c r="U247" i="19" s="1"/>
  <c r="H93" i="14"/>
  <c r="G93" i="14"/>
  <c r="N92" i="14"/>
  <c r="U789" i="19" s="1"/>
  <c r="U866" i="19" s="1"/>
  <c r="M92" i="14"/>
  <c r="U634" i="19" s="1"/>
  <c r="U711" i="19" s="1"/>
  <c r="L92" i="14"/>
  <c r="U479" i="19" s="1"/>
  <c r="U556" i="19" s="1"/>
  <c r="K92" i="14"/>
  <c r="U324" i="19" s="1"/>
  <c r="U401" i="19" s="1"/>
  <c r="J92" i="14"/>
  <c r="U169" i="19" s="1"/>
  <c r="U246" i="19" s="1"/>
  <c r="H92" i="14"/>
  <c r="G92" i="14"/>
  <c r="N91" i="14"/>
  <c r="U788" i="19" s="1"/>
  <c r="U865" i="19" s="1"/>
  <c r="M91" i="14"/>
  <c r="U633" i="19" s="1"/>
  <c r="U710" i="19" s="1"/>
  <c r="L91" i="14"/>
  <c r="U478" i="19" s="1"/>
  <c r="U555" i="19" s="1"/>
  <c r="K91" i="14"/>
  <c r="U323" i="19" s="1"/>
  <c r="U400" i="19" s="1"/>
  <c r="J91" i="14"/>
  <c r="U168" i="19" s="1"/>
  <c r="U245" i="19" s="1"/>
  <c r="H91" i="14"/>
  <c r="G91" i="14"/>
  <c r="F91" i="14"/>
  <c r="N90" i="14"/>
  <c r="M90" i="14"/>
  <c r="L90" i="14"/>
  <c r="K90" i="14"/>
  <c r="J90" i="14"/>
  <c r="N79" i="14"/>
  <c r="M79" i="14"/>
  <c r="L79" i="14"/>
  <c r="K79" i="14"/>
  <c r="J79" i="14"/>
  <c r="I78" i="14"/>
  <c r="I149" i="14" s="1"/>
  <c r="U80" i="19" s="1"/>
  <c r="U157" i="19" s="1"/>
  <c r="H78" i="14"/>
  <c r="G78" i="14"/>
  <c r="I77" i="14"/>
  <c r="I148" i="14" s="1"/>
  <c r="U79" i="19" s="1"/>
  <c r="U156" i="19" s="1"/>
  <c r="H77" i="14"/>
  <c r="G77" i="14"/>
  <c r="I76" i="14"/>
  <c r="I147" i="14" s="1"/>
  <c r="U78" i="19" s="1"/>
  <c r="U155" i="19" s="1"/>
  <c r="H76" i="14"/>
  <c r="G76" i="14"/>
  <c r="I75" i="14"/>
  <c r="I146" i="14" s="1"/>
  <c r="U77" i="19" s="1"/>
  <c r="U154" i="19" s="1"/>
  <c r="H75" i="14"/>
  <c r="G75" i="14"/>
  <c r="I74" i="14"/>
  <c r="I145" i="14" s="1"/>
  <c r="U76" i="19" s="1"/>
  <c r="U153" i="19" s="1"/>
  <c r="H74" i="14"/>
  <c r="G74" i="14"/>
  <c r="F74" i="14"/>
  <c r="N73" i="14"/>
  <c r="M73" i="14"/>
  <c r="L73" i="14"/>
  <c r="K73" i="14"/>
  <c r="J73" i="14"/>
  <c r="I72" i="14"/>
  <c r="I143" i="14" s="1"/>
  <c r="U73" i="19" s="1"/>
  <c r="U150" i="19" s="1"/>
  <c r="H72" i="14"/>
  <c r="G72" i="14"/>
  <c r="I71" i="14"/>
  <c r="I142" i="14" s="1"/>
  <c r="U72" i="19" s="1"/>
  <c r="U149" i="19" s="1"/>
  <c r="H71" i="14"/>
  <c r="G71" i="14"/>
  <c r="I70" i="14"/>
  <c r="I141" i="14" s="1"/>
  <c r="U71" i="19" s="1"/>
  <c r="U148" i="19" s="1"/>
  <c r="H70" i="14"/>
  <c r="G70" i="14"/>
  <c r="I69" i="14"/>
  <c r="I140" i="14" s="1"/>
  <c r="U70" i="19" s="1"/>
  <c r="U147" i="19" s="1"/>
  <c r="H69" i="14"/>
  <c r="G69" i="14"/>
  <c r="I68" i="14"/>
  <c r="I139" i="14" s="1"/>
  <c r="U69" i="19" s="1"/>
  <c r="U146" i="19" s="1"/>
  <c r="H68" i="14"/>
  <c r="G68" i="14"/>
  <c r="F68" i="14"/>
  <c r="N67" i="14"/>
  <c r="M67" i="14"/>
  <c r="L67" i="14"/>
  <c r="K67" i="14"/>
  <c r="J67" i="14"/>
  <c r="I66" i="14"/>
  <c r="I137" i="14" s="1"/>
  <c r="U66" i="19" s="1"/>
  <c r="U143" i="19" s="1"/>
  <c r="H66" i="14"/>
  <c r="G66" i="14"/>
  <c r="I65" i="14"/>
  <c r="I136" i="14" s="1"/>
  <c r="U65" i="19" s="1"/>
  <c r="U142" i="19" s="1"/>
  <c r="H65" i="14"/>
  <c r="G65" i="14"/>
  <c r="I64" i="14"/>
  <c r="I135" i="14" s="1"/>
  <c r="U64" i="19" s="1"/>
  <c r="U141" i="19" s="1"/>
  <c r="H64" i="14"/>
  <c r="G64" i="14"/>
  <c r="I63" i="14"/>
  <c r="I134" i="14" s="1"/>
  <c r="U63" i="19" s="1"/>
  <c r="U140" i="19" s="1"/>
  <c r="H63" i="14"/>
  <c r="G63" i="14"/>
  <c r="I62" i="14"/>
  <c r="I133" i="14" s="1"/>
  <c r="U62" i="19" s="1"/>
  <c r="U139" i="19" s="1"/>
  <c r="H62" i="14"/>
  <c r="G62" i="14"/>
  <c r="F62" i="14"/>
  <c r="N61" i="14"/>
  <c r="M61" i="14"/>
  <c r="L61" i="14"/>
  <c r="K61" i="14"/>
  <c r="J61" i="14"/>
  <c r="I60" i="14"/>
  <c r="I131" i="14" s="1"/>
  <c r="U59" i="19" s="1"/>
  <c r="U136" i="19" s="1"/>
  <c r="H60" i="14"/>
  <c r="G60" i="14"/>
  <c r="I59" i="14"/>
  <c r="I130" i="14" s="1"/>
  <c r="U58" i="19" s="1"/>
  <c r="U135" i="19" s="1"/>
  <c r="H59" i="14"/>
  <c r="G59" i="14"/>
  <c r="I58" i="14"/>
  <c r="I129" i="14" s="1"/>
  <c r="U57" i="19" s="1"/>
  <c r="U134" i="19" s="1"/>
  <c r="H58" i="14"/>
  <c r="G58" i="14"/>
  <c r="I57" i="14"/>
  <c r="I128" i="14" s="1"/>
  <c r="U56" i="19" s="1"/>
  <c r="U133" i="19" s="1"/>
  <c r="H57" i="14"/>
  <c r="G57" i="14"/>
  <c r="I56" i="14"/>
  <c r="I127" i="14" s="1"/>
  <c r="U55" i="19" s="1"/>
  <c r="U132" i="19" s="1"/>
  <c r="H56" i="14"/>
  <c r="G56" i="14"/>
  <c r="F56" i="14"/>
  <c r="N55" i="14"/>
  <c r="M55" i="14"/>
  <c r="L55" i="14"/>
  <c r="K55" i="14"/>
  <c r="J55" i="14"/>
  <c r="I54" i="14"/>
  <c r="I125" i="14" s="1"/>
  <c r="U52" i="19" s="1"/>
  <c r="U129" i="19" s="1"/>
  <c r="H54" i="14"/>
  <c r="G54" i="14"/>
  <c r="I53" i="14"/>
  <c r="I124" i="14" s="1"/>
  <c r="U51" i="19" s="1"/>
  <c r="U128" i="19" s="1"/>
  <c r="H53" i="14"/>
  <c r="G53" i="14"/>
  <c r="I52" i="14"/>
  <c r="I123" i="14" s="1"/>
  <c r="U50" i="19" s="1"/>
  <c r="U127" i="19" s="1"/>
  <c r="H52" i="14"/>
  <c r="G52" i="14"/>
  <c r="I51" i="14"/>
  <c r="I122" i="14" s="1"/>
  <c r="U49" i="19" s="1"/>
  <c r="U126" i="19" s="1"/>
  <c r="H51" i="14"/>
  <c r="G51" i="14"/>
  <c r="I50" i="14"/>
  <c r="I121" i="14" s="1"/>
  <c r="U48" i="19" s="1"/>
  <c r="U125" i="19" s="1"/>
  <c r="H50" i="14"/>
  <c r="G50" i="14"/>
  <c r="F50" i="14"/>
  <c r="N49" i="14"/>
  <c r="M49" i="14"/>
  <c r="L49" i="14"/>
  <c r="K49" i="14"/>
  <c r="J49" i="14"/>
  <c r="I48" i="14"/>
  <c r="I119" i="14" s="1"/>
  <c r="U45" i="19" s="1"/>
  <c r="U122" i="19" s="1"/>
  <c r="H48" i="14"/>
  <c r="G48" i="14"/>
  <c r="I47" i="14"/>
  <c r="I118" i="14" s="1"/>
  <c r="U44" i="19" s="1"/>
  <c r="U121" i="19" s="1"/>
  <c r="H47" i="14"/>
  <c r="G47" i="14"/>
  <c r="I46" i="14"/>
  <c r="I117" i="14" s="1"/>
  <c r="U43" i="19" s="1"/>
  <c r="U120" i="19" s="1"/>
  <c r="H46" i="14"/>
  <c r="G46" i="14"/>
  <c r="I45" i="14"/>
  <c r="I116" i="14" s="1"/>
  <c r="U42" i="19" s="1"/>
  <c r="U119" i="19" s="1"/>
  <c r="H45" i="14"/>
  <c r="G45" i="14"/>
  <c r="I44" i="14"/>
  <c r="I115" i="14" s="1"/>
  <c r="U41" i="19" s="1"/>
  <c r="U118" i="19" s="1"/>
  <c r="H44" i="14"/>
  <c r="G44" i="14"/>
  <c r="F44" i="14"/>
  <c r="N43" i="14"/>
  <c r="M43" i="14"/>
  <c r="L43" i="14"/>
  <c r="K43" i="14"/>
  <c r="J43" i="14"/>
  <c r="I42" i="14"/>
  <c r="I113" i="14" s="1"/>
  <c r="U38" i="19" s="1"/>
  <c r="U115" i="19" s="1"/>
  <c r="H42" i="14"/>
  <c r="G42" i="14"/>
  <c r="I41" i="14"/>
  <c r="I112" i="14" s="1"/>
  <c r="U37" i="19" s="1"/>
  <c r="U114" i="19" s="1"/>
  <c r="H41" i="14"/>
  <c r="G41" i="14"/>
  <c r="I40" i="14"/>
  <c r="I111" i="14" s="1"/>
  <c r="U36" i="19" s="1"/>
  <c r="U113" i="19" s="1"/>
  <c r="H40" i="14"/>
  <c r="G40" i="14"/>
  <c r="I39" i="14"/>
  <c r="I110" i="14" s="1"/>
  <c r="U35" i="19" s="1"/>
  <c r="U112" i="19" s="1"/>
  <c r="H39" i="14"/>
  <c r="G39" i="14"/>
  <c r="I38" i="14"/>
  <c r="I109" i="14" s="1"/>
  <c r="U34" i="19" s="1"/>
  <c r="U111" i="19" s="1"/>
  <c r="H38" i="14"/>
  <c r="G38" i="14"/>
  <c r="F38" i="14"/>
  <c r="N37" i="14"/>
  <c r="M37" i="14"/>
  <c r="L37" i="14"/>
  <c r="K37" i="14"/>
  <c r="J37" i="14"/>
  <c r="I36" i="14"/>
  <c r="I107" i="14" s="1"/>
  <c r="U31" i="19" s="1"/>
  <c r="U108" i="19" s="1"/>
  <c r="H36" i="14"/>
  <c r="G36" i="14"/>
  <c r="I35" i="14"/>
  <c r="I106" i="14" s="1"/>
  <c r="U30" i="19" s="1"/>
  <c r="U107" i="19" s="1"/>
  <c r="H35" i="14"/>
  <c r="G35" i="14"/>
  <c r="I34" i="14"/>
  <c r="I105" i="14" s="1"/>
  <c r="U29" i="19" s="1"/>
  <c r="U106" i="19" s="1"/>
  <c r="H34" i="14"/>
  <c r="G34" i="14"/>
  <c r="I33" i="14"/>
  <c r="I104" i="14" s="1"/>
  <c r="U28" i="19" s="1"/>
  <c r="U105" i="19" s="1"/>
  <c r="H33" i="14"/>
  <c r="G33" i="14"/>
  <c r="I32" i="14"/>
  <c r="I103" i="14" s="1"/>
  <c r="U27" i="19" s="1"/>
  <c r="U104" i="19" s="1"/>
  <c r="H32" i="14"/>
  <c r="G32" i="14"/>
  <c r="F32" i="14"/>
  <c r="N31" i="14"/>
  <c r="M31" i="14"/>
  <c r="L31" i="14"/>
  <c r="K31" i="14"/>
  <c r="J31" i="14"/>
  <c r="I30" i="14"/>
  <c r="I101" i="14" s="1"/>
  <c r="U24" i="19" s="1"/>
  <c r="U101" i="19" s="1"/>
  <c r="H30" i="14"/>
  <c r="G30" i="14"/>
  <c r="I29" i="14"/>
  <c r="I100" i="14" s="1"/>
  <c r="U23" i="19" s="1"/>
  <c r="U100" i="19" s="1"/>
  <c r="H29" i="14"/>
  <c r="G29" i="14"/>
  <c r="I28" i="14"/>
  <c r="I99" i="14" s="1"/>
  <c r="U22" i="19" s="1"/>
  <c r="U99" i="19" s="1"/>
  <c r="H28" i="14"/>
  <c r="G28" i="14"/>
  <c r="I27" i="14"/>
  <c r="I98" i="14" s="1"/>
  <c r="U21" i="19" s="1"/>
  <c r="U98" i="19" s="1"/>
  <c r="H27" i="14"/>
  <c r="G27" i="14"/>
  <c r="I26" i="14"/>
  <c r="I97" i="14" s="1"/>
  <c r="U20" i="19" s="1"/>
  <c r="U97" i="19" s="1"/>
  <c r="H26" i="14"/>
  <c r="G26" i="14"/>
  <c r="F26" i="14"/>
  <c r="N25" i="14"/>
  <c r="N96" i="14" s="1"/>
  <c r="U793" i="19" s="1"/>
  <c r="M25" i="14"/>
  <c r="M96" i="14" s="1"/>
  <c r="U638" i="19" s="1"/>
  <c r="L25" i="14"/>
  <c r="L96" i="14" s="1"/>
  <c r="U483" i="19" s="1"/>
  <c r="K25" i="14"/>
  <c r="K96" i="14" s="1"/>
  <c r="U328" i="19" s="1"/>
  <c r="J25" i="14"/>
  <c r="J96" i="14" s="1"/>
  <c r="U173" i="19" s="1"/>
  <c r="I24" i="14"/>
  <c r="I95" i="14" s="1"/>
  <c r="U17" i="19" s="1"/>
  <c r="U94" i="19" s="1"/>
  <c r="H24" i="14"/>
  <c r="G24" i="14"/>
  <c r="I23" i="14"/>
  <c r="I94" i="14" s="1"/>
  <c r="U16" i="19" s="1"/>
  <c r="U93" i="19" s="1"/>
  <c r="H23" i="14"/>
  <c r="G23" i="14"/>
  <c r="I22" i="14"/>
  <c r="I93" i="14" s="1"/>
  <c r="U15" i="19" s="1"/>
  <c r="U92" i="19" s="1"/>
  <c r="H22" i="14"/>
  <c r="G22" i="14"/>
  <c r="I21" i="14"/>
  <c r="I92" i="14" s="1"/>
  <c r="U14" i="19" s="1"/>
  <c r="U91" i="19" s="1"/>
  <c r="H21" i="14"/>
  <c r="G21" i="14"/>
  <c r="I20" i="14"/>
  <c r="I91" i="14" s="1"/>
  <c r="U13" i="19" s="1"/>
  <c r="U90" i="19" s="1"/>
  <c r="H20" i="14"/>
  <c r="G20" i="14"/>
  <c r="F20" i="14"/>
  <c r="N19" i="14"/>
  <c r="M19" i="14"/>
  <c r="L19" i="14"/>
  <c r="K19" i="14"/>
  <c r="J19" i="14"/>
  <c r="B14" i="14"/>
  <c r="F12" i="14"/>
  <c r="H152" i="14" s="1"/>
  <c r="N9" i="14"/>
  <c r="M9" i="14"/>
  <c r="L9" i="14"/>
  <c r="K9" i="14"/>
  <c r="J9" i="14"/>
  <c r="B6" i="14"/>
  <c r="B2" i="14"/>
  <c r="B1" i="14"/>
  <c r="H24" i="21" s="1"/>
  <c r="F169" i="61"/>
  <c r="F168" i="61"/>
  <c r="F167" i="61"/>
  <c r="F166" i="61"/>
  <c r="N165" i="61"/>
  <c r="M165" i="61"/>
  <c r="L165" i="61"/>
  <c r="K165" i="61"/>
  <c r="J165" i="61"/>
  <c r="F164" i="61"/>
  <c r="F162" i="61"/>
  <c r="F161" i="61"/>
  <c r="F160" i="61"/>
  <c r="F159" i="61"/>
  <c r="N158" i="61"/>
  <c r="M158" i="61"/>
  <c r="L158" i="61"/>
  <c r="K158" i="61"/>
  <c r="J158" i="61"/>
  <c r="F157" i="61"/>
  <c r="B155" i="61"/>
  <c r="N149" i="61"/>
  <c r="M149" i="61"/>
  <c r="L149" i="61"/>
  <c r="K149" i="61"/>
  <c r="J149" i="61"/>
  <c r="H149" i="61"/>
  <c r="G149" i="61"/>
  <c r="N148" i="61"/>
  <c r="M148" i="61"/>
  <c r="L148" i="61"/>
  <c r="K148" i="61"/>
  <c r="J148" i="61"/>
  <c r="H148" i="61"/>
  <c r="G148" i="61"/>
  <c r="N147" i="61"/>
  <c r="M147" i="61"/>
  <c r="L147" i="61"/>
  <c r="K147" i="61"/>
  <c r="J147" i="61"/>
  <c r="H147" i="61"/>
  <c r="G147" i="61"/>
  <c r="N146" i="61"/>
  <c r="M146" i="61"/>
  <c r="L146" i="61"/>
  <c r="K146" i="61"/>
  <c r="J146" i="61"/>
  <c r="H146" i="61"/>
  <c r="G146" i="61"/>
  <c r="N145" i="61"/>
  <c r="M145" i="61"/>
  <c r="L145" i="61"/>
  <c r="K145" i="61"/>
  <c r="J145" i="61"/>
  <c r="H145" i="61"/>
  <c r="G145" i="61"/>
  <c r="F145" i="61"/>
  <c r="N143" i="61"/>
  <c r="M143" i="61"/>
  <c r="L143" i="61"/>
  <c r="K143" i="61"/>
  <c r="J143" i="61"/>
  <c r="H143" i="61"/>
  <c r="G143" i="61"/>
  <c r="N142" i="61"/>
  <c r="M142" i="61"/>
  <c r="L142" i="61"/>
  <c r="K142" i="61"/>
  <c r="J142" i="61"/>
  <c r="H142" i="61"/>
  <c r="G142" i="61"/>
  <c r="N141" i="61"/>
  <c r="M141" i="61"/>
  <c r="L141" i="61"/>
  <c r="K141" i="61"/>
  <c r="J141" i="61"/>
  <c r="H141" i="61"/>
  <c r="G141" i="61"/>
  <c r="N140" i="61"/>
  <c r="M140" i="61"/>
  <c r="L140" i="61"/>
  <c r="K140" i="61"/>
  <c r="J140" i="61"/>
  <c r="H140" i="61"/>
  <c r="G140" i="61"/>
  <c r="N139" i="61"/>
  <c r="M139" i="61"/>
  <c r="L139" i="61"/>
  <c r="K139" i="61"/>
  <c r="J139" i="61"/>
  <c r="H139" i="61"/>
  <c r="G139" i="61"/>
  <c r="F139" i="61"/>
  <c r="N137" i="61"/>
  <c r="M137" i="61"/>
  <c r="L137" i="61"/>
  <c r="K137" i="61"/>
  <c r="J137" i="61"/>
  <c r="H137" i="61"/>
  <c r="G137" i="61"/>
  <c r="N136" i="61"/>
  <c r="M136" i="61"/>
  <c r="L136" i="61"/>
  <c r="K136" i="61"/>
  <c r="J136" i="61"/>
  <c r="H136" i="61"/>
  <c r="G136" i="61"/>
  <c r="N135" i="61"/>
  <c r="M135" i="61"/>
  <c r="L135" i="61"/>
  <c r="K135" i="61"/>
  <c r="J135" i="61"/>
  <c r="H135" i="61"/>
  <c r="G135" i="61"/>
  <c r="N134" i="61"/>
  <c r="M134" i="61"/>
  <c r="L134" i="61"/>
  <c r="K134" i="61"/>
  <c r="J134" i="61"/>
  <c r="H134" i="61"/>
  <c r="G134" i="61"/>
  <c r="N133" i="61"/>
  <c r="M133" i="61"/>
  <c r="L133" i="61"/>
  <c r="K133" i="61"/>
  <c r="J133" i="61"/>
  <c r="H133" i="61"/>
  <c r="G133" i="61"/>
  <c r="F133" i="61"/>
  <c r="N131" i="61"/>
  <c r="M131" i="61"/>
  <c r="L131" i="61"/>
  <c r="K131" i="61"/>
  <c r="J131" i="61"/>
  <c r="H131" i="61"/>
  <c r="G131" i="61"/>
  <c r="N130" i="61"/>
  <c r="M130" i="61"/>
  <c r="L130" i="61"/>
  <c r="K130" i="61"/>
  <c r="J130" i="61"/>
  <c r="H130" i="61"/>
  <c r="G130" i="61"/>
  <c r="N129" i="61"/>
  <c r="M129" i="61"/>
  <c r="L129" i="61"/>
  <c r="K129" i="61"/>
  <c r="J129" i="61"/>
  <c r="H129" i="61"/>
  <c r="G129" i="61"/>
  <c r="N128" i="61"/>
  <c r="M128" i="61"/>
  <c r="L128" i="61"/>
  <c r="K128" i="61"/>
  <c r="J128" i="61"/>
  <c r="H128" i="61"/>
  <c r="G128" i="61"/>
  <c r="N127" i="61"/>
  <c r="M127" i="61"/>
  <c r="L127" i="61"/>
  <c r="K127" i="61"/>
  <c r="J127" i="61"/>
  <c r="H127" i="61"/>
  <c r="G127" i="61"/>
  <c r="F127" i="61"/>
  <c r="N125" i="61"/>
  <c r="M125" i="61"/>
  <c r="L125" i="61"/>
  <c r="K125" i="61"/>
  <c r="J125" i="61"/>
  <c r="H125" i="61"/>
  <c r="G125" i="61"/>
  <c r="N124" i="61"/>
  <c r="M124" i="61"/>
  <c r="L124" i="61"/>
  <c r="K124" i="61"/>
  <c r="J124" i="61"/>
  <c r="H124" i="61"/>
  <c r="G124" i="61"/>
  <c r="N123" i="61"/>
  <c r="M123" i="61"/>
  <c r="L123" i="61"/>
  <c r="K123" i="61"/>
  <c r="J123" i="61"/>
  <c r="H123" i="61"/>
  <c r="G123" i="61"/>
  <c r="N122" i="61"/>
  <c r="M122" i="61"/>
  <c r="L122" i="61"/>
  <c r="K122" i="61"/>
  <c r="J122" i="61"/>
  <c r="H122" i="61"/>
  <c r="G122" i="61"/>
  <c r="N121" i="61"/>
  <c r="M121" i="61"/>
  <c r="L121" i="61"/>
  <c r="K121" i="61"/>
  <c r="J121" i="61"/>
  <c r="H121" i="61"/>
  <c r="G121" i="61"/>
  <c r="F121" i="61"/>
  <c r="N119" i="61"/>
  <c r="M119" i="61"/>
  <c r="L119" i="61"/>
  <c r="K119" i="61"/>
  <c r="J119" i="61"/>
  <c r="H119" i="61"/>
  <c r="G119" i="61"/>
  <c r="N118" i="61"/>
  <c r="M118" i="61"/>
  <c r="L118" i="61"/>
  <c r="K118" i="61"/>
  <c r="J118" i="61"/>
  <c r="H118" i="61"/>
  <c r="G118" i="61"/>
  <c r="N117" i="61"/>
  <c r="M117" i="61"/>
  <c r="L117" i="61"/>
  <c r="K117" i="61"/>
  <c r="J117" i="61"/>
  <c r="H117" i="61"/>
  <c r="G117" i="61"/>
  <c r="N116" i="61"/>
  <c r="M116" i="61"/>
  <c r="L116" i="61"/>
  <c r="K116" i="61"/>
  <c r="J116" i="61"/>
  <c r="H116" i="61"/>
  <c r="G116" i="61"/>
  <c r="N115" i="61"/>
  <c r="M115" i="61"/>
  <c r="L115" i="61"/>
  <c r="K115" i="61"/>
  <c r="J115" i="61"/>
  <c r="H115" i="61"/>
  <c r="G115" i="61"/>
  <c r="F115" i="61"/>
  <c r="N113" i="61"/>
  <c r="M113" i="61"/>
  <c r="L113" i="61"/>
  <c r="K113" i="61"/>
  <c r="J113" i="61"/>
  <c r="H113" i="61"/>
  <c r="G113" i="61"/>
  <c r="N112" i="61"/>
  <c r="M112" i="61"/>
  <c r="L112" i="61"/>
  <c r="K112" i="61"/>
  <c r="J112" i="61"/>
  <c r="H112" i="61"/>
  <c r="G112" i="61"/>
  <c r="N111" i="61"/>
  <c r="M111" i="61"/>
  <c r="L111" i="61"/>
  <c r="K111" i="61"/>
  <c r="J111" i="61"/>
  <c r="H111" i="61"/>
  <c r="G111" i="61"/>
  <c r="N110" i="61"/>
  <c r="M110" i="61"/>
  <c r="L110" i="61"/>
  <c r="K110" i="61"/>
  <c r="J110" i="61"/>
  <c r="H110" i="61"/>
  <c r="G110" i="61"/>
  <c r="N109" i="61"/>
  <c r="M109" i="61"/>
  <c r="L109" i="61"/>
  <c r="K109" i="61"/>
  <c r="J109" i="61"/>
  <c r="H109" i="61"/>
  <c r="G109" i="61"/>
  <c r="F109" i="61"/>
  <c r="N107" i="61"/>
  <c r="M107" i="61"/>
  <c r="L107" i="61"/>
  <c r="K107" i="61"/>
  <c r="J107" i="61"/>
  <c r="H107" i="61"/>
  <c r="G107" i="61"/>
  <c r="N106" i="61"/>
  <c r="M106" i="61"/>
  <c r="L106" i="61"/>
  <c r="K106" i="61"/>
  <c r="J106" i="61"/>
  <c r="H106" i="61"/>
  <c r="G106" i="61"/>
  <c r="N105" i="61"/>
  <c r="M105" i="61"/>
  <c r="L105" i="61"/>
  <c r="K105" i="61"/>
  <c r="J105" i="61"/>
  <c r="H105" i="61"/>
  <c r="G105" i="61"/>
  <c r="N104" i="61"/>
  <c r="M104" i="61"/>
  <c r="L104" i="61"/>
  <c r="K104" i="61"/>
  <c r="J104" i="61"/>
  <c r="H104" i="61"/>
  <c r="G104" i="61"/>
  <c r="N103" i="61"/>
  <c r="M103" i="61"/>
  <c r="L103" i="61"/>
  <c r="K103" i="61"/>
  <c r="J103" i="61"/>
  <c r="H103" i="61"/>
  <c r="G103" i="61"/>
  <c r="F103" i="61"/>
  <c r="N101" i="61"/>
  <c r="M101" i="61"/>
  <c r="L101" i="61"/>
  <c r="K101" i="61"/>
  <c r="J101" i="61"/>
  <c r="H101" i="61"/>
  <c r="G101" i="61"/>
  <c r="N100" i="61"/>
  <c r="M100" i="61"/>
  <c r="L100" i="61"/>
  <c r="K100" i="61"/>
  <c r="J100" i="61"/>
  <c r="H100" i="61"/>
  <c r="G100" i="61"/>
  <c r="N99" i="61"/>
  <c r="M99" i="61"/>
  <c r="L99" i="61"/>
  <c r="K99" i="61"/>
  <c r="J99" i="61"/>
  <c r="H99" i="61"/>
  <c r="G99" i="61"/>
  <c r="N98" i="61"/>
  <c r="M98" i="61"/>
  <c r="L98" i="61"/>
  <c r="K98" i="61"/>
  <c r="J98" i="61"/>
  <c r="H98" i="61"/>
  <c r="G98" i="61"/>
  <c r="N97" i="61"/>
  <c r="M97" i="61"/>
  <c r="L97" i="61"/>
  <c r="K97" i="61"/>
  <c r="J97" i="61"/>
  <c r="H97" i="61"/>
  <c r="G97" i="61"/>
  <c r="F97" i="61"/>
  <c r="N95" i="61"/>
  <c r="M95" i="61"/>
  <c r="L95" i="61"/>
  <c r="K95" i="61"/>
  <c r="J95" i="61"/>
  <c r="H95" i="61"/>
  <c r="G95" i="61"/>
  <c r="N94" i="61"/>
  <c r="M94" i="61"/>
  <c r="L94" i="61"/>
  <c r="K94" i="61"/>
  <c r="J94" i="61"/>
  <c r="H94" i="61"/>
  <c r="G94" i="61"/>
  <c r="N93" i="61"/>
  <c r="M93" i="61"/>
  <c r="L93" i="61"/>
  <c r="K93" i="61"/>
  <c r="J93" i="61"/>
  <c r="H93" i="61"/>
  <c r="G93" i="61"/>
  <c r="N92" i="61"/>
  <c r="M92" i="61"/>
  <c r="L92" i="61"/>
  <c r="K92" i="61"/>
  <c r="J92" i="61"/>
  <c r="H92" i="61"/>
  <c r="G92" i="61"/>
  <c r="N91" i="61"/>
  <c r="M91" i="61"/>
  <c r="L91" i="61"/>
  <c r="K91" i="61"/>
  <c r="J91" i="61"/>
  <c r="H91" i="61"/>
  <c r="G91" i="61"/>
  <c r="F91" i="61"/>
  <c r="N90" i="61"/>
  <c r="M90" i="61"/>
  <c r="L90" i="61"/>
  <c r="K90" i="61"/>
  <c r="J90" i="61"/>
  <c r="N79" i="61"/>
  <c r="T856" i="19" s="1"/>
  <c r="T933" i="19" s="1"/>
  <c r="M79" i="61"/>
  <c r="T701" i="19" s="1"/>
  <c r="T778" i="19" s="1"/>
  <c r="L79" i="61"/>
  <c r="T546" i="19" s="1"/>
  <c r="T623" i="19" s="1"/>
  <c r="K79" i="61"/>
  <c r="T391" i="19" s="1"/>
  <c r="T468" i="19" s="1"/>
  <c r="J79" i="61"/>
  <c r="T236" i="19" s="1"/>
  <c r="T313" i="19" s="1"/>
  <c r="I78" i="61"/>
  <c r="T80" i="19" s="1"/>
  <c r="T157" i="19" s="1"/>
  <c r="H78" i="61"/>
  <c r="G78" i="61"/>
  <c r="I77" i="61"/>
  <c r="T79" i="19" s="1"/>
  <c r="T156" i="19" s="1"/>
  <c r="H77" i="61"/>
  <c r="G77" i="61"/>
  <c r="I76" i="61"/>
  <c r="T78" i="19" s="1"/>
  <c r="T155" i="19" s="1"/>
  <c r="H76" i="61"/>
  <c r="G76" i="61"/>
  <c r="I75" i="61"/>
  <c r="T77" i="19" s="1"/>
  <c r="T154" i="19" s="1"/>
  <c r="H75" i="61"/>
  <c r="G75" i="61"/>
  <c r="I74" i="61"/>
  <c r="T76" i="19" s="1"/>
  <c r="T153" i="19" s="1"/>
  <c r="H74" i="61"/>
  <c r="G74" i="61"/>
  <c r="F74" i="61"/>
  <c r="N73" i="61"/>
  <c r="T849" i="19" s="1"/>
  <c r="T926" i="19" s="1"/>
  <c r="M73" i="61"/>
  <c r="T694" i="19" s="1"/>
  <c r="T771" i="19" s="1"/>
  <c r="L73" i="61"/>
  <c r="T539" i="19" s="1"/>
  <c r="T616" i="19" s="1"/>
  <c r="K73" i="61"/>
  <c r="T384" i="19" s="1"/>
  <c r="T461" i="19" s="1"/>
  <c r="J73" i="61"/>
  <c r="T229" i="19" s="1"/>
  <c r="T306" i="19" s="1"/>
  <c r="I72" i="61"/>
  <c r="T73" i="19" s="1"/>
  <c r="T150" i="19" s="1"/>
  <c r="H72" i="61"/>
  <c r="G72" i="61"/>
  <c r="I71" i="61"/>
  <c r="T72" i="19" s="1"/>
  <c r="T149" i="19" s="1"/>
  <c r="H71" i="61"/>
  <c r="G71" i="61"/>
  <c r="I70" i="61"/>
  <c r="T71" i="19" s="1"/>
  <c r="T148" i="19" s="1"/>
  <c r="H70" i="61"/>
  <c r="G70" i="61"/>
  <c r="I69" i="61"/>
  <c r="T70" i="19" s="1"/>
  <c r="T147" i="19" s="1"/>
  <c r="H69" i="61"/>
  <c r="G69" i="61"/>
  <c r="I68" i="61"/>
  <c r="T69" i="19" s="1"/>
  <c r="T146" i="19" s="1"/>
  <c r="H68" i="61"/>
  <c r="G68" i="61"/>
  <c r="F68" i="61"/>
  <c r="N67" i="61"/>
  <c r="T842" i="19" s="1"/>
  <c r="T919" i="19" s="1"/>
  <c r="M67" i="61"/>
  <c r="T687" i="19" s="1"/>
  <c r="T764" i="19" s="1"/>
  <c r="L67" i="61"/>
  <c r="T532" i="19" s="1"/>
  <c r="T609" i="19" s="1"/>
  <c r="K67" i="61"/>
  <c r="T377" i="19" s="1"/>
  <c r="T454" i="19" s="1"/>
  <c r="J67" i="61"/>
  <c r="T222" i="19" s="1"/>
  <c r="T299" i="19" s="1"/>
  <c r="I66" i="61"/>
  <c r="T66" i="19" s="1"/>
  <c r="T143" i="19" s="1"/>
  <c r="H66" i="61"/>
  <c r="G66" i="61"/>
  <c r="I65" i="61"/>
  <c r="T65" i="19" s="1"/>
  <c r="T142" i="19" s="1"/>
  <c r="H65" i="61"/>
  <c r="G65" i="61"/>
  <c r="I64" i="61"/>
  <c r="T64" i="19" s="1"/>
  <c r="T141" i="19" s="1"/>
  <c r="H64" i="61"/>
  <c r="G64" i="61"/>
  <c r="I63" i="61"/>
  <c r="T63" i="19" s="1"/>
  <c r="T140" i="19" s="1"/>
  <c r="H63" i="61"/>
  <c r="G63" i="61"/>
  <c r="I62" i="61"/>
  <c r="T62" i="19" s="1"/>
  <c r="T139" i="19" s="1"/>
  <c r="H62" i="61"/>
  <c r="G62" i="61"/>
  <c r="F62" i="61"/>
  <c r="N61" i="61"/>
  <c r="T835" i="19" s="1"/>
  <c r="T912" i="19" s="1"/>
  <c r="M61" i="61"/>
  <c r="T680" i="19" s="1"/>
  <c r="T757" i="19" s="1"/>
  <c r="L61" i="61"/>
  <c r="T525" i="19" s="1"/>
  <c r="T602" i="19" s="1"/>
  <c r="K61" i="61"/>
  <c r="T370" i="19" s="1"/>
  <c r="T447" i="19" s="1"/>
  <c r="J61" i="61"/>
  <c r="T215" i="19" s="1"/>
  <c r="T292" i="19" s="1"/>
  <c r="I60" i="61"/>
  <c r="T59" i="19" s="1"/>
  <c r="T136" i="19" s="1"/>
  <c r="H60" i="61"/>
  <c r="G60" i="61"/>
  <c r="I59" i="61"/>
  <c r="T58" i="19" s="1"/>
  <c r="T135" i="19" s="1"/>
  <c r="H59" i="61"/>
  <c r="G59" i="61"/>
  <c r="I58" i="61"/>
  <c r="T57" i="19" s="1"/>
  <c r="T134" i="19" s="1"/>
  <c r="H58" i="61"/>
  <c r="G58" i="61"/>
  <c r="I57" i="61"/>
  <c r="T56" i="19" s="1"/>
  <c r="T133" i="19" s="1"/>
  <c r="H57" i="61"/>
  <c r="G57" i="61"/>
  <c r="I56" i="61"/>
  <c r="T55" i="19" s="1"/>
  <c r="T132" i="19" s="1"/>
  <c r="H56" i="61"/>
  <c r="G56" i="61"/>
  <c r="F56" i="61"/>
  <c r="N55" i="61"/>
  <c r="T828" i="19" s="1"/>
  <c r="T905" i="19" s="1"/>
  <c r="M55" i="61"/>
  <c r="T673" i="19" s="1"/>
  <c r="T750" i="19" s="1"/>
  <c r="L55" i="61"/>
  <c r="T518" i="19" s="1"/>
  <c r="T595" i="19" s="1"/>
  <c r="K55" i="61"/>
  <c r="T363" i="19" s="1"/>
  <c r="T440" i="19" s="1"/>
  <c r="J55" i="61"/>
  <c r="T208" i="19" s="1"/>
  <c r="T285" i="19" s="1"/>
  <c r="I54" i="61"/>
  <c r="T52" i="19" s="1"/>
  <c r="T129" i="19" s="1"/>
  <c r="H54" i="61"/>
  <c r="G54" i="61"/>
  <c r="I53" i="61"/>
  <c r="T51" i="19" s="1"/>
  <c r="T128" i="19" s="1"/>
  <c r="H53" i="61"/>
  <c r="G53" i="61"/>
  <c r="I52" i="61"/>
  <c r="T50" i="19" s="1"/>
  <c r="T127" i="19" s="1"/>
  <c r="H52" i="61"/>
  <c r="G52" i="61"/>
  <c r="I51" i="61"/>
  <c r="T49" i="19" s="1"/>
  <c r="T126" i="19" s="1"/>
  <c r="H51" i="61"/>
  <c r="G51" i="61"/>
  <c r="I50" i="61"/>
  <c r="T48" i="19" s="1"/>
  <c r="T125" i="19" s="1"/>
  <c r="H50" i="61"/>
  <c r="G50" i="61"/>
  <c r="F50" i="61"/>
  <c r="N49" i="61"/>
  <c r="T821" i="19" s="1"/>
  <c r="T898" i="19" s="1"/>
  <c r="M49" i="61"/>
  <c r="T666" i="19" s="1"/>
  <c r="T743" i="19" s="1"/>
  <c r="L49" i="61"/>
  <c r="T511" i="19" s="1"/>
  <c r="T588" i="19" s="1"/>
  <c r="K49" i="61"/>
  <c r="T356" i="19" s="1"/>
  <c r="T433" i="19" s="1"/>
  <c r="J49" i="61"/>
  <c r="T201" i="19" s="1"/>
  <c r="T278" i="19" s="1"/>
  <c r="I48" i="61"/>
  <c r="T45" i="19" s="1"/>
  <c r="T122" i="19" s="1"/>
  <c r="H48" i="61"/>
  <c r="G48" i="61"/>
  <c r="I47" i="61"/>
  <c r="T44" i="19" s="1"/>
  <c r="T121" i="19" s="1"/>
  <c r="H47" i="61"/>
  <c r="G47" i="61"/>
  <c r="I46" i="61"/>
  <c r="T43" i="19" s="1"/>
  <c r="T120" i="19" s="1"/>
  <c r="H46" i="61"/>
  <c r="G46" i="61"/>
  <c r="I45" i="61"/>
  <c r="T42" i="19" s="1"/>
  <c r="T119" i="19" s="1"/>
  <c r="H45" i="61"/>
  <c r="G45" i="61"/>
  <c r="I44" i="61"/>
  <c r="T41" i="19" s="1"/>
  <c r="T118" i="19" s="1"/>
  <c r="H44" i="61"/>
  <c r="G44" i="61"/>
  <c r="F44" i="61"/>
  <c r="N43" i="61"/>
  <c r="T814" i="19" s="1"/>
  <c r="T891" i="19" s="1"/>
  <c r="M43" i="61"/>
  <c r="T659" i="19" s="1"/>
  <c r="T736" i="19" s="1"/>
  <c r="L43" i="61"/>
  <c r="T504" i="19" s="1"/>
  <c r="T581" i="19" s="1"/>
  <c r="K43" i="61"/>
  <c r="T349" i="19" s="1"/>
  <c r="T426" i="19" s="1"/>
  <c r="J43" i="61"/>
  <c r="T194" i="19" s="1"/>
  <c r="T271" i="19" s="1"/>
  <c r="I42" i="61"/>
  <c r="T38" i="19" s="1"/>
  <c r="T115" i="19" s="1"/>
  <c r="H42" i="61"/>
  <c r="G42" i="61"/>
  <c r="I41" i="61"/>
  <c r="T37" i="19" s="1"/>
  <c r="T114" i="19" s="1"/>
  <c r="H41" i="61"/>
  <c r="G41" i="61"/>
  <c r="I40" i="61"/>
  <c r="T36" i="19" s="1"/>
  <c r="T113" i="19" s="1"/>
  <c r="H40" i="61"/>
  <c r="G40" i="61"/>
  <c r="I39" i="61"/>
  <c r="T35" i="19" s="1"/>
  <c r="T112" i="19" s="1"/>
  <c r="H39" i="61"/>
  <c r="G39" i="61"/>
  <c r="I38" i="61"/>
  <c r="T34" i="19" s="1"/>
  <c r="T111" i="19" s="1"/>
  <c r="H38" i="61"/>
  <c r="G38" i="61"/>
  <c r="F38" i="61"/>
  <c r="N37" i="61"/>
  <c r="T807" i="19" s="1"/>
  <c r="T884" i="19" s="1"/>
  <c r="M37" i="61"/>
  <c r="T652" i="19" s="1"/>
  <c r="T729" i="19" s="1"/>
  <c r="L37" i="61"/>
  <c r="T497" i="19" s="1"/>
  <c r="T574" i="19" s="1"/>
  <c r="K37" i="61"/>
  <c r="T342" i="19" s="1"/>
  <c r="T419" i="19" s="1"/>
  <c r="J37" i="61"/>
  <c r="T187" i="19" s="1"/>
  <c r="T264" i="19" s="1"/>
  <c r="I36" i="61"/>
  <c r="T31" i="19" s="1"/>
  <c r="T108" i="19" s="1"/>
  <c r="H36" i="61"/>
  <c r="G36" i="61"/>
  <c r="I35" i="61"/>
  <c r="T30" i="19" s="1"/>
  <c r="T107" i="19" s="1"/>
  <c r="H35" i="61"/>
  <c r="G35" i="61"/>
  <c r="I34" i="61"/>
  <c r="T29" i="19" s="1"/>
  <c r="T106" i="19" s="1"/>
  <c r="H34" i="61"/>
  <c r="G34" i="61"/>
  <c r="I33" i="61"/>
  <c r="T28" i="19" s="1"/>
  <c r="T105" i="19" s="1"/>
  <c r="H33" i="61"/>
  <c r="G33" i="61"/>
  <c r="I32" i="61"/>
  <c r="T27" i="19" s="1"/>
  <c r="T104" i="19" s="1"/>
  <c r="H32" i="61"/>
  <c r="G32" i="61"/>
  <c r="F32" i="61"/>
  <c r="N31" i="61"/>
  <c r="T800" i="19" s="1"/>
  <c r="T877" i="19" s="1"/>
  <c r="M31" i="61"/>
  <c r="T645" i="19" s="1"/>
  <c r="T722" i="19" s="1"/>
  <c r="L31" i="61"/>
  <c r="T490" i="19" s="1"/>
  <c r="T567" i="19" s="1"/>
  <c r="K31" i="61"/>
  <c r="T335" i="19" s="1"/>
  <c r="T412" i="19" s="1"/>
  <c r="J31" i="61"/>
  <c r="T180" i="19" s="1"/>
  <c r="T257" i="19" s="1"/>
  <c r="I30" i="61"/>
  <c r="T24" i="19" s="1"/>
  <c r="T101" i="19" s="1"/>
  <c r="H30" i="61"/>
  <c r="G30" i="61"/>
  <c r="I29" i="61"/>
  <c r="T23" i="19" s="1"/>
  <c r="T100" i="19" s="1"/>
  <c r="H29" i="61"/>
  <c r="G29" i="61"/>
  <c r="I28" i="61"/>
  <c r="T22" i="19" s="1"/>
  <c r="T99" i="19" s="1"/>
  <c r="H28" i="61"/>
  <c r="G28" i="61"/>
  <c r="I27" i="61"/>
  <c r="T21" i="19" s="1"/>
  <c r="T98" i="19" s="1"/>
  <c r="H27" i="61"/>
  <c r="G27" i="61"/>
  <c r="I26" i="61"/>
  <c r="T20" i="19" s="1"/>
  <c r="T97" i="19" s="1"/>
  <c r="H26" i="61"/>
  <c r="G26" i="61"/>
  <c r="F26" i="61"/>
  <c r="N25" i="61"/>
  <c r="T793" i="19" s="1"/>
  <c r="M25" i="61"/>
  <c r="T638" i="19" s="1"/>
  <c r="L25" i="61"/>
  <c r="T483" i="19" s="1"/>
  <c r="K25" i="61"/>
  <c r="T328" i="19" s="1"/>
  <c r="J25" i="61"/>
  <c r="T173" i="19" s="1"/>
  <c r="I24" i="61"/>
  <c r="T17" i="19" s="1"/>
  <c r="T94" i="19" s="1"/>
  <c r="H24" i="61"/>
  <c r="G24" i="61"/>
  <c r="I23" i="61"/>
  <c r="T16" i="19" s="1"/>
  <c r="T93" i="19" s="1"/>
  <c r="H23" i="61"/>
  <c r="G23" i="61"/>
  <c r="I22" i="61"/>
  <c r="T15" i="19" s="1"/>
  <c r="T92" i="19" s="1"/>
  <c r="H22" i="61"/>
  <c r="G22" i="61"/>
  <c r="I21" i="61"/>
  <c r="T14" i="19" s="1"/>
  <c r="T91" i="19" s="1"/>
  <c r="H21" i="61"/>
  <c r="G21" i="61"/>
  <c r="I20" i="61"/>
  <c r="T13" i="19" s="1"/>
  <c r="T90" i="19" s="1"/>
  <c r="H20" i="61"/>
  <c r="G20" i="61"/>
  <c r="F20" i="61"/>
  <c r="N19" i="61"/>
  <c r="M19" i="61"/>
  <c r="L19" i="61"/>
  <c r="K19" i="61"/>
  <c r="J19" i="61"/>
  <c r="B14" i="61"/>
  <c r="F12" i="61"/>
  <c r="H152" i="61" s="1"/>
  <c r="N9" i="61"/>
  <c r="M9" i="61"/>
  <c r="L9" i="61"/>
  <c r="K9" i="61"/>
  <c r="J9" i="61"/>
  <c r="B6" i="61"/>
  <c r="B2" i="61"/>
  <c r="B1" i="61"/>
  <c r="H23" i="21" s="1"/>
  <c r="F169" i="60"/>
  <c r="F168" i="60"/>
  <c r="F167" i="60"/>
  <c r="F166" i="60"/>
  <c r="N165" i="60"/>
  <c r="M165" i="60"/>
  <c r="L165" i="60"/>
  <c r="K165" i="60"/>
  <c r="J165" i="60"/>
  <c r="F164" i="60"/>
  <c r="F162" i="60"/>
  <c r="F161" i="60"/>
  <c r="F160" i="60"/>
  <c r="F159" i="60"/>
  <c r="N158" i="60"/>
  <c r="M158" i="60"/>
  <c r="L158" i="60"/>
  <c r="K158" i="60"/>
  <c r="J158" i="60"/>
  <c r="F157" i="60"/>
  <c r="B155" i="60"/>
  <c r="N149" i="60"/>
  <c r="M149" i="60"/>
  <c r="L149" i="60"/>
  <c r="K149" i="60"/>
  <c r="J149" i="60"/>
  <c r="H149" i="60"/>
  <c r="G149" i="60"/>
  <c r="N148" i="60"/>
  <c r="M148" i="60"/>
  <c r="L148" i="60"/>
  <c r="K148" i="60"/>
  <c r="J148" i="60"/>
  <c r="H148" i="60"/>
  <c r="G148" i="60"/>
  <c r="N147" i="60"/>
  <c r="M147" i="60"/>
  <c r="L147" i="60"/>
  <c r="K147" i="60"/>
  <c r="J147" i="60"/>
  <c r="H147" i="60"/>
  <c r="G147" i="60"/>
  <c r="N146" i="60"/>
  <c r="M146" i="60"/>
  <c r="L146" i="60"/>
  <c r="K146" i="60"/>
  <c r="J146" i="60"/>
  <c r="H146" i="60"/>
  <c r="G146" i="60"/>
  <c r="N145" i="60"/>
  <c r="M145" i="60"/>
  <c r="L145" i="60"/>
  <c r="K145" i="60"/>
  <c r="J145" i="60"/>
  <c r="H145" i="60"/>
  <c r="G145" i="60"/>
  <c r="F145" i="60"/>
  <c r="N143" i="60"/>
  <c r="M143" i="60"/>
  <c r="L143" i="60"/>
  <c r="K143" i="60"/>
  <c r="J143" i="60"/>
  <c r="H143" i="60"/>
  <c r="G143" i="60"/>
  <c r="N142" i="60"/>
  <c r="M142" i="60"/>
  <c r="L142" i="60"/>
  <c r="K142" i="60"/>
  <c r="J142" i="60"/>
  <c r="H142" i="60"/>
  <c r="G142" i="60"/>
  <c r="N141" i="60"/>
  <c r="M141" i="60"/>
  <c r="L141" i="60"/>
  <c r="K141" i="60"/>
  <c r="J141" i="60"/>
  <c r="H141" i="60"/>
  <c r="G141" i="60"/>
  <c r="N140" i="60"/>
  <c r="M140" i="60"/>
  <c r="L140" i="60"/>
  <c r="K140" i="60"/>
  <c r="J140" i="60"/>
  <c r="H140" i="60"/>
  <c r="G140" i="60"/>
  <c r="N139" i="60"/>
  <c r="M139" i="60"/>
  <c r="L139" i="60"/>
  <c r="K139" i="60"/>
  <c r="J139" i="60"/>
  <c r="H139" i="60"/>
  <c r="G139" i="60"/>
  <c r="F139" i="60"/>
  <c r="N137" i="60"/>
  <c r="M137" i="60"/>
  <c r="L137" i="60"/>
  <c r="K137" i="60"/>
  <c r="J137" i="60"/>
  <c r="H137" i="60"/>
  <c r="G137" i="60"/>
  <c r="N136" i="60"/>
  <c r="M136" i="60"/>
  <c r="L136" i="60"/>
  <c r="K136" i="60"/>
  <c r="J136" i="60"/>
  <c r="H136" i="60"/>
  <c r="G136" i="60"/>
  <c r="N135" i="60"/>
  <c r="M135" i="60"/>
  <c r="L135" i="60"/>
  <c r="K135" i="60"/>
  <c r="J135" i="60"/>
  <c r="H135" i="60"/>
  <c r="G135" i="60"/>
  <c r="N134" i="60"/>
  <c r="M134" i="60"/>
  <c r="L134" i="60"/>
  <c r="K134" i="60"/>
  <c r="J134" i="60"/>
  <c r="H134" i="60"/>
  <c r="G134" i="60"/>
  <c r="N133" i="60"/>
  <c r="M133" i="60"/>
  <c r="L133" i="60"/>
  <c r="K133" i="60"/>
  <c r="J133" i="60"/>
  <c r="H133" i="60"/>
  <c r="G133" i="60"/>
  <c r="F133" i="60"/>
  <c r="N131" i="60"/>
  <c r="M131" i="60"/>
  <c r="L131" i="60"/>
  <c r="K131" i="60"/>
  <c r="J131" i="60"/>
  <c r="H131" i="60"/>
  <c r="G131" i="60"/>
  <c r="N130" i="60"/>
  <c r="M130" i="60"/>
  <c r="L130" i="60"/>
  <c r="K130" i="60"/>
  <c r="J130" i="60"/>
  <c r="H130" i="60"/>
  <c r="G130" i="60"/>
  <c r="N129" i="60"/>
  <c r="M129" i="60"/>
  <c r="L129" i="60"/>
  <c r="K129" i="60"/>
  <c r="J129" i="60"/>
  <c r="H129" i="60"/>
  <c r="G129" i="60"/>
  <c r="N128" i="60"/>
  <c r="M128" i="60"/>
  <c r="L128" i="60"/>
  <c r="K128" i="60"/>
  <c r="J128" i="60"/>
  <c r="H128" i="60"/>
  <c r="G128" i="60"/>
  <c r="N127" i="60"/>
  <c r="M127" i="60"/>
  <c r="L127" i="60"/>
  <c r="K127" i="60"/>
  <c r="J127" i="60"/>
  <c r="H127" i="60"/>
  <c r="G127" i="60"/>
  <c r="F127" i="60"/>
  <c r="N125" i="60"/>
  <c r="M125" i="60"/>
  <c r="L125" i="60"/>
  <c r="K125" i="60"/>
  <c r="J125" i="60"/>
  <c r="H125" i="60"/>
  <c r="G125" i="60"/>
  <c r="N124" i="60"/>
  <c r="M124" i="60"/>
  <c r="L124" i="60"/>
  <c r="K124" i="60"/>
  <c r="J124" i="60"/>
  <c r="H124" i="60"/>
  <c r="G124" i="60"/>
  <c r="N123" i="60"/>
  <c r="M123" i="60"/>
  <c r="L123" i="60"/>
  <c r="K123" i="60"/>
  <c r="J123" i="60"/>
  <c r="H123" i="60"/>
  <c r="G123" i="60"/>
  <c r="N122" i="60"/>
  <c r="M122" i="60"/>
  <c r="L122" i="60"/>
  <c r="K122" i="60"/>
  <c r="J122" i="60"/>
  <c r="H122" i="60"/>
  <c r="G122" i="60"/>
  <c r="N121" i="60"/>
  <c r="M121" i="60"/>
  <c r="L121" i="60"/>
  <c r="K121" i="60"/>
  <c r="J121" i="60"/>
  <c r="H121" i="60"/>
  <c r="G121" i="60"/>
  <c r="F121" i="60"/>
  <c r="N119" i="60"/>
  <c r="M119" i="60"/>
  <c r="L119" i="60"/>
  <c r="K119" i="60"/>
  <c r="J119" i="60"/>
  <c r="H119" i="60"/>
  <c r="G119" i="60"/>
  <c r="N118" i="60"/>
  <c r="M118" i="60"/>
  <c r="L118" i="60"/>
  <c r="K118" i="60"/>
  <c r="J118" i="60"/>
  <c r="H118" i="60"/>
  <c r="G118" i="60"/>
  <c r="N117" i="60"/>
  <c r="M117" i="60"/>
  <c r="L117" i="60"/>
  <c r="K117" i="60"/>
  <c r="J117" i="60"/>
  <c r="H117" i="60"/>
  <c r="G117" i="60"/>
  <c r="N116" i="60"/>
  <c r="M116" i="60"/>
  <c r="L116" i="60"/>
  <c r="K116" i="60"/>
  <c r="J116" i="60"/>
  <c r="H116" i="60"/>
  <c r="G116" i="60"/>
  <c r="N115" i="60"/>
  <c r="M115" i="60"/>
  <c r="L115" i="60"/>
  <c r="K115" i="60"/>
  <c r="J115" i="60"/>
  <c r="H115" i="60"/>
  <c r="G115" i="60"/>
  <c r="F115" i="60"/>
  <c r="N113" i="60"/>
  <c r="M113" i="60"/>
  <c r="L113" i="60"/>
  <c r="K113" i="60"/>
  <c r="J113" i="60"/>
  <c r="H113" i="60"/>
  <c r="G113" i="60"/>
  <c r="N112" i="60"/>
  <c r="M112" i="60"/>
  <c r="L112" i="60"/>
  <c r="K112" i="60"/>
  <c r="J112" i="60"/>
  <c r="H112" i="60"/>
  <c r="G112" i="60"/>
  <c r="N111" i="60"/>
  <c r="M111" i="60"/>
  <c r="L111" i="60"/>
  <c r="K111" i="60"/>
  <c r="J111" i="60"/>
  <c r="H111" i="60"/>
  <c r="G111" i="60"/>
  <c r="N110" i="60"/>
  <c r="M110" i="60"/>
  <c r="L110" i="60"/>
  <c r="K110" i="60"/>
  <c r="J110" i="60"/>
  <c r="H110" i="60"/>
  <c r="G110" i="60"/>
  <c r="N109" i="60"/>
  <c r="M109" i="60"/>
  <c r="L109" i="60"/>
  <c r="K109" i="60"/>
  <c r="J109" i="60"/>
  <c r="H109" i="60"/>
  <c r="G109" i="60"/>
  <c r="F109" i="60"/>
  <c r="N107" i="60"/>
  <c r="M107" i="60"/>
  <c r="L107" i="60"/>
  <c r="K107" i="60"/>
  <c r="J107" i="60"/>
  <c r="H107" i="60"/>
  <c r="G107" i="60"/>
  <c r="N106" i="60"/>
  <c r="M106" i="60"/>
  <c r="L106" i="60"/>
  <c r="K106" i="60"/>
  <c r="J106" i="60"/>
  <c r="H106" i="60"/>
  <c r="G106" i="60"/>
  <c r="N105" i="60"/>
  <c r="M105" i="60"/>
  <c r="L105" i="60"/>
  <c r="K105" i="60"/>
  <c r="J105" i="60"/>
  <c r="H105" i="60"/>
  <c r="G105" i="60"/>
  <c r="N104" i="60"/>
  <c r="M104" i="60"/>
  <c r="L104" i="60"/>
  <c r="K104" i="60"/>
  <c r="J104" i="60"/>
  <c r="H104" i="60"/>
  <c r="G104" i="60"/>
  <c r="N103" i="60"/>
  <c r="M103" i="60"/>
  <c r="L103" i="60"/>
  <c r="K103" i="60"/>
  <c r="J103" i="60"/>
  <c r="H103" i="60"/>
  <c r="G103" i="60"/>
  <c r="F103" i="60"/>
  <c r="N101" i="60"/>
  <c r="M101" i="60"/>
  <c r="L101" i="60"/>
  <c r="K101" i="60"/>
  <c r="J101" i="60"/>
  <c r="H101" i="60"/>
  <c r="G101" i="60"/>
  <c r="N100" i="60"/>
  <c r="M100" i="60"/>
  <c r="L100" i="60"/>
  <c r="K100" i="60"/>
  <c r="J100" i="60"/>
  <c r="H100" i="60"/>
  <c r="G100" i="60"/>
  <c r="N99" i="60"/>
  <c r="M99" i="60"/>
  <c r="L99" i="60"/>
  <c r="K99" i="60"/>
  <c r="J99" i="60"/>
  <c r="H99" i="60"/>
  <c r="G99" i="60"/>
  <c r="N98" i="60"/>
  <c r="M98" i="60"/>
  <c r="L98" i="60"/>
  <c r="K98" i="60"/>
  <c r="J98" i="60"/>
  <c r="H98" i="60"/>
  <c r="G98" i="60"/>
  <c r="N97" i="60"/>
  <c r="M97" i="60"/>
  <c r="L97" i="60"/>
  <c r="K97" i="60"/>
  <c r="J97" i="60"/>
  <c r="H97" i="60"/>
  <c r="G97" i="60"/>
  <c r="F97" i="60"/>
  <c r="N95" i="60"/>
  <c r="M95" i="60"/>
  <c r="L95" i="60"/>
  <c r="K95" i="60"/>
  <c r="J95" i="60"/>
  <c r="H95" i="60"/>
  <c r="G95" i="60"/>
  <c r="N94" i="60"/>
  <c r="M94" i="60"/>
  <c r="L94" i="60"/>
  <c r="K94" i="60"/>
  <c r="J94" i="60"/>
  <c r="H94" i="60"/>
  <c r="G94" i="60"/>
  <c r="N93" i="60"/>
  <c r="M93" i="60"/>
  <c r="L93" i="60"/>
  <c r="K93" i="60"/>
  <c r="J93" i="60"/>
  <c r="H93" i="60"/>
  <c r="G93" i="60"/>
  <c r="N92" i="60"/>
  <c r="M92" i="60"/>
  <c r="L92" i="60"/>
  <c r="K92" i="60"/>
  <c r="J92" i="60"/>
  <c r="H92" i="60"/>
  <c r="G92" i="60"/>
  <c r="N91" i="60"/>
  <c r="M91" i="60"/>
  <c r="L91" i="60"/>
  <c r="K91" i="60"/>
  <c r="J91" i="60"/>
  <c r="H91" i="60"/>
  <c r="G91" i="60"/>
  <c r="F91" i="60"/>
  <c r="N90" i="60"/>
  <c r="M90" i="60"/>
  <c r="L90" i="60"/>
  <c r="K90" i="60"/>
  <c r="J90" i="60"/>
  <c r="N79" i="60"/>
  <c r="S856" i="19" s="1"/>
  <c r="S933" i="19" s="1"/>
  <c r="M79" i="60"/>
  <c r="S701" i="19" s="1"/>
  <c r="S778" i="19" s="1"/>
  <c r="L79" i="60"/>
  <c r="S546" i="19" s="1"/>
  <c r="S623" i="19" s="1"/>
  <c r="K79" i="60"/>
  <c r="S391" i="19" s="1"/>
  <c r="S468" i="19" s="1"/>
  <c r="J79" i="60"/>
  <c r="S236" i="19" s="1"/>
  <c r="S313" i="19" s="1"/>
  <c r="I78" i="60"/>
  <c r="S80" i="19" s="1"/>
  <c r="S157" i="19" s="1"/>
  <c r="H78" i="60"/>
  <c r="G78" i="60"/>
  <c r="I77" i="60"/>
  <c r="S79" i="19" s="1"/>
  <c r="S156" i="19" s="1"/>
  <c r="H77" i="60"/>
  <c r="G77" i="60"/>
  <c r="I76" i="60"/>
  <c r="S78" i="19" s="1"/>
  <c r="S155" i="19" s="1"/>
  <c r="H76" i="60"/>
  <c r="G76" i="60"/>
  <c r="I75" i="60"/>
  <c r="S77" i="19" s="1"/>
  <c r="S154" i="19" s="1"/>
  <c r="H75" i="60"/>
  <c r="G75" i="60"/>
  <c r="I74" i="60"/>
  <c r="S76" i="19" s="1"/>
  <c r="S153" i="19" s="1"/>
  <c r="H74" i="60"/>
  <c r="G74" i="60"/>
  <c r="F74" i="60"/>
  <c r="N73" i="60"/>
  <c r="S849" i="19" s="1"/>
  <c r="S926" i="19" s="1"/>
  <c r="M73" i="60"/>
  <c r="S694" i="19" s="1"/>
  <c r="S771" i="19" s="1"/>
  <c r="L73" i="60"/>
  <c r="S539" i="19" s="1"/>
  <c r="S616" i="19" s="1"/>
  <c r="K73" i="60"/>
  <c r="S384" i="19" s="1"/>
  <c r="S461" i="19" s="1"/>
  <c r="J73" i="60"/>
  <c r="S229" i="19" s="1"/>
  <c r="S306" i="19" s="1"/>
  <c r="I72" i="60"/>
  <c r="S73" i="19" s="1"/>
  <c r="S150" i="19" s="1"/>
  <c r="H72" i="60"/>
  <c r="G72" i="60"/>
  <c r="I71" i="60"/>
  <c r="S72" i="19" s="1"/>
  <c r="S149" i="19" s="1"/>
  <c r="H71" i="60"/>
  <c r="G71" i="60"/>
  <c r="I70" i="60"/>
  <c r="S71" i="19" s="1"/>
  <c r="S148" i="19" s="1"/>
  <c r="H70" i="60"/>
  <c r="G70" i="60"/>
  <c r="I69" i="60"/>
  <c r="S70" i="19" s="1"/>
  <c r="S147" i="19" s="1"/>
  <c r="H69" i="60"/>
  <c r="G69" i="60"/>
  <c r="I68" i="60"/>
  <c r="S69" i="19" s="1"/>
  <c r="S146" i="19" s="1"/>
  <c r="H68" i="60"/>
  <c r="G68" i="60"/>
  <c r="F68" i="60"/>
  <c r="N67" i="60"/>
  <c r="S842" i="19" s="1"/>
  <c r="S919" i="19" s="1"/>
  <c r="M67" i="60"/>
  <c r="S687" i="19" s="1"/>
  <c r="S764" i="19" s="1"/>
  <c r="L67" i="60"/>
  <c r="S532" i="19" s="1"/>
  <c r="S609" i="19" s="1"/>
  <c r="K67" i="60"/>
  <c r="S377" i="19" s="1"/>
  <c r="S454" i="19" s="1"/>
  <c r="J67" i="60"/>
  <c r="S222" i="19" s="1"/>
  <c r="S299" i="19" s="1"/>
  <c r="I66" i="60"/>
  <c r="S66" i="19" s="1"/>
  <c r="S143" i="19" s="1"/>
  <c r="H66" i="60"/>
  <c r="G66" i="60"/>
  <c r="I65" i="60"/>
  <c r="S65" i="19" s="1"/>
  <c r="S142" i="19" s="1"/>
  <c r="H65" i="60"/>
  <c r="G65" i="60"/>
  <c r="I64" i="60"/>
  <c r="S64" i="19" s="1"/>
  <c r="S141" i="19" s="1"/>
  <c r="H64" i="60"/>
  <c r="G64" i="60"/>
  <c r="I63" i="60"/>
  <c r="S63" i="19" s="1"/>
  <c r="S140" i="19" s="1"/>
  <c r="H63" i="60"/>
  <c r="G63" i="60"/>
  <c r="I62" i="60"/>
  <c r="S62" i="19" s="1"/>
  <c r="S139" i="19" s="1"/>
  <c r="H62" i="60"/>
  <c r="G62" i="60"/>
  <c r="F62" i="60"/>
  <c r="N61" i="60"/>
  <c r="S835" i="19" s="1"/>
  <c r="S912" i="19" s="1"/>
  <c r="M61" i="60"/>
  <c r="S680" i="19" s="1"/>
  <c r="S757" i="19" s="1"/>
  <c r="L61" i="60"/>
  <c r="S525" i="19" s="1"/>
  <c r="S602" i="19" s="1"/>
  <c r="K61" i="60"/>
  <c r="S370" i="19" s="1"/>
  <c r="S447" i="19" s="1"/>
  <c r="J61" i="60"/>
  <c r="S215" i="19" s="1"/>
  <c r="S292" i="19" s="1"/>
  <c r="I60" i="60"/>
  <c r="S59" i="19" s="1"/>
  <c r="S136" i="19" s="1"/>
  <c r="H60" i="60"/>
  <c r="G60" i="60"/>
  <c r="I59" i="60"/>
  <c r="S58" i="19" s="1"/>
  <c r="S135" i="19" s="1"/>
  <c r="H59" i="60"/>
  <c r="G59" i="60"/>
  <c r="I58" i="60"/>
  <c r="S57" i="19" s="1"/>
  <c r="S134" i="19" s="1"/>
  <c r="H58" i="60"/>
  <c r="G58" i="60"/>
  <c r="I57" i="60"/>
  <c r="S56" i="19" s="1"/>
  <c r="S133" i="19" s="1"/>
  <c r="H57" i="60"/>
  <c r="G57" i="60"/>
  <c r="I56" i="60"/>
  <c r="S55" i="19" s="1"/>
  <c r="S132" i="19" s="1"/>
  <c r="H56" i="60"/>
  <c r="G56" i="60"/>
  <c r="F56" i="60"/>
  <c r="N55" i="60"/>
  <c r="S828" i="19" s="1"/>
  <c r="S905" i="19" s="1"/>
  <c r="M55" i="60"/>
  <c r="S673" i="19" s="1"/>
  <c r="S750" i="19" s="1"/>
  <c r="L55" i="60"/>
  <c r="S518" i="19" s="1"/>
  <c r="S595" i="19" s="1"/>
  <c r="K55" i="60"/>
  <c r="S363" i="19" s="1"/>
  <c r="S440" i="19" s="1"/>
  <c r="J55" i="60"/>
  <c r="S208" i="19" s="1"/>
  <c r="S285" i="19" s="1"/>
  <c r="I54" i="60"/>
  <c r="S52" i="19" s="1"/>
  <c r="S129" i="19" s="1"/>
  <c r="H54" i="60"/>
  <c r="G54" i="60"/>
  <c r="I53" i="60"/>
  <c r="S51" i="19" s="1"/>
  <c r="S128" i="19" s="1"/>
  <c r="H53" i="60"/>
  <c r="G53" i="60"/>
  <c r="I52" i="60"/>
  <c r="S50" i="19" s="1"/>
  <c r="S127" i="19" s="1"/>
  <c r="H52" i="60"/>
  <c r="G52" i="60"/>
  <c r="I51" i="60"/>
  <c r="S49" i="19" s="1"/>
  <c r="S126" i="19" s="1"/>
  <c r="H51" i="60"/>
  <c r="G51" i="60"/>
  <c r="I50" i="60"/>
  <c r="S48" i="19" s="1"/>
  <c r="S125" i="19" s="1"/>
  <c r="H50" i="60"/>
  <c r="G50" i="60"/>
  <c r="F50" i="60"/>
  <c r="N49" i="60"/>
  <c r="S821" i="19" s="1"/>
  <c r="S898" i="19" s="1"/>
  <c r="M49" i="60"/>
  <c r="S666" i="19" s="1"/>
  <c r="S743" i="19" s="1"/>
  <c r="L49" i="60"/>
  <c r="S511" i="19" s="1"/>
  <c r="S588" i="19" s="1"/>
  <c r="K49" i="60"/>
  <c r="S356" i="19" s="1"/>
  <c r="S433" i="19" s="1"/>
  <c r="J49" i="60"/>
  <c r="S201" i="19" s="1"/>
  <c r="S278" i="19" s="1"/>
  <c r="I48" i="60"/>
  <c r="S45" i="19" s="1"/>
  <c r="S122" i="19" s="1"/>
  <c r="H48" i="60"/>
  <c r="G48" i="60"/>
  <c r="I47" i="60"/>
  <c r="S44" i="19" s="1"/>
  <c r="S121" i="19" s="1"/>
  <c r="H47" i="60"/>
  <c r="G47" i="60"/>
  <c r="I46" i="60"/>
  <c r="S43" i="19" s="1"/>
  <c r="S120" i="19" s="1"/>
  <c r="H46" i="60"/>
  <c r="G46" i="60"/>
  <c r="I45" i="60"/>
  <c r="S42" i="19" s="1"/>
  <c r="S119" i="19" s="1"/>
  <c r="H45" i="60"/>
  <c r="G45" i="60"/>
  <c r="I44" i="60"/>
  <c r="S41" i="19" s="1"/>
  <c r="S118" i="19" s="1"/>
  <c r="H44" i="60"/>
  <c r="G44" i="60"/>
  <c r="F44" i="60"/>
  <c r="N43" i="60"/>
  <c r="S814" i="19" s="1"/>
  <c r="S891" i="19" s="1"/>
  <c r="M43" i="60"/>
  <c r="S659" i="19" s="1"/>
  <c r="S736" i="19" s="1"/>
  <c r="L43" i="60"/>
  <c r="S504" i="19" s="1"/>
  <c r="S581" i="19" s="1"/>
  <c r="K43" i="60"/>
  <c r="S349" i="19" s="1"/>
  <c r="S426" i="19" s="1"/>
  <c r="J43" i="60"/>
  <c r="S194" i="19" s="1"/>
  <c r="S271" i="19" s="1"/>
  <c r="I42" i="60"/>
  <c r="S38" i="19" s="1"/>
  <c r="S115" i="19" s="1"/>
  <c r="H42" i="60"/>
  <c r="G42" i="60"/>
  <c r="I41" i="60"/>
  <c r="S37" i="19" s="1"/>
  <c r="S114" i="19" s="1"/>
  <c r="H41" i="60"/>
  <c r="G41" i="60"/>
  <c r="I40" i="60"/>
  <c r="S36" i="19" s="1"/>
  <c r="S113" i="19" s="1"/>
  <c r="H40" i="60"/>
  <c r="G40" i="60"/>
  <c r="I39" i="60"/>
  <c r="S35" i="19" s="1"/>
  <c r="S112" i="19" s="1"/>
  <c r="H39" i="60"/>
  <c r="G39" i="60"/>
  <c r="I38" i="60"/>
  <c r="S34" i="19" s="1"/>
  <c r="S111" i="19" s="1"/>
  <c r="H38" i="60"/>
  <c r="G38" i="60"/>
  <c r="F38" i="60"/>
  <c r="N37" i="60"/>
  <c r="S807" i="19" s="1"/>
  <c r="S884" i="19" s="1"/>
  <c r="M37" i="60"/>
  <c r="S652" i="19" s="1"/>
  <c r="S729" i="19" s="1"/>
  <c r="L37" i="60"/>
  <c r="S497" i="19" s="1"/>
  <c r="S574" i="19" s="1"/>
  <c r="K37" i="60"/>
  <c r="S342" i="19" s="1"/>
  <c r="S419" i="19" s="1"/>
  <c r="J37" i="60"/>
  <c r="S187" i="19" s="1"/>
  <c r="S264" i="19" s="1"/>
  <c r="I36" i="60"/>
  <c r="S31" i="19" s="1"/>
  <c r="S108" i="19" s="1"/>
  <c r="H36" i="60"/>
  <c r="G36" i="60"/>
  <c r="I35" i="60"/>
  <c r="S30" i="19" s="1"/>
  <c r="S107" i="19" s="1"/>
  <c r="H35" i="60"/>
  <c r="G35" i="60"/>
  <c r="I34" i="60"/>
  <c r="S29" i="19" s="1"/>
  <c r="S106" i="19" s="1"/>
  <c r="H34" i="60"/>
  <c r="G34" i="60"/>
  <c r="I33" i="60"/>
  <c r="S28" i="19" s="1"/>
  <c r="S105" i="19" s="1"/>
  <c r="H33" i="60"/>
  <c r="G33" i="60"/>
  <c r="I32" i="60"/>
  <c r="S27" i="19" s="1"/>
  <c r="S104" i="19" s="1"/>
  <c r="H32" i="60"/>
  <c r="G32" i="60"/>
  <c r="F32" i="60"/>
  <c r="N31" i="60"/>
  <c r="S800" i="19" s="1"/>
  <c r="S877" i="19" s="1"/>
  <c r="M31" i="60"/>
  <c r="S645" i="19" s="1"/>
  <c r="S722" i="19" s="1"/>
  <c r="L31" i="60"/>
  <c r="S490" i="19" s="1"/>
  <c r="S567" i="19" s="1"/>
  <c r="K31" i="60"/>
  <c r="S335" i="19" s="1"/>
  <c r="S412" i="19" s="1"/>
  <c r="J31" i="60"/>
  <c r="S180" i="19" s="1"/>
  <c r="S257" i="19" s="1"/>
  <c r="I30" i="60"/>
  <c r="S24" i="19" s="1"/>
  <c r="S101" i="19" s="1"/>
  <c r="H30" i="60"/>
  <c r="G30" i="60"/>
  <c r="I29" i="60"/>
  <c r="S23" i="19" s="1"/>
  <c r="S100" i="19" s="1"/>
  <c r="H29" i="60"/>
  <c r="G29" i="60"/>
  <c r="I28" i="60"/>
  <c r="S22" i="19" s="1"/>
  <c r="S99" i="19" s="1"/>
  <c r="H28" i="60"/>
  <c r="G28" i="60"/>
  <c r="I27" i="60"/>
  <c r="S21" i="19" s="1"/>
  <c r="S98" i="19" s="1"/>
  <c r="H27" i="60"/>
  <c r="G27" i="60"/>
  <c r="I26" i="60"/>
  <c r="S20" i="19" s="1"/>
  <c r="S97" i="19" s="1"/>
  <c r="H26" i="60"/>
  <c r="G26" i="60"/>
  <c r="F26" i="60"/>
  <c r="N25" i="60"/>
  <c r="S793" i="19" s="1"/>
  <c r="M25" i="60"/>
  <c r="S638" i="19" s="1"/>
  <c r="L25" i="60"/>
  <c r="S483" i="19" s="1"/>
  <c r="K25" i="60"/>
  <c r="S328" i="19" s="1"/>
  <c r="J25" i="60"/>
  <c r="S173" i="19" s="1"/>
  <c r="I24" i="60"/>
  <c r="S17" i="19" s="1"/>
  <c r="S94" i="19" s="1"/>
  <c r="H24" i="60"/>
  <c r="G24" i="60"/>
  <c r="I23" i="60"/>
  <c r="S16" i="19" s="1"/>
  <c r="S93" i="19" s="1"/>
  <c r="H23" i="60"/>
  <c r="G23" i="60"/>
  <c r="I22" i="60"/>
  <c r="S15" i="19" s="1"/>
  <c r="S92" i="19" s="1"/>
  <c r="H22" i="60"/>
  <c r="G22" i="60"/>
  <c r="I21" i="60"/>
  <c r="S14" i="19" s="1"/>
  <c r="S91" i="19" s="1"/>
  <c r="H21" i="60"/>
  <c r="G21" i="60"/>
  <c r="I20" i="60"/>
  <c r="S13" i="19" s="1"/>
  <c r="S90" i="19" s="1"/>
  <c r="H20" i="60"/>
  <c r="G20" i="60"/>
  <c r="F20" i="60"/>
  <c r="N19" i="60"/>
  <c r="M19" i="60"/>
  <c r="L19" i="60"/>
  <c r="K19" i="60"/>
  <c r="J19" i="60"/>
  <c r="B14" i="60"/>
  <c r="F12" i="60"/>
  <c r="H152" i="60" s="1"/>
  <c r="N9" i="60"/>
  <c r="M9" i="60"/>
  <c r="L9" i="60"/>
  <c r="K9" i="60"/>
  <c r="J9" i="60"/>
  <c r="B6" i="60"/>
  <c r="B2" i="60"/>
  <c r="B1" i="60"/>
  <c r="H22" i="21" s="1"/>
  <c r="F169" i="59"/>
  <c r="F168" i="59"/>
  <c r="F167" i="59"/>
  <c r="F166" i="59"/>
  <c r="N165" i="59"/>
  <c r="M165" i="59"/>
  <c r="L165" i="59"/>
  <c r="K165" i="59"/>
  <c r="J165" i="59"/>
  <c r="F164" i="59"/>
  <c r="F162" i="59"/>
  <c r="F161" i="59"/>
  <c r="F160" i="59"/>
  <c r="F159" i="59"/>
  <c r="N158" i="59"/>
  <c r="M158" i="59"/>
  <c r="L158" i="59"/>
  <c r="K158" i="59"/>
  <c r="J158" i="59"/>
  <c r="F157" i="59"/>
  <c r="B155" i="59"/>
  <c r="N149" i="59"/>
  <c r="M149" i="59"/>
  <c r="L149" i="59"/>
  <c r="K149" i="59"/>
  <c r="J149" i="59"/>
  <c r="H149" i="59"/>
  <c r="G149" i="59"/>
  <c r="N148" i="59"/>
  <c r="M148" i="59"/>
  <c r="L148" i="59"/>
  <c r="K148" i="59"/>
  <c r="J148" i="59"/>
  <c r="H148" i="59"/>
  <c r="G148" i="59"/>
  <c r="N147" i="59"/>
  <c r="M147" i="59"/>
  <c r="L147" i="59"/>
  <c r="K147" i="59"/>
  <c r="J147" i="59"/>
  <c r="H147" i="59"/>
  <c r="G147" i="59"/>
  <c r="N146" i="59"/>
  <c r="M146" i="59"/>
  <c r="L146" i="59"/>
  <c r="K146" i="59"/>
  <c r="J146" i="59"/>
  <c r="H146" i="59"/>
  <c r="G146" i="59"/>
  <c r="N145" i="59"/>
  <c r="M145" i="59"/>
  <c r="L145" i="59"/>
  <c r="K145" i="59"/>
  <c r="J145" i="59"/>
  <c r="H145" i="59"/>
  <c r="G145" i="59"/>
  <c r="F145" i="59"/>
  <c r="N143" i="59"/>
  <c r="M143" i="59"/>
  <c r="L143" i="59"/>
  <c r="K143" i="59"/>
  <c r="J143" i="59"/>
  <c r="H143" i="59"/>
  <c r="G143" i="59"/>
  <c r="N142" i="59"/>
  <c r="M142" i="59"/>
  <c r="L142" i="59"/>
  <c r="K142" i="59"/>
  <c r="J142" i="59"/>
  <c r="H142" i="59"/>
  <c r="G142" i="59"/>
  <c r="N141" i="59"/>
  <c r="M141" i="59"/>
  <c r="L141" i="59"/>
  <c r="K141" i="59"/>
  <c r="J141" i="59"/>
  <c r="H141" i="59"/>
  <c r="G141" i="59"/>
  <c r="N140" i="59"/>
  <c r="M140" i="59"/>
  <c r="L140" i="59"/>
  <c r="K140" i="59"/>
  <c r="J140" i="59"/>
  <c r="H140" i="59"/>
  <c r="G140" i="59"/>
  <c r="N139" i="59"/>
  <c r="M139" i="59"/>
  <c r="L139" i="59"/>
  <c r="K139" i="59"/>
  <c r="J139" i="59"/>
  <c r="H139" i="59"/>
  <c r="G139" i="59"/>
  <c r="F139" i="59"/>
  <c r="N137" i="59"/>
  <c r="M137" i="59"/>
  <c r="L137" i="59"/>
  <c r="K137" i="59"/>
  <c r="J137" i="59"/>
  <c r="H137" i="59"/>
  <c r="G137" i="59"/>
  <c r="N136" i="59"/>
  <c r="M136" i="59"/>
  <c r="L136" i="59"/>
  <c r="K136" i="59"/>
  <c r="J136" i="59"/>
  <c r="H136" i="59"/>
  <c r="G136" i="59"/>
  <c r="N135" i="59"/>
  <c r="M135" i="59"/>
  <c r="L135" i="59"/>
  <c r="K135" i="59"/>
  <c r="J135" i="59"/>
  <c r="H135" i="59"/>
  <c r="G135" i="59"/>
  <c r="N134" i="59"/>
  <c r="M134" i="59"/>
  <c r="L134" i="59"/>
  <c r="K134" i="59"/>
  <c r="J134" i="59"/>
  <c r="H134" i="59"/>
  <c r="G134" i="59"/>
  <c r="N133" i="59"/>
  <c r="M133" i="59"/>
  <c r="L133" i="59"/>
  <c r="K133" i="59"/>
  <c r="J133" i="59"/>
  <c r="H133" i="59"/>
  <c r="G133" i="59"/>
  <c r="F133" i="59"/>
  <c r="N131" i="59"/>
  <c r="M131" i="59"/>
  <c r="L131" i="59"/>
  <c r="K131" i="59"/>
  <c r="J131" i="59"/>
  <c r="H131" i="59"/>
  <c r="G131" i="59"/>
  <c r="N130" i="59"/>
  <c r="M130" i="59"/>
  <c r="L130" i="59"/>
  <c r="K130" i="59"/>
  <c r="J130" i="59"/>
  <c r="H130" i="59"/>
  <c r="G130" i="59"/>
  <c r="N129" i="59"/>
  <c r="M129" i="59"/>
  <c r="L129" i="59"/>
  <c r="K129" i="59"/>
  <c r="J129" i="59"/>
  <c r="H129" i="59"/>
  <c r="G129" i="59"/>
  <c r="N128" i="59"/>
  <c r="M128" i="59"/>
  <c r="L128" i="59"/>
  <c r="K128" i="59"/>
  <c r="J128" i="59"/>
  <c r="H128" i="59"/>
  <c r="G128" i="59"/>
  <c r="N127" i="59"/>
  <c r="M127" i="59"/>
  <c r="L127" i="59"/>
  <c r="K127" i="59"/>
  <c r="J127" i="59"/>
  <c r="H127" i="59"/>
  <c r="G127" i="59"/>
  <c r="F127" i="59"/>
  <c r="N125" i="59"/>
  <c r="M125" i="59"/>
  <c r="L125" i="59"/>
  <c r="K125" i="59"/>
  <c r="J125" i="59"/>
  <c r="H125" i="59"/>
  <c r="G125" i="59"/>
  <c r="N124" i="59"/>
  <c r="M124" i="59"/>
  <c r="L124" i="59"/>
  <c r="K124" i="59"/>
  <c r="J124" i="59"/>
  <c r="H124" i="59"/>
  <c r="G124" i="59"/>
  <c r="N123" i="59"/>
  <c r="M123" i="59"/>
  <c r="L123" i="59"/>
  <c r="K123" i="59"/>
  <c r="J123" i="59"/>
  <c r="H123" i="59"/>
  <c r="G123" i="59"/>
  <c r="N122" i="59"/>
  <c r="M122" i="59"/>
  <c r="L122" i="59"/>
  <c r="K122" i="59"/>
  <c r="J122" i="59"/>
  <c r="H122" i="59"/>
  <c r="G122" i="59"/>
  <c r="N121" i="59"/>
  <c r="M121" i="59"/>
  <c r="L121" i="59"/>
  <c r="K121" i="59"/>
  <c r="J121" i="59"/>
  <c r="H121" i="59"/>
  <c r="G121" i="59"/>
  <c r="F121" i="59"/>
  <c r="N119" i="59"/>
  <c r="M119" i="59"/>
  <c r="L119" i="59"/>
  <c r="K119" i="59"/>
  <c r="J119" i="59"/>
  <c r="H119" i="59"/>
  <c r="G119" i="59"/>
  <c r="N118" i="59"/>
  <c r="M118" i="59"/>
  <c r="L118" i="59"/>
  <c r="K118" i="59"/>
  <c r="J118" i="59"/>
  <c r="H118" i="59"/>
  <c r="G118" i="59"/>
  <c r="H117" i="59"/>
  <c r="G117" i="59"/>
  <c r="H116" i="59"/>
  <c r="G116" i="59"/>
  <c r="H115" i="59"/>
  <c r="G115" i="59"/>
  <c r="F115" i="59"/>
  <c r="N113" i="59"/>
  <c r="M113" i="59"/>
  <c r="L113" i="59"/>
  <c r="K113" i="59"/>
  <c r="J113" i="59"/>
  <c r="H113" i="59"/>
  <c r="G113" i="59"/>
  <c r="N112" i="59"/>
  <c r="M112" i="59"/>
  <c r="L112" i="59"/>
  <c r="K112" i="59"/>
  <c r="J112" i="59"/>
  <c r="H112" i="59"/>
  <c r="G112" i="59"/>
  <c r="H111" i="59"/>
  <c r="G111" i="59"/>
  <c r="H110" i="59"/>
  <c r="G110" i="59"/>
  <c r="H109" i="59"/>
  <c r="G109" i="59"/>
  <c r="F109" i="59"/>
  <c r="N107" i="59"/>
  <c r="M107" i="59"/>
  <c r="L107" i="59"/>
  <c r="K107" i="59"/>
  <c r="J107" i="59"/>
  <c r="H107" i="59"/>
  <c r="G107" i="59"/>
  <c r="N106" i="59"/>
  <c r="M106" i="59"/>
  <c r="L106" i="59"/>
  <c r="K106" i="59"/>
  <c r="J106" i="59"/>
  <c r="H106" i="59"/>
  <c r="G106" i="59"/>
  <c r="N105" i="59"/>
  <c r="M105" i="59"/>
  <c r="L105" i="59"/>
  <c r="K105" i="59"/>
  <c r="J105" i="59"/>
  <c r="H105" i="59"/>
  <c r="G105" i="59"/>
  <c r="H104" i="59"/>
  <c r="G104" i="59"/>
  <c r="H103" i="59"/>
  <c r="G103" i="59"/>
  <c r="F103" i="59"/>
  <c r="N101" i="59"/>
  <c r="M101" i="59"/>
  <c r="L101" i="59"/>
  <c r="K101" i="59"/>
  <c r="J101" i="59"/>
  <c r="H101" i="59"/>
  <c r="G101" i="59"/>
  <c r="N100" i="59"/>
  <c r="M100" i="59"/>
  <c r="L100" i="59"/>
  <c r="K100" i="59"/>
  <c r="J100" i="59"/>
  <c r="H100" i="59"/>
  <c r="G100" i="59"/>
  <c r="H99" i="59"/>
  <c r="G99" i="59"/>
  <c r="H98" i="59"/>
  <c r="G98" i="59"/>
  <c r="H97" i="59"/>
  <c r="G97" i="59"/>
  <c r="F97" i="59"/>
  <c r="N95" i="59"/>
  <c r="M95" i="59"/>
  <c r="L95" i="59"/>
  <c r="K95" i="59"/>
  <c r="J95" i="59"/>
  <c r="H95" i="59"/>
  <c r="G95" i="59"/>
  <c r="H94" i="59"/>
  <c r="G94" i="59"/>
  <c r="H93" i="59"/>
  <c r="G93" i="59"/>
  <c r="H92" i="59"/>
  <c r="G92" i="59"/>
  <c r="H91" i="59"/>
  <c r="G91" i="59"/>
  <c r="F91" i="59"/>
  <c r="N90" i="59"/>
  <c r="M90" i="59"/>
  <c r="L90" i="59"/>
  <c r="K90" i="59"/>
  <c r="J90" i="59"/>
  <c r="N79" i="59"/>
  <c r="R856" i="19" s="1"/>
  <c r="R933" i="19" s="1"/>
  <c r="M79" i="59"/>
  <c r="R701" i="19" s="1"/>
  <c r="R778" i="19" s="1"/>
  <c r="L79" i="59"/>
  <c r="R546" i="19" s="1"/>
  <c r="R623" i="19" s="1"/>
  <c r="K79" i="59"/>
  <c r="R391" i="19" s="1"/>
  <c r="R468" i="19" s="1"/>
  <c r="J79" i="59"/>
  <c r="R236" i="19" s="1"/>
  <c r="R313" i="19" s="1"/>
  <c r="I78" i="59"/>
  <c r="R80" i="19" s="1"/>
  <c r="R157" i="19" s="1"/>
  <c r="H78" i="59"/>
  <c r="G78" i="59"/>
  <c r="I77" i="59"/>
  <c r="R79" i="19" s="1"/>
  <c r="R156" i="19" s="1"/>
  <c r="H77" i="59"/>
  <c r="G77" i="59"/>
  <c r="I76" i="59"/>
  <c r="R78" i="19" s="1"/>
  <c r="R155" i="19" s="1"/>
  <c r="H76" i="59"/>
  <c r="G76" i="59"/>
  <c r="I75" i="59"/>
  <c r="R77" i="19" s="1"/>
  <c r="R154" i="19" s="1"/>
  <c r="H75" i="59"/>
  <c r="G75" i="59"/>
  <c r="I74" i="59"/>
  <c r="R76" i="19" s="1"/>
  <c r="R153" i="19" s="1"/>
  <c r="H74" i="59"/>
  <c r="G74" i="59"/>
  <c r="F74" i="59"/>
  <c r="N73" i="59"/>
  <c r="R849" i="19" s="1"/>
  <c r="R926" i="19" s="1"/>
  <c r="M73" i="59"/>
  <c r="R694" i="19" s="1"/>
  <c r="R771" i="19" s="1"/>
  <c r="L73" i="59"/>
  <c r="R539" i="19" s="1"/>
  <c r="R616" i="19" s="1"/>
  <c r="K73" i="59"/>
  <c r="R384" i="19" s="1"/>
  <c r="R461" i="19" s="1"/>
  <c r="J73" i="59"/>
  <c r="R229" i="19" s="1"/>
  <c r="R306" i="19" s="1"/>
  <c r="I72" i="59"/>
  <c r="R73" i="19" s="1"/>
  <c r="R150" i="19" s="1"/>
  <c r="H72" i="59"/>
  <c r="G72" i="59"/>
  <c r="I71" i="59"/>
  <c r="R72" i="19" s="1"/>
  <c r="R149" i="19" s="1"/>
  <c r="H71" i="59"/>
  <c r="G71" i="59"/>
  <c r="I70" i="59"/>
  <c r="R71" i="19" s="1"/>
  <c r="R148" i="19" s="1"/>
  <c r="H70" i="59"/>
  <c r="G70" i="59"/>
  <c r="I69" i="59"/>
  <c r="R70" i="19" s="1"/>
  <c r="R147" i="19" s="1"/>
  <c r="H69" i="59"/>
  <c r="G69" i="59"/>
  <c r="I68" i="59"/>
  <c r="R69" i="19" s="1"/>
  <c r="R146" i="19" s="1"/>
  <c r="H68" i="59"/>
  <c r="G68" i="59"/>
  <c r="F68" i="59"/>
  <c r="N67" i="59"/>
  <c r="R842" i="19" s="1"/>
  <c r="R919" i="19" s="1"/>
  <c r="M67" i="59"/>
  <c r="R687" i="19" s="1"/>
  <c r="R764" i="19" s="1"/>
  <c r="L67" i="59"/>
  <c r="R532" i="19" s="1"/>
  <c r="R609" i="19" s="1"/>
  <c r="K67" i="59"/>
  <c r="R377" i="19" s="1"/>
  <c r="R454" i="19" s="1"/>
  <c r="J67" i="59"/>
  <c r="R222" i="19" s="1"/>
  <c r="R299" i="19" s="1"/>
  <c r="I66" i="59"/>
  <c r="R66" i="19" s="1"/>
  <c r="R143" i="19" s="1"/>
  <c r="H66" i="59"/>
  <c r="G66" i="59"/>
  <c r="I65" i="59"/>
  <c r="R65" i="19" s="1"/>
  <c r="R142" i="19" s="1"/>
  <c r="H65" i="59"/>
  <c r="G65" i="59"/>
  <c r="I64" i="59"/>
  <c r="R64" i="19" s="1"/>
  <c r="R141" i="19" s="1"/>
  <c r="H64" i="59"/>
  <c r="G64" i="59"/>
  <c r="I63" i="59"/>
  <c r="R63" i="19" s="1"/>
  <c r="R140" i="19" s="1"/>
  <c r="H63" i="59"/>
  <c r="G63" i="59"/>
  <c r="I62" i="59"/>
  <c r="R62" i="19" s="1"/>
  <c r="R139" i="19" s="1"/>
  <c r="H62" i="59"/>
  <c r="G62" i="59"/>
  <c r="F62" i="59"/>
  <c r="N61" i="59"/>
  <c r="R835" i="19" s="1"/>
  <c r="R912" i="19" s="1"/>
  <c r="M61" i="59"/>
  <c r="R680" i="19" s="1"/>
  <c r="R757" i="19" s="1"/>
  <c r="L61" i="59"/>
  <c r="R525" i="19" s="1"/>
  <c r="R602" i="19" s="1"/>
  <c r="K61" i="59"/>
  <c r="R370" i="19" s="1"/>
  <c r="R447" i="19" s="1"/>
  <c r="J61" i="59"/>
  <c r="R215" i="19" s="1"/>
  <c r="R292" i="19" s="1"/>
  <c r="I60" i="59"/>
  <c r="R59" i="19" s="1"/>
  <c r="R136" i="19" s="1"/>
  <c r="H60" i="59"/>
  <c r="G60" i="59"/>
  <c r="I59" i="59"/>
  <c r="R58" i="19" s="1"/>
  <c r="R135" i="19" s="1"/>
  <c r="H59" i="59"/>
  <c r="G59" i="59"/>
  <c r="I58" i="59"/>
  <c r="R57" i="19" s="1"/>
  <c r="R134" i="19" s="1"/>
  <c r="H58" i="59"/>
  <c r="G58" i="59"/>
  <c r="I57" i="59"/>
  <c r="R56" i="19" s="1"/>
  <c r="R133" i="19" s="1"/>
  <c r="H57" i="59"/>
  <c r="G57" i="59"/>
  <c r="I56" i="59"/>
  <c r="R55" i="19" s="1"/>
  <c r="R132" i="19" s="1"/>
  <c r="H56" i="59"/>
  <c r="G56" i="59"/>
  <c r="F56" i="59"/>
  <c r="N55" i="59"/>
  <c r="R828" i="19" s="1"/>
  <c r="R905" i="19" s="1"/>
  <c r="M55" i="59"/>
  <c r="R673" i="19" s="1"/>
  <c r="R750" i="19" s="1"/>
  <c r="L55" i="59"/>
  <c r="R518" i="19" s="1"/>
  <c r="R595" i="19" s="1"/>
  <c r="K55" i="59"/>
  <c r="R363" i="19" s="1"/>
  <c r="R440" i="19" s="1"/>
  <c r="J55" i="59"/>
  <c r="R208" i="19" s="1"/>
  <c r="R285" i="19" s="1"/>
  <c r="I54" i="59"/>
  <c r="R52" i="19" s="1"/>
  <c r="R129" i="19" s="1"/>
  <c r="H54" i="59"/>
  <c r="G54" i="59"/>
  <c r="I53" i="59"/>
  <c r="R51" i="19" s="1"/>
  <c r="R128" i="19" s="1"/>
  <c r="H53" i="59"/>
  <c r="G53" i="59"/>
  <c r="I52" i="59"/>
  <c r="R50" i="19" s="1"/>
  <c r="R127" i="19" s="1"/>
  <c r="H52" i="59"/>
  <c r="G52" i="59"/>
  <c r="I51" i="59"/>
  <c r="R49" i="19" s="1"/>
  <c r="R126" i="19" s="1"/>
  <c r="H51" i="59"/>
  <c r="G51" i="59"/>
  <c r="I50" i="59"/>
  <c r="R48" i="19" s="1"/>
  <c r="R125" i="19" s="1"/>
  <c r="H50" i="59"/>
  <c r="G50" i="59"/>
  <c r="F50" i="59"/>
  <c r="I48" i="59"/>
  <c r="R45" i="19" s="1"/>
  <c r="R122" i="19" s="1"/>
  <c r="H48" i="59"/>
  <c r="G48" i="59"/>
  <c r="I47" i="59"/>
  <c r="R44" i="19" s="1"/>
  <c r="R121" i="19" s="1"/>
  <c r="H47" i="59"/>
  <c r="G47" i="59"/>
  <c r="N46" i="59"/>
  <c r="R818" i="19" s="1"/>
  <c r="R895" i="19" s="1"/>
  <c r="M46" i="59"/>
  <c r="R663" i="19" s="1"/>
  <c r="R740" i="19" s="1"/>
  <c r="L46" i="59"/>
  <c r="R508" i="19" s="1"/>
  <c r="R585" i="19" s="1"/>
  <c r="K46" i="59"/>
  <c r="R353" i="19" s="1"/>
  <c r="R430" i="19" s="1"/>
  <c r="J46" i="59"/>
  <c r="R198" i="19" s="1"/>
  <c r="R275" i="19" s="1"/>
  <c r="H46" i="59"/>
  <c r="G46" i="59"/>
  <c r="N45" i="59"/>
  <c r="R817" i="19" s="1"/>
  <c r="R894" i="19" s="1"/>
  <c r="M45" i="59"/>
  <c r="R662" i="19" s="1"/>
  <c r="R739" i="19" s="1"/>
  <c r="L45" i="59"/>
  <c r="R507" i="19" s="1"/>
  <c r="R584" i="19" s="1"/>
  <c r="K45" i="59"/>
  <c r="R352" i="19" s="1"/>
  <c r="R429" i="19" s="1"/>
  <c r="J45" i="59"/>
  <c r="R197" i="19" s="1"/>
  <c r="R274" i="19" s="1"/>
  <c r="H45" i="59"/>
  <c r="G45" i="59"/>
  <c r="N44" i="59"/>
  <c r="R816" i="19" s="1"/>
  <c r="R893" i="19" s="1"/>
  <c r="M44" i="59"/>
  <c r="R661" i="19" s="1"/>
  <c r="R738" i="19" s="1"/>
  <c r="L44" i="59"/>
  <c r="R506" i="19" s="1"/>
  <c r="R583" i="19" s="1"/>
  <c r="K44" i="59"/>
  <c r="R351" i="19" s="1"/>
  <c r="R428" i="19" s="1"/>
  <c r="J44" i="59"/>
  <c r="R196" i="19" s="1"/>
  <c r="R273" i="19" s="1"/>
  <c r="H44" i="59"/>
  <c r="G44" i="59"/>
  <c r="F44" i="59"/>
  <c r="I42" i="59"/>
  <c r="R38" i="19" s="1"/>
  <c r="R115" i="19" s="1"/>
  <c r="H42" i="59"/>
  <c r="G42" i="59"/>
  <c r="I41" i="59"/>
  <c r="R37" i="19" s="1"/>
  <c r="R114" i="19" s="1"/>
  <c r="H41" i="59"/>
  <c r="G41" i="59"/>
  <c r="N40" i="59"/>
  <c r="R811" i="19" s="1"/>
  <c r="R888" i="19" s="1"/>
  <c r="M40" i="59"/>
  <c r="R656" i="19" s="1"/>
  <c r="R733" i="19" s="1"/>
  <c r="L40" i="59"/>
  <c r="R501" i="19" s="1"/>
  <c r="R578" i="19" s="1"/>
  <c r="K40" i="59"/>
  <c r="R346" i="19" s="1"/>
  <c r="R423" i="19" s="1"/>
  <c r="J40" i="59"/>
  <c r="R191" i="19" s="1"/>
  <c r="R268" i="19" s="1"/>
  <c r="I40" i="59"/>
  <c r="R36" i="19" s="1"/>
  <c r="R113" i="19" s="1"/>
  <c r="H40" i="59"/>
  <c r="G40" i="59"/>
  <c r="N39" i="59"/>
  <c r="R810" i="19" s="1"/>
  <c r="R887" i="19" s="1"/>
  <c r="M39" i="59"/>
  <c r="R655" i="19" s="1"/>
  <c r="R732" i="19" s="1"/>
  <c r="L39" i="59"/>
  <c r="R500" i="19" s="1"/>
  <c r="R577" i="19" s="1"/>
  <c r="K39" i="59"/>
  <c r="R345" i="19" s="1"/>
  <c r="R422" i="19" s="1"/>
  <c r="J39" i="59"/>
  <c r="R190" i="19" s="1"/>
  <c r="R267" i="19" s="1"/>
  <c r="I39" i="59"/>
  <c r="R35" i="19" s="1"/>
  <c r="R112" i="19" s="1"/>
  <c r="H39" i="59"/>
  <c r="G39" i="59"/>
  <c r="N38" i="59"/>
  <c r="R809" i="19" s="1"/>
  <c r="R886" i="19" s="1"/>
  <c r="M38" i="59"/>
  <c r="R654" i="19" s="1"/>
  <c r="R731" i="19" s="1"/>
  <c r="L38" i="59"/>
  <c r="R499" i="19" s="1"/>
  <c r="R576" i="19" s="1"/>
  <c r="K38" i="59"/>
  <c r="R344" i="19" s="1"/>
  <c r="R421" i="19" s="1"/>
  <c r="J38" i="59"/>
  <c r="R189" i="19" s="1"/>
  <c r="R266" i="19" s="1"/>
  <c r="I38" i="59"/>
  <c r="R34" i="19" s="1"/>
  <c r="R111" i="19" s="1"/>
  <c r="H38" i="59"/>
  <c r="G38" i="59"/>
  <c r="F38" i="59"/>
  <c r="N37" i="59"/>
  <c r="R807" i="19" s="1"/>
  <c r="R884" i="19" s="1"/>
  <c r="L37" i="59"/>
  <c r="R497" i="19" s="1"/>
  <c r="R574" i="19" s="1"/>
  <c r="J37" i="59"/>
  <c r="R187" i="19" s="1"/>
  <c r="R264" i="19" s="1"/>
  <c r="I36" i="59"/>
  <c r="R31" i="19" s="1"/>
  <c r="R108" i="19" s="1"/>
  <c r="H36" i="59"/>
  <c r="G36" i="59"/>
  <c r="I35" i="59"/>
  <c r="R30" i="19" s="1"/>
  <c r="R107" i="19" s="1"/>
  <c r="H35" i="59"/>
  <c r="G35" i="59"/>
  <c r="I34" i="59"/>
  <c r="R29" i="19" s="1"/>
  <c r="R106" i="19" s="1"/>
  <c r="H34" i="59"/>
  <c r="G34" i="59"/>
  <c r="N33" i="59"/>
  <c r="R803" i="19" s="1"/>
  <c r="R880" i="19" s="1"/>
  <c r="M33" i="59"/>
  <c r="R648" i="19" s="1"/>
  <c r="R725" i="19" s="1"/>
  <c r="L33" i="59"/>
  <c r="R493" i="19" s="1"/>
  <c r="R570" i="19" s="1"/>
  <c r="K33" i="59"/>
  <c r="R338" i="19" s="1"/>
  <c r="R415" i="19" s="1"/>
  <c r="J33" i="59"/>
  <c r="R183" i="19" s="1"/>
  <c r="R260" i="19" s="1"/>
  <c r="I33" i="59"/>
  <c r="R28" i="19" s="1"/>
  <c r="R105" i="19" s="1"/>
  <c r="H33" i="59"/>
  <c r="G33" i="59"/>
  <c r="N32" i="59"/>
  <c r="R802" i="19" s="1"/>
  <c r="R879" i="19" s="1"/>
  <c r="M32" i="59"/>
  <c r="R647" i="19" s="1"/>
  <c r="R724" i="19" s="1"/>
  <c r="L32" i="59"/>
  <c r="R492" i="19" s="1"/>
  <c r="R569" i="19" s="1"/>
  <c r="K32" i="59"/>
  <c r="R337" i="19" s="1"/>
  <c r="R414" i="19" s="1"/>
  <c r="J32" i="59"/>
  <c r="R182" i="19" s="1"/>
  <c r="R259" i="19" s="1"/>
  <c r="I32" i="59"/>
  <c r="R27" i="19" s="1"/>
  <c r="R104" i="19" s="1"/>
  <c r="H32" i="59"/>
  <c r="G32" i="59"/>
  <c r="F32" i="59"/>
  <c r="I30" i="59"/>
  <c r="R24" i="19" s="1"/>
  <c r="R101" i="19" s="1"/>
  <c r="H30" i="59"/>
  <c r="G30" i="59"/>
  <c r="I29" i="59"/>
  <c r="R23" i="19" s="1"/>
  <c r="R100" i="19" s="1"/>
  <c r="H29" i="59"/>
  <c r="G29" i="59"/>
  <c r="N28" i="59"/>
  <c r="R797" i="19" s="1"/>
  <c r="R874" i="19" s="1"/>
  <c r="M28" i="59"/>
  <c r="R642" i="19" s="1"/>
  <c r="R719" i="19" s="1"/>
  <c r="L28" i="59"/>
  <c r="R487" i="19" s="1"/>
  <c r="R564" i="19" s="1"/>
  <c r="K28" i="59"/>
  <c r="R332" i="19" s="1"/>
  <c r="R409" i="19" s="1"/>
  <c r="J28" i="59"/>
  <c r="R177" i="19" s="1"/>
  <c r="R254" i="19" s="1"/>
  <c r="H28" i="59"/>
  <c r="G28" i="59"/>
  <c r="N27" i="59"/>
  <c r="R796" i="19" s="1"/>
  <c r="R873" i="19" s="1"/>
  <c r="M27" i="59"/>
  <c r="R641" i="19" s="1"/>
  <c r="R718" i="19" s="1"/>
  <c r="L27" i="59"/>
  <c r="R486" i="19" s="1"/>
  <c r="R563" i="19" s="1"/>
  <c r="K27" i="59"/>
  <c r="R331" i="19" s="1"/>
  <c r="R408" i="19" s="1"/>
  <c r="J27" i="59"/>
  <c r="R176" i="19" s="1"/>
  <c r="R253" i="19" s="1"/>
  <c r="H27" i="59"/>
  <c r="G27" i="59"/>
  <c r="N26" i="59"/>
  <c r="R795" i="19" s="1"/>
  <c r="R872" i="19" s="1"/>
  <c r="M26" i="59"/>
  <c r="R640" i="19" s="1"/>
  <c r="R717" i="19" s="1"/>
  <c r="L26" i="59"/>
  <c r="R485" i="19" s="1"/>
  <c r="R562" i="19" s="1"/>
  <c r="K26" i="59"/>
  <c r="R330" i="19" s="1"/>
  <c r="R407" i="19" s="1"/>
  <c r="J26" i="59"/>
  <c r="R175" i="19" s="1"/>
  <c r="R252" i="19" s="1"/>
  <c r="H26" i="59"/>
  <c r="G26" i="59"/>
  <c r="F26" i="59"/>
  <c r="M25" i="59"/>
  <c r="R638" i="19" s="1"/>
  <c r="K25" i="59"/>
  <c r="R328" i="19" s="1"/>
  <c r="I24" i="59"/>
  <c r="R17" i="19" s="1"/>
  <c r="R94" i="19" s="1"/>
  <c r="H24" i="59"/>
  <c r="G24" i="59"/>
  <c r="N23" i="59"/>
  <c r="R791" i="19" s="1"/>
  <c r="R868" i="19" s="1"/>
  <c r="M23" i="59"/>
  <c r="R636" i="19" s="1"/>
  <c r="R713" i="19" s="1"/>
  <c r="L23" i="59"/>
  <c r="R481" i="19" s="1"/>
  <c r="R558" i="19" s="1"/>
  <c r="K23" i="59"/>
  <c r="R326" i="19" s="1"/>
  <c r="R403" i="19" s="1"/>
  <c r="J23" i="59"/>
  <c r="R171" i="19" s="1"/>
  <c r="R248" i="19" s="1"/>
  <c r="H23" i="59"/>
  <c r="G23" i="59"/>
  <c r="N22" i="59"/>
  <c r="R790" i="19" s="1"/>
  <c r="R867" i="19" s="1"/>
  <c r="M22" i="59"/>
  <c r="R635" i="19" s="1"/>
  <c r="R712" i="19" s="1"/>
  <c r="L22" i="59"/>
  <c r="R480" i="19" s="1"/>
  <c r="R557" i="19" s="1"/>
  <c r="K22" i="59"/>
  <c r="R325" i="19" s="1"/>
  <c r="R402" i="19" s="1"/>
  <c r="J22" i="59"/>
  <c r="R170" i="19" s="1"/>
  <c r="R247" i="19" s="1"/>
  <c r="H22" i="59"/>
  <c r="G22" i="59"/>
  <c r="N21" i="59"/>
  <c r="R789" i="19" s="1"/>
  <c r="R866" i="19" s="1"/>
  <c r="M21" i="59"/>
  <c r="R634" i="19" s="1"/>
  <c r="R711" i="19" s="1"/>
  <c r="L21" i="59"/>
  <c r="R479" i="19" s="1"/>
  <c r="R556" i="19" s="1"/>
  <c r="K21" i="59"/>
  <c r="R324" i="19" s="1"/>
  <c r="R401" i="19" s="1"/>
  <c r="J21" i="59"/>
  <c r="R169" i="19" s="1"/>
  <c r="R246" i="19" s="1"/>
  <c r="H21" i="59"/>
  <c r="G21" i="59"/>
  <c r="N20" i="59"/>
  <c r="R788" i="19" s="1"/>
  <c r="R865" i="19" s="1"/>
  <c r="M20" i="59"/>
  <c r="R633" i="19" s="1"/>
  <c r="R710" i="19" s="1"/>
  <c r="L20" i="59"/>
  <c r="R478" i="19" s="1"/>
  <c r="R555" i="19" s="1"/>
  <c r="K20" i="59"/>
  <c r="R323" i="19" s="1"/>
  <c r="R400" i="19" s="1"/>
  <c r="J20" i="59"/>
  <c r="R168" i="19" s="1"/>
  <c r="R245" i="19" s="1"/>
  <c r="H20" i="59"/>
  <c r="G20" i="59"/>
  <c r="F20" i="59"/>
  <c r="N19" i="59"/>
  <c r="M19" i="59"/>
  <c r="L19" i="59"/>
  <c r="K19" i="59"/>
  <c r="J19" i="59"/>
  <c r="B14" i="59"/>
  <c r="F12" i="59"/>
  <c r="H152" i="59" s="1"/>
  <c r="N9" i="59"/>
  <c r="M9" i="59"/>
  <c r="L9" i="59"/>
  <c r="K9" i="59"/>
  <c r="J9" i="59"/>
  <c r="B6" i="59"/>
  <c r="B2" i="59"/>
  <c r="B1" i="59"/>
  <c r="H21" i="21" s="1"/>
  <c r="F169" i="58"/>
  <c r="F168" i="58"/>
  <c r="F167" i="58"/>
  <c r="F166" i="58"/>
  <c r="N165" i="58"/>
  <c r="M165" i="58"/>
  <c r="L165" i="58"/>
  <c r="K165" i="58"/>
  <c r="J165" i="58"/>
  <c r="F164" i="58"/>
  <c r="F162" i="58"/>
  <c r="F161" i="58"/>
  <c r="F160" i="58"/>
  <c r="F159" i="58"/>
  <c r="N158" i="58"/>
  <c r="M158" i="58"/>
  <c r="L158" i="58"/>
  <c r="K158" i="58"/>
  <c r="J158" i="58"/>
  <c r="F157" i="58"/>
  <c r="B155" i="58"/>
  <c r="N149" i="58"/>
  <c r="M149" i="58"/>
  <c r="L149" i="58"/>
  <c r="K149" i="58"/>
  <c r="J149" i="58"/>
  <c r="H149" i="58"/>
  <c r="G149" i="58"/>
  <c r="N148" i="58"/>
  <c r="M148" i="58"/>
  <c r="L148" i="58"/>
  <c r="K148" i="58"/>
  <c r="J148" i="58"/>
  <c r="H148" i="58"/>
  <c r="G148" i="58"/>
  <c r="N147" i="58"/>
  <c r="M147" i="58"/>
  <c r="L147" i="58"/>
  <c r="K147" i="58"/>
  <c r="J147" i="58"/>
  <c r="H147" i="58"/>
  <c r="G147" i="58"/>
  <c r="N146" i="58"/>
  <c r="M146" i="58"/>
  <c r="L146" i="58"/>
  <c r="K146" i="58"/>
  <c r="J146" i="58"/>
  <c r="H146" i="58"/>
  <c r="G146" i="58"/>
  <c r="N145" i="58"/>
  <c r="M145" i="58"/>
  <c r="L145" i="58"/>
  <c r="K145" i="58"/>
  <c r="J145" i="58"/>
  <c r="H145" i="58"/>
  <c r="G145" i="58"/>
  <c r="F145" i="58"/>
  <c r="N143" i="58"/>
  <c r="M143" i="58"/>
  <c r="L143" i="58"/>
  <c r="K143" i="58"/>
  <c r="J143" i="58"/>
  <c r="H143" i="58"/>
  <c r="G143" i="58"/>
  <c r="N142" i="58"/>
  <c r="M142" i="58"/>
  <c r="L142" i="58"/>
  <c r="K142" i="58"/>
  <c r="J142" i="58"/>
  <c r="H142" i="58"/>
  <c r="G142" i="58"/>
  <c r="N141" i="58"/>
  <c r="M141" i="58"/>
  <c r="L141" i="58"/>
  <c r="K141" i="58"/>
  <c r="J141" i="58"/>
  <c r="H141" i="58"/>
  <c r="G141" i="58"/>
  <c r="N140" i="58"/>
  <c r="M140" i="58"/>
  <c r="L140" i="58"/>
  <c r="K140" i="58"/>
  <c r="J140" i="58"/>
  <c r="H140" i="58"/>
  <c r="G140" i="58"/>
  <c r="N139" i="58"/>
  <c r="M139" i="58"/>
  <c r="L139" i="58"/>
  <c r="K139" i="58"/>
  <c r="J139" i="58"/>
  <c r="H139" i="58"/>
  <c r="G139" i="58"/>
  <c r="F139" i="58"/>
  <c r="N137" i="58"/>
  <c r="M137" i="58"/>
  <c r="L137" i="58"/>
  <c r="K137" i="58"/>
  <c r="J137" i="58"/>
  <c r="H137" i="58"/>
  <c r="G137" i="58"/>
  <c r="N136" i="58"/>
  <c r="M136" i="58"/>
  <c r="L136" i="58"/>
  <c r="K136" i="58"/>
  <c r="J136" i="58"/>
  <c r="H136" i="58"/>
  <c r="G136" i="58"/>
  <c r="N135" i="58"/>
  <c r="M135" i="58"/>
  <c r="L135" i="58"/>
  <c r="K135" i="58"/>
  <c r="J135" i="58"/>
  <c r="H135" i="58"/>
  <c r="G135" i="58"/>
  <c r="N134" i="58"/>
  <c r="M134" i="58"/>
  <c r="L134" i="58"/>
  <c r="K134" i="58"/>
  <c r="J134" i="58"/>
  <c r="H134" i="58"/>
  <c r="G134" i="58"/>
  <c r="N133" i="58"/>
  <c r="M133" i="58"/>
  <c r="L133" i="58"/>
  <c r="K133" i="58"/>
  <c r="J133" i="58"/>
  <c r="H133" i="58"/>
  <c r="G133" i="58"/>
  <c r="F133" i="58"/>
  <c r="N131" i="58"/>
  <c r="M131" i="58"/>
  <c r="L131" i="58"/>
  <c r="K131" i="58"/>
  <c r="J131" i="58"/>
  <c r="H131" i="58"/>
  <c r="G131" i="58"/>
  <c r="N130" i="58"/>
  <c r="M130" i="58"/>
  <c r="L130" i="58"/>
  <c r="K130" i="58"/>
  <c r="J130" i="58"/>
  <c r="H130" i="58"/>
  <c r="G130" i="58"/>
  <c r="N129" i="58"/>
  <c r="M129" i="58"/>
  <c r="L129" i="58"/>
  <c r="K129" i="58"/>
  <c r="J129" i="58"/>
  <c r="H129" i="58"/>
  <c r="G129" i="58"/>
  <c r="N128" i="58"/>
  <c r="M128" i="58"/>
  <c r="L128" i="58"/>
  <c r="K128" i="58"/>
  <c r="J128" i="58"/>
  <c r="H128" i="58"/>
  <c r="G128" i="58"/>
  <c r="N127" i="58"/>
  <c r="M127" i="58"/>
  <c r="L127" i="58"/>
  <c r="K127" i="58"/>
  <c r="J127" i="58"/>
  <c r="H127" i="58"/>
  <c r="G127" i="58"/>
  <c r="F127" i="58"/>
  <c r="N125" i="58"/>
  <c r="M125" i="58"/>
  <c r="L125" i="58"/>
  <c r="K125" i="58"/>
  <c r="J125" i="58"/>
  <c r="H125" i="58"/>
  <c r="G125" i="58"/>
  <c r="N124" i="58"/>
  <c r="M124" i="58"/>
  <c r="L124" i="58"/>
  <c r="K124" i="58"/>
  <c r="J124" i="58"/>
  <c r="H124" i="58"/>
  <c r="G124" i="58"/>
  <c r="N123" i="58"/>
  <c r="M123" i="58"/>
  <c r="L123" i="58"/>
  <c r="K123" i="58"/>
  <c r="J123" i="58"/>
  <c r="H123" i="58"/>
  <c r="G123" i="58"/>
  <c r="N122" i="58"/>
  <c r="M122" i="58"/>
  <c r="L122" i="58"/>
  <c r="K122" i="58"/>
  <c r="J122" i="58"/>
  <c r="H122" i="58"/>
  <c r="G122" i="58"/>
  <c r="N121" i="58"/>
  <c r="M121" i="58"/>
  <c r="L121" i="58"/>
  <c r="K121" i="58"/>
  <c r="J121" i="58"/>
  <c r="H121" i="58"/>
  <c r="G121" i="58"/>
  <c r="F121" i="58"/>
  <c r="N119" i="58"/>
  <c r="M119" i="58"/>
  <c r="L119" i="58"/>
  <c r="K119" i="58"/>
  <c r="J119" i="58"/>
  <c r="H119" i="58"/>
  <c r="G119" i="58"/>
  <c r="N118" i="58"/>
  <c r="M118" i="58"/>
  <c r="L118" i="58"/>
  <c r="K118" i="58"/>
  <c r="J118" i="58"/>
  <c r="H118" i="58"/>
  <c r="G118" i="58"/>
  <c r="H117" i="58"/>
  <c r="G117" i="58"/>
  <c r="H116" i="58"/>
  <c r="G116" i="58"/>
  <c r="H115" i="58"/>
  <c r="G115" i="58"/>
  <c r="F115" i="58"/>
  <c r="N113" i="58"/>
  <c r="M113" i="58"/>
  <c r="L113" i="58"/>
  <c r="K113" i="58"/>
  <c r="J113" i="58"/>
  <c r="H113" i="58"/>
  <c r="G113" i="58"/>
  <c r="N112" i="58"/>
  <c r="M112" i="58"/>
  <c r="L112" i="58"/>
  <c r="K112" i="58"/>
  <c r="J112" i="58"/>
  <c r="H112" i="58"/>
  <c r="G112" i="58"/>
  <c r="H111" i="58"/>
  <c r="G111" i="58"/>
  <c r="H110" i="58"/>
  <c r="G110" i="58"/>
  <c r="H109" i="58"/>
  <c r="G109" i="58"/>
  <c r="F109" i="58"/>
  <c r="N107" i="58"/>
  <c r="M107" i="58"/>
  <c r="L107" i="58"/>
  <c r="K107" i="58"/>
  <c r="J107" i="58"/>
  <c r="H107" i="58"/>
  <c r="G107" i="58"/>
  <c r="N106" i="58"/>
  <c r="M106" i="58"/>
  <c r="L106" i="58"/>
  <c r="K106" i="58"/>
  <c r="J106" i="58"/>
  <c r="H106" i="58"/>
  <c r="G106" i="58"/>
  <c r="N105" i="58"/>
  <c r="M105" i="58"/>
  <c r="L105" i="58"/>
  <c r="K105" i="58"/>
  <c r="J105" i="58"/>
  <c r="H105" i="58"/>
  <c r="G105" i="58"/>
  <c r="H104" i="58"/>
  <c r="G104" i="58"/>
  <c r="H103" i="58"/>
  <c r="G103" i="58"/>
  <c r="F103" i="58"/>
  <c r="N101" i="58"/>
  <c r="M101" i="58"/>
  <c r="L101" i="58"/>
  <c r="K101" i="58"/>
  <c r="J101" i="58"/>
  <c r="H101" i="58"/>
  <c r="G101" i="58"/>
  <c r="N100" i="58"/>
  <c r="M100" i="58"/>
  <c r="L100" i="58"/>
  <c r="K100" i="58"/>
  <c r="J100" i="58"/>
  <c r="H100" i="58"/>
  <c r="G100" i="58"/>
  <c r="H99" i="58"/>
  <c r="G99" i="58"/>
  <c r="H98" i="58"/>
  <c r="G98" i="58"/>
  <c r="H97" i="58"/>
  <c r="G97" i="58"/>
  <c r="F97" i="58"/>
  <c r="N95" i="58"/>
  <c r="M95" i="58"/>
  <c r="L95" i="58"/>
  <c r="K95" i="58"/>
  <c r="J95" i="58"/>
  <c r="H95" i="58"/>
  <c r="G95" i="58"/>
  <c r="H94" i="58"/>
  <c r="G94" i="58"/>
  <c r="H93" i="58"/>
  <c r="G93" i="58"/>
  <c r="H92" i="58"/>
  <c r="G92" i="58"/>
  <c r="H91" i="58"/>
  <c r="G91" i="58"/>
  <c r="F91" i="58"/>
  <c r="N90" i="58"/>
  <c r="M90" i="58"/>
  <c r="L90" i="58"/>
  <c r="K90" i="58"/>
  <c r="J90" i="58"/>
  <c r="N79" i="58"/>
  <c r="Q856" i="19" s="1"/>
  <c r="Q933" i="19" s="1"/>
  <c r="M79" i="58"/>
  <c r="Q701" i="19" s="1"/>
  <c r="Q778" i="19" s="1"/>
  <c r="L79" i="58"/>
  <c r="Q546" i="19" s="1"/>
  <c r="Q623" i="19" s="1"/>
  <c r="K79" i="58"/>
  <c r="Q391" i="19" s="1"/>
  <c r="Q468" i="19" s="1"/>
  <c r="J79" i="58"/>
  <c r="Q236" i="19" s="1"/>
  <c r="Q313" i="19" s="1"/>
  <c r="I78" i="58"/>
  <c r="Q80" i="19" s="1"/>
  <c r="Q157" i="19" s="1"/>
  <c r="H78" i="58"/>
  <c r="G78" i="58"/>
  <c r="I77" i="58"/>
  <c r="Q79" i="19" s="1"/>
  <c r="Q156" i="19" s="1"/>
  <c r="H77" i="58"/>
  <c r="G77" i="58"/>
  <c r="I76" i="58"/>
  <c r="Q78" i="19" s="1"/>
  <c r="Q155" i="19" s="1"/>
  <c r="H76" i="58"/>
  <c r="G76" i="58"/>
  <c r="I75" i="58"/>
  <c r="Q77" i="19" s="1"/>
  <c r="Q154" i="19" s="1"/>
  <c r="H75" i="58"/>
  <c r="G75" i="58"/>
  <c r="I74" i="58"/>
  <c r="Q76" i="19" s="1"/>
  <c r="Q153" i="19" s="1"/>
  <c r="H74" i="58"/>
  <c r="G74" i="58"/>
  <c r="F74" i="58"/>
  <c r="N73" i="58"/>
  <c r="Q849" i="19" s="1"/>
  <c r="Q926" i="19" s="1"/>
  <c r="M73" i="58"/>
  <c r="Q694" i="19" s="1"/>
  <c r="Q771" i="19" s="1"/>
  <c r="L73" i="58"/>
  <c r="Q539" i="19" s="1"/>
  <c r="Q616" i="19" s="1"/>
  <c r="K73" i="58"/>
  <c r="Q384" i="19" s="1"/>
  <c r="Q461" i="19" s="1"/>
  <c r="J73" i="58"/>
  <c r="Q229" i="19" s="1"/>
  <c r="Q306" i="19" s="1"/>
  <c r="I72" i="58"/>
  <c r="Q73" i="19" s="1"/>
  <c r="Q150" i="19" s="1"/>
  <c r="H72" i="58"/>
  <c r="G72" i="58"/>
  <c r="I71" i="58"/>
  <c r="Q72" i="19" s="1"/>
  <c r="Q149" i="19" s="1"/>
  <c r="H71" i="58"/>
  <c r="G71" i="58"/>
  <c r="I70" i="58"/>
  <c r="Q71" i="19" s="1"/>
  <c r="Q148" i="19" s="1"/>
  <c r="H70" i="58"/>
  <c r="G70" i="58"/>
  <c r="I69" i="58"/>
  <c r="Q70" i="19" s="1"/>
  <c r="Q147" i="19" s="1"/>
  <c r="H69" i="58"/>
  <c r="G69" i="58"/>
  <c r="I68" i="58"/>
  <c r="Q69" i="19" s="1"/>
  <c r="Q146" i="19" s="1"/>
  <c r="H68" i="58"/>
  <c r="G68" i="58"/>
  <c r="F68" i="58"/>
  <c r="N67" i="58"/>
  <c r="Q842" i="19" s="1"/>
  <c r="Q919" i="19" s="1"/>
  <c r="M67" i="58"/>
  <c r="Q687" i="19" s="1"/>
  <c r="Q764" i="19" s="1"/>
  <c r="L67" i="58"/>
  <c r="Q532" i="19" s="1"/>
  <c r="Q609" i="19" s="1"/>
  <c r="K67" i="58"/>
  <c r="Q377" i="19" s="1"/>
  <c r="Q454" i="19" s="1"/>
  <c r="J67" i="58"/>
  <c r="Q222" i="19" s="1"/>
  <c r="Q299" i="19" s="1"/>
  <c r="I66" i="58"/>
  <c r="Q66" i="19" s="1"/>
  <c r="Q143" i="19" s="1"/>
  <c r="H66" i="58"/>
  <c r="G66" i="58"/>
  <c r="I65" i="58"/>
  <c r="Q65" i="19" s="1"/>
  <c r="Q142" i="19" s="1"/>
  <c r="H65" i="58"/>
  <c r="G65" i="58"/>
  <c r="I64" i="58"/>
  <c r="Q64" i="19" s="1"/>
  <c r="Q141" i="19" s="1"/>
  <c r="H64" i="58"/>
  <c r="G64" i="58"/>
  <c r="I63" i="58"/>
  <c r="Q63" i="19" s="1"/>
  <c r="Q140" i="19" s="1"/>
  <c r="H63" i="58"/>
  <c r="G63" i="58"/>
  <c r="I62" i="58"/>
  <c r="Q62" i="19" s="1"/>
  <c r="Q139" i="19" s="1"/>
  <c r="H62" i="58"/>
  <c r="G62" i="58"/>
  <c r="F62" i="58"/>
  <c r="N61" i="58"/>
  <c r="Q835" i="19" s="1"/>
  <c r="Q912" i="19" s="1"/>
  <c r="M61" i="58"/>
  <c r="Q680" i="19" s="1"/>
  <c r="Q757" i="19" s="1"/>
  <c r="L61" i="58"/>
  <c r="Q525" i="19" s="1"/>
  <c r="Q602" i="19" s="1"/>
  <c r="K61" i="58"/>
  <c r="Q370" i="19" s="1"/>
  <c r="Q447" i="19" s="1"/>
  <c r="J61" i="58"/>
  <c r="Q215" i="19" s="1"/>
  <c r="Q292" i="19" s="1"/>
  <c r="I60" i="58"/>
  <c r="Q59" i="19" s="1"/>
  <c r="Q136" i="19" s="1"/>
  <c r="H60" i="58"/>
  <c r="G60" i="58"/>
  <c r="I59" i="58"/>
  <c r="Q58" i="19" s="1"/>
  <c r="Q135" i="19" s="1"/>
  <c r="H59" i="58"/>
  <c r="G59" i="58"/>
  <c r="I58" i="58"/>
  <c r="Q57" i="19" s="1"/>
  <c r="Q134" i="19" s="1"/>
  <c r="H58" i="58"/>
  <c r="G58" i="58"/>
  <c r="I57" i="58"/>
  <c r="Q56" i="19" s="1"/>
  <c r="Q133" i="19" s="1"/>
  <c r="H57" i="58"/>
  <c r="G57" i="58"/>
  <c r="I56" i="58"/>
  <c r="Q55" i="19" s="1"/>
  <c r="Q132" i="19" s="1"/>
  <c r="H56" i="58"/>
  <c r="G56" i="58"/>
  <c r="F56" i="58"/>
  <c r="N55" i="58"/>
  <c r="Q828" i="19" s="1"/>
  <c r="Q905" i="19" s="1"/>
  <c r="M55" i="58"/>
  <c r="Q673" i="19" s="1"/>
  <c r="Q750" i="19" s="1"/>
  <c r="L55" i="58"/>
  <c r="Q518" i="19" s="1"/>
  <c r="Q595" i="19" s="1"/>
  <c r="K55" i="58"/>
  <c r="Q363" i="19" s="1"/>
  <c r="Q440" i="19" s="1"/>
  <c r="J55" i="58"/>
  <c r="Q208" i="19" s="1"/>
  <c r="Q285" i="19" s="1"/>
  <c r="I54" i="58"/>
  <c r="Q52" i="19" s="1"/>
  <c r="Q129" i="19" s="1"/>
  <c r="H54" i="58"/>
  <c r="G54" i="58"/>
  <c r="I53" i="58"/>
  <c r="Q51" i="19" s="1"/>
  <c r="Q128" i="19" s="1"/>
  <c r="H53" i="58"/>
  <c r="G53" i="58"/>
  <c r="I52" i="58"/>
  <c r="Q50" i="19" s="1"/>
  <c r="Q127" i="19" s="1"/>
  <c r="H52" i="58"/>
  <c r="G52" i="58"/>
  <c r="I51" i="58"/>
  <c r="Q49" i="19" s="1"/>
  <c r="Q126" i="19" s="1"/>
  <c r="H51" i="58"/>
  <c r="G51" i="58"/>
  <c r="I50" i="58"/>
  <c r="Q48" i="19" s="1"/>
  <c r="Q125" i="19" s="1"/>
  <c r="H50" i="58"/>
  <c r="G50" i="58"/>
  <c r="F50" i="58"/>
  <c r="I48" i="58"/>
  <c r="Q45" i="19" s="1"/>
  <c r="Q122" i="19" s="1"/>
  <c r="H48" i="58"/>
  <c r="G48" i="58"/>
  <c r="I47" i="58"/>
  <c r="Q44" i="19" s="1"/>
  <c r="Q121" i="19" s="1"/>
  <c r="H47" i="58"/>
  <c r="G47" i="58"/>
  <c r="N46" i="58"/>
  <c r="Q818" i="19" s="1"/>
  <c r="Q895" i="19" s="1"/>
  <c r="M46" i="58"/>
  <c r="Q663" i="19" s="1"/>
  <c r="Q740" i="19" s="1"/>
  <c r="L46" i="58"/>
  <c r="Q508" i="19" s="1"/>
  <c r="Q585" i="19" s="1"/>
  <c r="K46" i="58"/>
  <c r="Q353" i="19" s="1"/>
  <c r="Q430" i="19" s="1"/>
  <c r="J46" i="58"/>
  <c r="Q198" i="19" s="1"/>
  <c r="Q275" i="19" s="1"/>
  <c r="H46" i="58"/>
  <c r="G46" i="58"/>
  <c r="N45" i="58"/>
  <c r="Q817" i="19" s="1"/>
  <c r="Q894" i="19" s="1"/>
  <c r="M45" i="58"/>
  <c r="Q662" i="19" s="1"/>
  <c r="Q739" i="19" s="1"/>
  <c r="L45" i="58"/>
  <c r="Q507" i="19" s="1"/>
  <c r="Q584" i="19" s="1"/>
  <c r="K45" i="58"/>
  <c r="Q352" i="19" s="1"/>
  <c r="Q429" i="19" s="1"/>
  <c r="J45" i="58"/>
  <c r="Q197" i="19" s="1"/>
  <c r="Q274" i="19" s="1"/>
  <c r="H45" i="58"/>
  <c r="G45" i="58"/>
  <c r="N44" i="58"/>
  <c r="Q816" i="19" s="1"/>
  <c r="Q893" i="19" s="1"/>
  <c r="M44" i="58"/>
  <c r="Q661" i="19" s="1"/>
  <c r="Q738" i="19" s="1"/>
  <c r="L44" i="58"/>
  <c r="Q506" i="19" s="1"/>
  <c r="Q583" i="19" s="1"/>
  <c r="K44" i="58"/>
  <c r="Q351" i="19" s="1"/>
  <c r="Q428" i="19" s="1"/>
  <c r="J44" i="58"/>
  <c r="Q196" i="19" s="1"/>
  <c r="Q273" i="19" s="1"/>
  <c r="H44" i="58"/>
  <c r="G44" i="58"/>
  <c r="F44" i="58"/>
  <c r="I42" i="58"/>
  <c r="Q38" i="19" s="1"/>
  <c r="Q115" i="19" s="1"/>
  <c r="H42" i="58"/>
  <c r="G42" i="58"/>
  <c r="I41" i="58"/>
  <c r="Q37" i="19" s="1"/>
  <c r="Q114" i="19" s="1"/>
  <c r="H41" i="58"/>
  <c r="G41" i="58"/>
  <c r="N40" i="58"/>
  <c r="Q811" i="19" s="1"/>
  <c r="Q888" i="19" s="1"/>
  <c r="M40" i="58"/>
  <c r="Q656" i="19" s="1"/>
  <c r="Q733" i="19" s="1"/>
  <c r="L40" i="58"/>
  <c r="Q501" i="19" s="1"/>
  <c r="Q578" i="19" s="1"/>
  <c r="K40" i="58"/>
  <c r="Q346" i="19" s="1"/>
  <c r="Q423" i="19" s="1"/>
  <c r="J40" i="58"/>
  <c r="Q191" i="19" s="1"/>
  <c r="Q268" i="19" s="1"/>
  <c r="I40" i="58"/>
  <c r="Q36" i="19" s="1"/>
  <c r="Q113" i="19" s="1"/>
  <c r="H40" i="58"/>
  <c r="G40" i="58"/>
  <c r="N39" i="58"/>
  <c r="Q810" i="19" s="1"/>
  <c r="Q887" i="19" s="1"/>
  <c r="M39" i="58"/>
  <c r="Q655" i="19" s="1"/>
  <c r="Q732" i="19" s="1"/>
  <c r="L39" i="58"/>
  <c r="Q500" i="19" s="1"/>
  <c r="Q577" i="19" s="1"/>
  <c r="K39" i="58"/>
  <c r="Q345" i="19" s="1"/>
  <c r="Q422" i="19" s="1"/>
  <c r="J39" i="58"/>
  <c r="Q190" i="19" s="1"/>
  <c r="Q267" i="19" s="1"/>
  <c r="I39" i="58"/>
  <c r="Q35" i="19" s="1"/>
  <c r="Q112" i="19" s="1"/>
  <c r="H39" i="58"/>
  <c r="G39" i="58"/>
  <c r="N38" i="58"/>
  <c r="Q809" i="19" s="1"/>
  <c r="Q886" i="19" s="1"/>
  <c r="M38" i="58"/>
  <c r="Q654" i="19" s="1"/>
  <c r="Q731" i="19" s="1"/>
  <c r="L38" i="58"/>
  <c r="Q499" i="19" s="1"/>
  <c r="Q576" i="19" s="1"/>
  <c r="K38" i="58"/>
  <c r="Q344" i="19" s="1"/>
  <c r="Q421" i="19" s="1"/>
  <c r="J38" i="58"/>
  <c r="Q189" i="19" s="1"/>
  <c r="Q266" i="19" s="1"/>
  <c r="I38" i="58"/>
  <c r="Q34" i="19" s="1"/>
  <c r="Q111" i="19" s="1"/>
  <c r="H38" i="58"/>
  <c r="G38" i="58"/>
  <c r="F38" i="58"/>
  <c r="N37" i="58"/>
  <c r="Q807" i="19" s="1"/>
  <c r="Q884" i="19" s="1"/>
  <c r="L37" i="58"/>
  <c r="Q497" i="19" s="1"/>
  <c r="Q574" i="19" s="1"/>
  <c r="J37" i="58"/>
  <c r="Q187" i="19" s="1"/>
  <c r="Q264" i="19" s="1"/>
  <c r="I36" i="58"/>
  <c r="Q31" i="19" s="1"/>
  <c r="Q108" i="19" s="1"/>
  <c r="H36" i="58"/>
  <c r="G36" i="58"/>
  <c r="I35" i="58"/>
  <c r="Q30" i="19" s="1"/>
  <c r="Q107" i="19" s="1"/>
  <c r="H35" i="58"/>
  <c r="G35" i="58"/>
  <c r="I34" i="58"/>
  <c r="Q29" i="19" s="1"/>
  <c r="Q106" i="19" s="1"/>
  <c r="H34" i="58"/>
  <c r="G34" i="58"/>
  <c r="N33" i="58"/>
  <c r="Q803" i="19" s="1"/>
  <c r="Q880" i="19" s="1"/>
  <c r="M33" i="58"/>
  <c r="Q648" i="19" s="1"/>
  <c r="Q725" i="19" s="1"/>
  <c r="L33" i="58"/>
  <c r="Q493" i="19" s="1"/>
  <c r="Q570" i="19" s="1"/>
  <c r="K33" i="58"/>
  <c r="Q338" i="19" s="1"/>
  <c r="Q415" i="19" s="1"/>
  <c r="J33" i="58"/>
  <c r="Q183" i="19" s="1"/>
  <c r="Q260" i="19" s="1"/>
  <c r="I33" i="58"/>
  <c r="Q28" i="19" s="1"/>
  <c r="Q105" i="19" s="1"/>
  <c r="H33" i="58"/>
  <c r="G33" i="58"/>
  <c r="N32" i="58"/>
  <c r="Q802" i="19" s="1"/>
  <c r="Q879" i="19" s="1"/>
  <c r="M32" i="58"/>
  <c r="Q647" i="19" s="1"/>
  <c r="Q724" i="19" s="1"/>
  <c r="L32" i="58"/>
  <c r="Q492" i="19" s="1"/>
  <c r="Q569" i="19" s="1"/>
  <c r="K32" i="58"/>
  <c r="Q337" i="19" s="1"/>
  <c r="Q414" i="19" s="1"/>
  <c r="J32" i="58"/>
  <c r="Q182" i="19" s="1"/>
  <c r="Q259" i="19" s="1"/>
  <c r="I32" i="58"/>
  <c r="Q27" i="19" s="1"/>
  <c r="Q104" i="19" s="1"/>
  <c r="H32" i="58"/>
  <c r="G32" i="58"/>
  <c r="F32" i="58"/>
  <c r="I30" i="58"/>
  <c r="Q24" i="19" s="1"/>
  <c r="Q101" i="19" s="1"/>
  <c r="H30" i="58"/>
  <c r="G30" i="58"/>
  <c r="I29" i="58"/>
  <c r="Q23" i="19" s="1"/>
  <c r="Q100" i="19" s="1"/>
  <c r="H29" i="58"/>
  <c r="G29" i="58"/>
  <c r="N28" i="58"/>
  <c r="Q797" i="19" s="1"/>
  <c r="Q874" i="19" s="1"/>
  <c r="M28" i="58"/>
  <c r="Q642" i="19" s="1"/>
  <c r="Q719" i="19" s="1"/>
  <c r="L28" i="58"/>
  <c r="Q487" i="19" s="1"/>
  <c r="Q564" i="19" s="1"/>
  <c r="K28" i="58"/>
  <c r="Q332" i="19" s="1"/>
  <c r="Q409" i="19" s="1"/>
  <c r="J28" i="58"/>
  <c r="Q177" i="19" s="1"/>
  <c r="Q254" i="19" s="1"/>
  <c r="H28" i="58"/>
  <c r="G28" i="58"/>
  <c r="N27" i="58"/>
  <c r="Q796" i="19" s="1"/>
  <c r="Q873" i="19" s="1"/>
  <c r="M27" i="58"/>
  <c r="Q641" i="19" s="1"/>
  <c r="Q718" i="19" s="1"/>
  <c r="L27" i="58"/>
  <c r="Q486" i="19" s="1"/>
  <c r="Q563" i="19" s="1"/>
  <c r="K27" i="58"/>
  <c r="Q331" i="19" s="1"/>
  <c r="Q408" i="19" s="1"/>
  <c r="J27" i="58"/>
  <c r="Q176" i="19" s="1"/>
  <c r="Q253" i="19" s="1"/>
  <c r="H27" i="58"/>
  <c r="G27" i="58"/>
  <c r="N26" i="58"/>
  <c r="Q795" i="19" s="1"/>
  <c r="Q872" i="19" s="1"/>
  <c r="M26" i="58"/>
  <c r="Q640" i="19" s="1"/>
  <c r="Q717" i="19" s="1"/>
  <c r="L26" i="58"/>
  <c r="Q485" i="19" s="1"/>
  <c r="Q562" i="19" s="1"/>
  <c r="K26" i="58"/>
  <c r="Q330" i="19" s="1"/>
  <c r="Q407" i="19" s="1"/>
  <c r="J26" i="58"/>
  <c r="Q175" i="19" s="1"/>
  <c r="Q252" i="19" s="1"/>
  <c r="H26" i="58"/>
  <c r="G26" i="58"/>
  <c r="F26" i="58"/>
  <c r="M25" i="58"/>
  <c r="Q638" i="19" s="1"/>
  <c r="K25" i="58"/>
  <c r="Q328" i="19" s="1"/>
  <c r="I24" i="58"/>
  <c r="Q17" i="19" s="1"/>
  <c r="Q94" i="19" s="1"/>
  <c r="H24" i="58"/>
  <c r="G24" i="58"/>
  <c r="N23" i="58"/>
  <c r="Q791" i="19" s="1"/>
  <c r="Q868" i="19" s="1"/>
  <c r="M23" i="58"/>
  <c r="Q636" i="19" s="1"/>
  <c r="Q713" i="19" s="1"/>
  <c r="L23" i="58"/>
  <c r="Q481" i="19" s="1"/>
  <c r="Q558" i="19" s="1"/>
  <c r="K23" i="58"/>
  <c r="Q326" i="19" s="1"/>
  <c r="Q403" i="19" s="1"/>
  <c r="J23" i="58"/>
  <c r="Q171" i="19" s="1"/>
  <c r="Q248" i="19" s="1"/>
  <c r="H23" i="58"/>
  <c r="G23" i="58"/>
  <c r="N22" i="58"/>
  <c r="Q790" i="19" s="1"/>
  <c r="Q867" i="19" s="1"/>
  <c r="M22" i="58"/>
  <c r="Q635" i="19" s="1"/>
  <c r="Q712" i="19" s="1"/>
  <c r="L22" i="58"/>
  <c r="Q480" i="19" s="1"/>
  <c r="Q557" i="19" s="1"/>
  <c r="K22" i="58"/>
  <c r="Q325" i="19" s="1"/>
  <c r="Q402" i="19" s="1"/>
  <c r="J22" i="58"/>
  <c r="Q170" i="19" s="1"/>
  <c r="Q247" i="19" s="1"/>
  <c r="H22" i="58"/>
  <c r="G22" i="58"/>
  <c r="N21" i="58"/>
  <c r="Q789" i="19" s="1"/>
  <c r="Q866" i="19" s="1"/>
  <c r="M21" i="58"/>
  <c r="Q634" i="19" s="1"/>
  <c r="Q711" i="19" s="1"/>
  <c r="L21" i="58"/>
  <c r="Q479" i="19" s="1"/>
  <c r="Q556" i="19" s="1"/>
  <c r="K21" i="58"/>
  <c r="Q324" i="19" s="1"/>
  <c r="Q401" i="19" s="1"/>
  <c r="J21" i="58"/>
  <c r="Q169" i="19" s="1"/>
  <c r="Q246" i="19" s="1"/>
  <c r="H21" i="58"/>
  <c r="G21" i="58"/>
  <c r="N20" i="58"/>
  <c r="Q788" i="19" s="1"/>
  <c r="Q865" i="19" s="1"/>
  <c r="M20" i="58"/>
  <c r="Q633" i="19" s="1"/>
  <c r="Q710" i="19" s="1"/>
  <c r="L20" i="58"/>
  <c r="Q478" i="19" s="1"/>
  <c r="Q555" i="19" s="1"/>
  <c r="K20" i="58"/>
  <c r="Q323" i="19" s="1"/>
  <c r="Q400" i="19" s="1"/>
  <c r="J20" i="58"/>
  <c r="Q168" i="19" s="1"/>
  <c r="Q245" i="19" s="1"/>
  <c r="H20" i="58"/>
  <c r="G20" i="58"/>
  <c r="F20" i="58"/>
  <c r="N19" i="58"/>
  <c r="M19" i="58"/>
  <c r="L19" i="58"/>
  <c r="K19" i="58"/>
  <c r="J19" i="58"/>
  <c r="B14" i="58"/>
  <c r="F12" i="58"/>
  <c r="H152" i="58" s="1"/>
  <c r="N9" i="58"/>
  <c r="M9" i="58"/>
  <c r="L9" i="58"/>
  <c r="K9" i="58"/>
  <c r="J9" i="58"/>
  <c r="B6" i="58"/>
  <c r="B2" i="58"/>
  <c r="B1" i="58"/>
  <c r="H20" i="21" s="1"/>
  <c r="F169" i="57"/>
  <c r="F168" i="57"/>
  <c r="F167" i="57"/>
  <c r="F166" i="57"/>
  <c r="N165" i="57"/>
  <c r="M165" i="57"/>
  <c r="L165" i="57"/>
  <c r="K165" i="57"/>
  <c r="J165" i="57"/>
  <c r="F164" i="57"/>
  <c r="F162" i="57"/>
  <c r="F161" i="57"/>
  <c r="F160" i="57"/>
  <c r="F159" i="57"/>
  <c r="N158" i="57"/>
  <c r="M158" i="57"/>
  <c r="L158" i="57"/>
  <c r="K158" i="57"/>
  <c r="J158" i="57"/>
  <c r="F157" i="57"/>
  <c r="B155" i="57"/>
  <c r="N149" i="57"/>
  <c r="M149" i="57"/>
  <c r="L149" i="57"/>
  <c r="K149" i="57"/>
  <c r="J149" i="57"/>
  <c r="H149" i="57"/>
  <c r="G149" i="57"/>
  <c r="N148" i="57"/>
  <c r="M148" i="57"/>
  <c r="L148" i="57"/>
  <c r="K148" i="57"/>
  <c r="J148" i="57"/>
  <c r="H148" i="57"/>
  <c r="G148" i="57"/>
  <c r="N147" i="57"/>
  <c r="M147" i="57"/>
  <c r="L147" i="57"/>
  <c r="K147" i="57"/>
  <c r="J147" i="57"/>
  <c r="H147" i="57"/>
  <c r="G147" i="57"/>
  <c r="N146" i="57"/>
  <c r="M146" i="57"/>
  <c r="L146" i="57"/>
  <c r="K146" i="57"/>
  <c r="J146" i="57"/>
  <c r="H146" i="57"/>
  <c r="G146" i="57"/>
  <c r="N145" i="57"/>
  <c r="M145" i="57"/>
  <c r="L145" i="57"/>
  <c r="K145" i="57"/>
  <c r="J145" i="57"/>
  <c r="H145" i="57"/>
  <c r="G145" i="57"/>
  <c r="F145" i="57"/>
  <c r="N143" i="57"/>
  <c r="M143" i="57"/>
  <c r="L143" i="57"/>
  <c r="K143" i="57"/>
  <c r="J143" i="57"/>
  <c r="H143" i="57"/>
  <c r="G143" i="57"/>
  <c r="N142" i="57"/>
  <c r="M142" i="57"/>
  <c r="L142" i="57"/>
  <c r="K142" i="57"/>
  <c r="J142" i="57"/>
  <c r="H142" i="57"/>
  <c r="G142" i="57"/>
  <c r="N141" i="57"/>
  <c r="M141" i="57"/>
  <c r="L141" i="57"/>
  <c r="K141" i="57"/>
  <c r="J141" i="57"/>
  <c r="H141" i="57"/>
  <c r="G141" i="57"/>
  <c r="N140" i="57"/>
  <c r="M140" i="57"/>
  <c r="L140" i="57"/>
  <c r="K140" i="57"/>
  <c r="J140" i="57"/>
  <c r="H140" i="57"/>
  <c r="G140" i="57"/>
  <c r="N139" i="57"/>
  <c r="M139" i="57"/>
  <c r="L139" i="57"/>
  <c r="K139" i="57"/>
  <c r="J139" i="57"/>
  <c r="H139" i="57"/>
  <c r="G139" i="57"/>
  <c r="F139" i="57"/>
  <c r="N137" i="57"/>
  <c r="M137" i="57"/>
  <c r="L137" i="57"/>
  <c r="K137" i="57"/>
  <c r="J137" i="57"/>
  <c r="H137" i="57"/>
  <c r="G137" i="57"/>
  <c r="N136" i="57"/>
  <c r="M136" i="57"/>
  <c r="L136" i="57"/>
  <c r="K136" i="57"/>
  <c r="J136" i="57"/>
  <c r="H136" i="57"/>
  <c r="G136" i="57"/>
  <c r="N135" i="57"/>
  <c r="M135" i="57"/>
  <c r="L135" i="57"/>
  <c r="K135" i="57"/>
  <c r="J135" i="57"/>
  <c r="H135" i="57"/>
  <c r="G135" i="57"/>
  <c r="N134" i="57"/>
  <c r="M134" i="57"/>
  <c r="L134" i="57"/>
  <c r="K134" i="57"/>
  <c r="J134" i="57"/>
  <c r="H134" i="57"/>
  <c r="G134" i="57"/>
  <c r="N133" i="57"/>
  <c r="M133" i="57"/>
  <c r="L133" i="57"/>
  <c r="K133" i="57"/>
  <c r="J133" i="57"/>
  <c r="H133" i="57"/>
  <c r="G133" i="57"/>
  <c r="F133" i="57"/>
  <c r="N131" i="57"/>
  <c r="M131" i="57"/>
  <c r="L131" i="57"/>
  <c r="K131" i="57"/>
  <c r="J131" i="57"/>
  <c r="H131" i="57"/>
  <c r="G131" i="57"/>
  <c r="N130" i="57"/>
  <c r="M130" i="57"/>
  <c r="L130" i="57"/>
  <c r="K130" i="57"/>
  <c r="J130" i="57"/>
  <c r="H130" i="57"/>
  <c r="G130" i="57"/>
  <c r="N129" i="57"/>
  <c r="M129" i="57"/>
  <c r="L129" i="57"/>
  <c r="K129" i="57"/>
  <c r="J129" i="57"/>
  <c r="H129" i="57"/>
  <c r="G129" i="57"/>
  <c r="N128" i="57"/>
  <c r="M128" i="57"/>
  <c r="L128" i="57"/>
  <c r="K128" i="57"/>
  <c r="J128" i="57"/>
  <c r="H128" i="57"/>
  <c r="G128" i="57"/>
  <c r="N127" i="57"/>
  <c r="M127" i="57"/>
  <c r="L127" i="57"/>
  <c r="K127" i="57"/>
  <c r="J127" i="57"/>
  <c r="H127" i="57"/>
  <c r="G127" i="57"/>
  <c r="F127" i="57"/>
  <c r="N125" i="57"/>
  <c r="M125" i="57"/>
  <c r="L125" i="57"/>
  <c r="K125" i="57"/>
  <c r="J125" i="57"/>
  <c r="H125" i="57"/>
  <c r="G125" i="57"/>
  <c r="N124" i="57"/>
  <c r="M124" i="57"/>
  <c r="L124" i="57"/>
  <c r="K124" i="57"/>
  <c r="J124" i="57"/>
  <c r="H124" i="57"/>
  <c r="G124" i="57"/>
  <c r="N123" i="57"/>
  <c r="M123" i="57"/>
  <c r="L123" i="57"/>
  <c r="K123" i="57"/>
  <c r="J123" i="57"/>
  <c r="H123" i="57"/>
  <c r="G123" i="57"/>
  <c r="N122" i="57"/>
  <c r="M122" i="57"/>
  <c r="L122" i="57"/>
  <c r="K122" i="57"/>
  <c r="J122" i="57"/>
  <c r="H122" i="57"/>
  <c r="G122" i="57"/>
  <c r="N121" i="57"/>
  <c r="M121" i="57"/>
  <c r="L121" i="57"/>
  <c r="K121" i="57"/>
  <c r="J121" i="57"/>
  <c r="H121" i="57"/>
  <c r="G121" i="57"/>
  <c r="F121" i="57"/>
  <c r="N119" i="57"/>
  <c r="M119" i="57"/>
  <c r="L119" i="57"/>
  <c r="K119" i="57"/>
  <c r="J119" i="57"/>
  <c r="H119" i="57"/>
  <c r="G119" i="57"/>
  <c r="N118" i="57"/>
  <c r="M118" i="57"/>
  <c r="L118" i="57"/>
  <c r="K118" i="57"/>
  <c r="J118" i="57"/>
  <c r="H118" i="57"/>
  <c r="G118" i="57"/>
  <c r="H117" i="57"/>
  <c r="G117" i="57"/>
  <c r="H116" i="57"/>
  <c r="G116" i="57"/>
  <c r="H115" i="57"/>
  <c r="G115" i="57"/>
  <c r="F115" i="57"/>
  <c r="N113" i="57"/>
  <c r="M113" i="57"/>
  <c r="L113" i="57"/>
  <c r="K113" i="57"/>
  <c r="J113" i="57"/>
  <c r="H113" i="57"/>
  <c r="G113" i="57"/>
  <c r="N112" i="57"/>
  <c r="M112" i="57"/>
  <c r="L112" i="57"/>
  <c r="K112" i="57"/>
  <c r="J112" i="57"/>
  <c r="H112" i="57"/>
  <c r="G112" i="57"/>
  <c r="H111" i="57"/>
  <c r="G111" i="57"/>
  <c r="H110" i="57"/>
  <c r="G110" i="57"/>
  <c r="H109" i="57"/>
  <c r="G109" i="57"/>
  <c r="F109" i="57"/>
  <c r="N107" i="57"/>
  <c r="M107" i="57"/>
  <c r="L107" i="57"/>
  <c r="K107" i="57"/>
  <c r="J107" i="57"/>
  <c r="H107" i="57"/>
  <c r="G107" i="57"/>
  <c r="N106" i="57"/>
  <c r="M106" i="57"/>
  <c r="L106" i="57"/>
  <c r="K106" i="57"/>
  <c r="J106" i="57"/>
  <c r="H106" i="57"/>
  <c r="G106" i="57"/>
  <c r="N105" i="57"/>
  <c r="M105" i="57"/>
  <c r="L105" i="57"/>
  <c r="K105" i="57"/>
  <c r="J105" i="57"/>
  <c r="H105" i="57"/>
  <c r="G105" i="57"/>
  <c r="H104" i="57"/>
  <c r="G104" i="57"/>
  <c r="H103" i="57"/>
  <c r="G103" i="57"/>
  <c r="F103" i="57"/>
  <c r="N101" i="57"/>
  <c r="M101" i="57"/>
  <c r="L101" i="57"/>
  <c r="K101" i="57"/>
  <c r="J101" i="57"/>
  <c r="H101" i="57"/>
  <c r="G101" i="57"/>
  <c r="N100" i="57"/>
  <c r="M100" i="57"/>
  <c r="L100" i="57"/>
  <c r="K100" i="57"/>
  <c r="J100" i="57"/>
  <c r="H100" i="57"/>
  <c r="G100" i="57"/>
  <c r="H99" i="57"/>
  <c r="G99" i="57"/>
  <c r="H98" i="57"/>
  <c r="G98" i="57"/>
  <c r="H97" i="57"/>
  <c r="G97" i="57"/>
  <c r="F97" i="57"/>
  <c r="N95" i="57"/>
  <c r="M95" i="57"/>
  <c r="L95" i="57"/>
  <c r="K95" i="57"/>
  <c r="J95" i="57"/>
  <c r="H95" i="57"/>
  <c r="G95" i="57"/>
  <c r="H94" i="57"/>
  <c r="G94" i="57"/>
  <c r="H93" i="57"/>
  <c r="G93" i="57"/>
  <c r="H92" i="57"/>
  <c r="G92" i="57"/>
  <c r="H91" i="57"/>
  <c r="G91" i="57"/>
  <c r="F91" i="57"/>
  <c r="N90" i="57"/>
  <c r="M90" i="57"/>
  <c r="L90" i="57"/>
  <c r="K90" i="57"/>
  <c r="J90" i="57"/>
  <c r="N79" i="57"/>
  <c r="P856" i="19" s="1"/>
  <c r="P933" i="19" s="1"/>
  <c r="M79" i="57"/>
  <c r="P701" i="19" s="1"/>
  <c r="P778" i="19" s="1"/>
  <c r="L79" i="57"/>
  <c r="P546" i="19" s="1"/>
  <c r="P623" i="19" s="1"/>
  <c r="K79" i="57"/>
  <c r="P391" i="19" s="1"/>
  <c r="P468" i="19" s="1"/>
  <c r="J79" i="57"/>
  <c r="P236" i="19" s="1"/>
  <c r="P313" i="19" s="1"/>
  <c r="I78" i="57"/>
  <c r="P80" i="19" s="1"/>
  <c r="P157" i="19" s="1"/>
  <c r="H78" i="57"/>
  <c r="G78" i="57"/>
  <c r="I77" i="57"/>
  <c r="P79" i="19" s="1"/>
  <c r="P156" i="19" s="1"/>
  <c r="H77" i="57"/>
  <c r="G77" i="57"/>
  <c r="I76" i="57"/>
  <c r="P78" i="19" s="1"/>
  <c r="P155" i="19" s="1"/>
  <c r="H76" i="57"/>
  <c r="G76" i="57"/>
  <c r="I75" i="57"/>
  <c r="P77" i="19" s="1"/>
  <c r="P154" i="19" s="1"/>
  <c r="H75" i="57"/>
  <c r="G75" i="57"/>
  <c r="I74" i="57"/>
  <c r="P76" i="19" s="1"/>
  <c r="P153" i="19" s="1"/>
  <c r="H74" i="57"/>
  <c r="G74" i="57"/>
  <c r="F74" i="57"/>
  <c r="N73" i="57"/>
  <c r="P849" i="19" s="1"/>
  <c r="P926" i="19" s="1"/>
  <c r="M73" i="57"/>
  <c r="P694" i="19" s="1"/>
  <c r="P771" i="19" s="1"/>
  <c r="L73" i="57"/>
  <c r="P539" i="19" s="1"/>
  <c r="P616" i="19" s="1"/>
  <c r="K73" i="57"/>
  <c r="P384" i="19" s="1"/>
  <c r="P461" i="19" s="1"/>
  <c r="J73" i="57"/>
  <c r="P229" i="19" s="1"/>
  <c r="P306" i="19" s="1"/>
  <c r="I72" i="57"/>
  <c r="P73" i="19" s="1"/>
  <c r="P150" i="19" s="1"/>
  <c r="H72" i="57"/>
  <c r="G72" i="57"/>
  <c r="I71" i="57"/>
  <c r="P72" i="19" s="1"/>
  <c r="P149" i="19" s="1"/>
  <c r="H71" i="57"/>
  <c r="G71" i="57"/>
  <c r="I70" i="57"/>
  <c r="P71" i="19" s="1"/>
  <c r="P148" i="19" s="1"/>
  <c r="H70" i="57"/>
  <c r="G70" i="57"/>
  <c r="I69" i="57"/>
  <c r="P70" i="19" s="1"/>
  <c r="P147" i="19" s="1"/>
  <c r="H69" i="57"/>
  <c r="G69" i="57"/>
  <c r="I68" i="57"/>
  <c r="P69" i="19" s="1"/>
  <c r="P146" i="19" s="1"/>
  <c r="H68" i="57"/>
  <c r="G68" i="57"/>
  <c r="F68" i="57"/>
  <c r="N67" i="57"/>
  <c r="P842" i="19" s="1"/>
  <c r="P919" i="19" s="1"/>
  <c r="M67" i="57"/>
  <c r="P687" i="19" s="1"/>
  <c r="P764" i="19" s="1"/>
  <c r="L67" i="57"/>
  <c r="P532" i="19" s="1"/>
  <c r="P609" i="19" s="1"/>
  <c r="K67" i="57"/>
  <c r="P377" i="19" s="1"/>
  <c r="P454" i="19" s="1"/>
  <c r="J67" i="57"/>
  <c r="P222" i="19" s="1"/>
  <c r="P299" i="19" s="1"/>
  <c r="I66" i="57"/>
  <c r="P66" i="19" s="1"/>
  <c r="P143" i="19" s="1"/>
  <c r="H66" i="57"/>
  <c r="G66" i="57"/>
  <c r="I65" i="57"/>
  <c r="P65" i="19" s="1"/>
  <c r="P142" i="19" s="1"/>
  <c r="H65" i="57"/>
  <c r="G65" i="57"/>
  <c r="I64" i="57"/>
  <c r="P64" i="19" s="1"/>
  <c r="P141" i="19" s="1"/>
  <c r="H64" i="57"/>
  <c r="G64" i="57"/>
  <c r="I63" i="57"/>
  <c r="P63" i="19" s="1"/>
  <c r="P140" i="19" s="1"/>
  <c r="H63" i="57"/>
  <c r="G63" i="57"/>
  <c r="I62" i="57"/>
  <c r="P62" i="19" s="1"/>
  <c r="P139" i="19" s="1"/>
  <c r="H62" i="57"/>
  <c r="G62" i="57"/>
  <c r="F62" i="57"/>
  <c r="N61" i="57"/>
  <c r="P835" i="19" s="1"/>
  <c r="P912" i="19" s="1"/>
  <c r="M61" i="57"/>
  <c r="P680" i="19" s="1"/>
  <c r="P757" i="19" s="1"/>
  <c r="L61" i="57"/>
  <c r="P525" i="19" s="1"/>
  <c r="P602" i="19" s="1"/>
  <c r="K61" i="57"/>
  <c r="P370" i="19" s="1"/>
  <c r="P447" i="19" s="1"/>
  <c r="J61" i="57"/>
  <c r="P215" i="19" s="1"/>
  <c r="P292" i="19" s="1"/>
  <c r="I60" i="57"/>
  <c r="P59" i="19" s="1"/>
  <c r="P136" i="19" s="1"/>
  <c r="H60" i="57"/>
  <c r="G60" i="57"/>
  <c r="I59" i="57"/>
  <c r="P58" i="19" s="1"/>
  <c r="P135" i="19" s="1"/>
  <c r="H59" i="57"/>
  <c r="G59" i="57"/>
  <c r="I58" i="57"/>
  <c r="P57" i="19" s="1"/>
  <c r="P134" i="19" s="1"/>
  <c r="H58" i="57"/>
  <c r="G58" i="57"/>
  <c r="I57" i="57"/>
  <c r="P56" i="19" s="1"/>
  <c r="P133" i="19" s="1"/>
  <c r="H57" i="57"/>
  <c r="G57" i="57"/>
  <c r="I56" i="57"/>
  <c r="P55" i="19" s="1"/>
  <c r="P132" i="19" s="1"/>
  <c r="H56" i="57"/>
  <c r="G56" i="57"/>
  <c r="F56" i="57"/>
  <c r="N55" i="57"/>
  <c r="P828" i="19" s="1"/>
  <c r="P905" i="19" s="1"/>
  <c r="M55" i="57"/>
  <c r="P673" i="19" s="1"/>
  <c r="P750" i="19" s="1"/>
  <c r="L55" i="57"/>
  <c r="P518" i="19" s="1"/>
  <c r="P595" i="19" s="1"/>
  <c r="K55" i="57"/>
  <c r="P363" i="19" s="1"/>
  <c r="P440" i="19" s="1"/>
  <c r="J55" i="57"/>
  <c r="P208" i="19" s="1"/>
  <c r="P285" i="19" s="1"/>
  <c r="I54" i="57"/>
  <c r="P52" i="19" s="1"/>
  <c r="P129" i="19" s="1"/>
  <c r="H54" i="57"/>
  <c r="G54" i="57"/>
  <c r="I53" i="57"/>
  <c r="P51" i="19" s="1"/>
  <c r="P128" i="19" s="1"/>
  <c r="H53" i="57"/>
  <c r="G53" i="57"/>
  <c r="I52" i="57"/>
  <c r="P50" i="19" s="1"/>
  <c r="P127" i="19" s="1"/>
  <c r="H52" i="57"/>
  <c r="G52" i="57"/>
  <c r="I51" i="57"/>
  <c r="P49" i="19" s="1"/>
  <c r="P126" i="19" s="1"/>
  <c r="H51" i="57"/>
  <c r="G51" i="57"/>
  <c r="I50" i="57"/>
  <c r="P48" i="19" s="1"/>
  <c r="P125" i="19" s="1"/>
  <c r="H50" i="57"/>
  <c r="G50" i="57"/>
  <c r="F50" i="57"/>
  <c r="I48" i="57"/>
  <c r="P45" i="19" s="1"/>
  <c r="P122" i="19" s="1"/>
  <c r="H48" i="57"/>
  <c r="G48" i="57"/>
  <c r="I47" i="57"/>
  <c r="P44" i="19" s="1"/>
  <c r="P121" i="19" s="1"/>
  <c r="H47" i="57"/>
  <c r="G47" i="57"/>
  <c r="N46" i="57"/>
  <c r="P818" i="19" s="1"/>
  <c r="P895" i="19" s="1"/>
  <c r="M46" i="57"/>
  <c r="P663" i="19" s="1"/>
  <c r="P740" i="19" s="1"/>
  <c r="L46" i="57"/>
  <c r="P508" i="19" s="1"/>
  <c r="P585" i="19" s="1"/>
  <c r="K46" i="57"/>
  <c r="P353" i="19" s="1"/>
  <c r="P430" i="19" s="1"/>
  <c r="J46" i="57"/>
  <c r="P198" i="19" s="1"/>
  <c r="P275" i="19" s="1"/>
  <c r="H46" i="57"/>
  <c r="G46" i="57"/>
  <c r="N45" i="57"/>
  <c r="P817" i="19" s="1"/>
  <c r="P894" i="19" s="1"/>
  <c r="M45" i="57"/>
  <c r="P662" i="19" s="1"/>
  <c r="P739" i="19" s="1"/>
  <c r="L45" i="57"/>
  <c r="P507" i="19" s="1"/>
  <c r="P584" i="19" s="1"/>
  <c r="K45" i="57"/>
  <c r="P352" i="19" s="1"/>
  <c r="P429" i="19" s="1"/>
  <c r="J45" i="57"/>
  <c r="P197" i="19" s="1"/>
  <c r="P274" i="19" s="1"/>
  <c r="H45" i="57"/>
  <c r="G45" i="57"/>
  <c r="N44" i="57"/>
  <c r="P816" i="19" s="1"/>
  <c r="P893" i="19" s="1"/>
  <c r="M44" i="57"/>
  <c r="P661" i="19" s="1"/>
  <c r="P738" i="19" s="1"/>
  <c r="L44" i="57"/>
  <c r="P506" i="19" s="1"/>
  <c r="P583" i="19" s="1"/>
  <c r="K44" i="57"/>
  <c r="P351" i="19" s="1"/>
  <c r="P428" i="19" s="1"/>
  <c r="J44" i="57"/>
  <c r="P196" i="19" s="1"/>
  <c r="P273" i="19" s="1"/>
  <c r="H44" i="57"/>
  <c r="G44" i="57"/>
  <c r="F44" i="57"/>
  <c r="I42" i="57"/>
  <c r="P38" i="19" s="1"/>
  <c r="P115" i="19" s="1"/>
  <c r="H42" i="57"/>
  <c r="G42" i="57"/>
  <c r="I41" i="57"/>
  <c r="P37" i="19" s="1"/>
  <c r="P114" i="19" s="1"/>
  <c r="H41" i="57"/>
  <c r="G41" i="57"/>
  <c r="N40" i="57"/>
  <c r="P811" i="19" s="1"/>
  <c r="P888" i="19" s="1"/>
  <c r="M40" i="57"/>
  <c r="P656" i="19" s="1"/>
  <c r="P733" i="19" s="1"/>
  <c r="L40" i="57"/>
  <c r="P501" i="19" s="1"/>
  <c r="P578" i="19" s="1"/>
  <c r="K40" i="57"/>
  <c r="P346" i="19" s="1"/>
  <c r="P423" i="19" s="1"/>
  <c r="J40" i="57"/>
  <c r="P191" i="19" s="1"/>
  <c r="P268" i="19" s="1"/>
  <c r="I40" i="57"/>
  <c r="P36" i="19" s="1"/>
  <c r="P113" i="19" s="1"/>
  <c r="H40" i="57"/>
  <c r="G40" i="57"/>
  <c r="N39" i="57"/>
  <c r="P810" i="19" s="1"/>
  <c r="P887" i="19" s="1"/>
  <c r="M39" i="57"/>
  <c r="P655" i="19" s="1"/>
  <c r="P732" i="19" s="1"/>
  <c r="L39" i="57"/>
  <c r="P500" i="19" s="1"/>
  <c r="P577" i="19" s="1"/>
  <c r="K39" i="57"/>
  <c r="P345" i="19" s="1"/>
  <c r="P422" i="19" s="1"/>
  <c r="J39" i="57"/>
  <c r="P190" i="19" s="1"/>
  <c r="P267" i="19" s="1"/>
  <c r="I39" i="57"/>
  <c r="P35" i="19" s="1"/>
  <c r="P112" i="19" s="1"/>
  <c r="H39" i="57"/>
  <c r="G39" i="57"/>
  <c r="N38" i="57"/>
  <c r="P809" i="19" s="1"/>
  <c r="P886" i="19" s="1"/>
  <c r="M38" i="57"/>
  <c r="P654" i="19" s="1"/>
  <c r="P731" i="19" s="1"/>
  <c r="L38" i="57"/>
  <c r="P499" i="19" s="1"/>
  <c r="P576" i="19" s="1"/>
  <c r="K38" i="57"/>
  <c r="P344" i="19" s="1"/>
  <c r="P421" i="19" s="1"/>
  <c r="J38" i="57"/>
  <c r="P189" i="19" s="1"/>
  <c r="P266" i="19" s="1"/>
  <c r="I38" i="57"/>
  <c r="P34" i="19" s="1"/>
  <c r="P111" i="19" s="1"/>
  <c r="H38" i="57"/>
  <c r="G38" i="57"/>
  <c r="F38" i="57"/>
  <c r="I36" i="57"/>
  <c r="P31" i="19" s="1"/>
  <c r="P108" i="19" s="1"/>
  <c r="H36" i="57"/>
  <c r="G36" i="57"/>
  <c r="I35" i="57"/>
  <c r="P30" i="19" s="1"/>
  <c r="P107" i="19" s="1"/>
  <c r="H35" i="57"/>
  <c r="G35" i="57"/>
  <c r="I34" i="57"/>
  <c r="P29" i="19" s="1"/>
  <c r="P106" i="19" s="1"/>
  <c r="H34" i="57"/>
  <c r="G34" i="57"/>
  <c r="N33" i="57"/>
  <c r="P803" i="19" s="1"/>
  <c r="P880" i="19" s="1"/>
  <c r="M33" i="57"/>
  <c r="P648" i="19" s="1"/>
  <c r="P725" i="19" s="1"/>
  <c r="L33" i="57"/>
  <c r="P493" i="19" s="1"/>
  <c r="P570" i="19" s="1"/>
  <c r="K33" i="57"/>
  <c r="P338" i="19" s="1"/>
  <c r="P415" i="19" s="1"/>
  <c r="J33" i="57"/>
  <c r="P183" i="19" s="1"/>
  <c r="P260" i="19" s="1"/>
  <c r="I33" i="57"/>
  <c r="P28" i="19" s="1"/>
  <c r="P105" i="19" s="1"/>
  <c r="H33" i="57"/>
  <c r="G33" i="57"/>
  <c r="N32" i="57"/>
  <c r="P802" i="19" s="1"/>
  <c r="P879" i="19" s="1"/>
  <c r="M32" i="57"/>
  <c r="P647" i="19" s="1"/>
  <c r="P724" i="19" s="1"/>
  <c r="L32" i="57"/>
  <c r="P492" i="19" s="1"/>
  <c r="P569" i="19" s="1"/>
  <c r="K32" i="57"/>
  <c r="P337" i="19" s="1"/>
  <c r="P414" i="19" s="1"/>
  <c r="J32" i="57"/>
  <c r="P182" i="19" s="1"/>
  <c r="P259" i="19" s="1"/>
  <c r="I32" i="57"/>
  <c r="P27" i="19" s="1"/>
  <c r="P104" i="19" s="1"/>
  <c r="H32" i="57"/>
  <c r="G32" i="57"/>
  <c r="F32" i="57"/>
  <c r="I30" i="57"/>
  <c r="P24" i="19" s="1"/>
  <c r="P101" i="19" s="1"/>
  <c r="H30" i="57"/>
  <c r="G30" i="57"/>
  <c r="I29" i="57"/>
  <c r="P23" i="19" s="1"/>
  <c r="P100" i="19" s="1"/>
  <c r="H29" i="57"/>
  <c r="G29" i="57"/>
  <c r="N28" i="57"/>
  <c r="P797" i="19" s="1"/>
  <c r="P874" i="19" s="1"/>
  <c r="M28" i="57"/>
  <c r="P642" i="19" s="1"/>
  <c r="P719" i="19" s="1"/>
  <c r="L28" i="57"/>
  <c r="P487" i="19" s="1"/>
  <c r="P564" i="19" s="1"/>
  <c r="K28" i="57"/>
  <c r="P332" i="19" s="1"/>
  <c r="P409" i="19" s="1"/>
  <c r="J28" i="57"/>
  <c r="P177" i="19" s="1"/>
  <c r="P254" i="19" s="1"/>
  <c r="H28" i="57"/>
  <c r="G28" i="57"/>
  <c r="N27" i="57"/>
  <c r="P796" i="19" s="1"/>
  <c r="P873" i="19" s="1"/>
  <c r="M27" i="57"/>
  <c r="P641" i="19" s="1"/>
  <c r="P718" i="19" s="1"/>
  <c r="L27" i="57"/>
  <c r="P486" i="19" s="1"/>
  <c r="P563" i="19" s="1"/>
  <c r="K27" i="57"/>
  <c r="P331" i="19" s="1"/>
  <c r="P408" i="19" s="1"/>
  <c r="J27" i="57"/>
  <c r="P176" i="19" s="1"/>
  <c r="P253" i="19" s="1"/>
  <c r="H27" i="57"/>
  <c r="G27" i="57"/>
  <c r="N26" i="57"/>
  <c r="P795" i="19" s="1"/>
  <c r="P872" i="19" s="1"/>
  <c r="M26" i="57"/>
  <c r="P640" i="19" s="1"/>
  <c r="P717" i="19" s="1"/>
  <c r="L26" i="57"/>
  <c r="P485" i="19" s="1"/>
  <c r="P562" i="19" s="1"/>
  <c r="K26" i="57"/>
  <c r="P330" i="19" s="1"/>
  <c r="P407" i="19" s="1"/>
  <c r="J26" i="57"/>
  <c r="P175" i="19" s="1"/>
  <c r="P252" i="19" s="1"/>
  <c r="H26" i="57"/>
  <c r="G26" i="57"/>
  <c r="F26" i="57"/>
  <c r="I24" i="57"/>
  <c r="P17" i="19" s="1"/>
  <c r="P94" i="19" s="1"/>
  <c r="H24" i="57"/>
  <c r="G24" i="57"/>
  <c r="N23" i="57"/>
  <c r="P791" i="19" s="1"/>
  <c r="P868" i="19" s="1"/>
  <c r="M23" i="57"/>
  <c r="P636" i="19" s="1"/>
  <c r="P713" i="19" s="1"/>
  <c r="L23" i="57"/>
  <c r="P481" i="19" s="1"/>
  <c r="P558" i="19" s="1"/>
  <c r="K23" i="57"/>
  <c r="P326" i="19" s="1"/>
  <c r="P403" i="19" s="1"/>
  <c r="J23" i="57"/>
  <c r="P171" i="19" s="1"/>
  <c r="P248" i="19" s="1"/>
  <c r="H23" i="57"/>
  <c r="G23" i="57"/>
  <c r="N22" i="57"/>
  <c r="P790" i="19" s="1"/>
  <c r="P867" i="19" s="1"/>
  <c r="M22" i="57"/>
  <c r="P635" i="19" s="1"/>
  <c r="P712" i="19" s="1"/>
  <c r="L22" i="57"/>
  <c r="P480" i="19" s="1"/>
  <c r="P557" i="19" s="1"/>
  <c r="K22" i="57"/>
  <c r="P325" i="19" s="1"/>
  <c r="P402" i="19" s="1"/>
  <c r="J22" i="57"/>
  <c r="P170" i="19" s="1"/>
  <c r="P247" i="19" s="1"/>
  <c r="H22" i="57"/>
  <c r="G22" i="57"/>
  <c r="N21" i="57"/>
  <c r="P789" i="19" s="1"/>
  <c r="P866" i="19" s="1"/>
  <c r="M21" i="57"/>
  <c r="P634" i="19" s="1"/>
  <c r="P711" i="19" s="1"/>
  <c r="L21" i="57"/>
  <c r="P479" i="19" s="1"/>
  <c r="P556" i="19" s="1"/>
  <c r="K21" i="57"/>
  <c r="P324" i="19" s="1"/>
  <c r="P401" i="19" s="1"/>
  <c r="J21" i="57"/>
  <c r="P169" i="19" s="1"/>
  <c r="P246" i="19" s="1"/>
  <c r="H21" i="57"/>
  <c r="G21" i="57"/>
  <c r="N20" i="57"/>
  <c r="P788" i="19" s="1"/>
  <c r="P865" i="19" s="1"/>
  <c r="M20" i="57"/>
  <c r="P633" i="19" s="1"/>
  <c r="P710" i="19" s="1"/>
  <c r="L20" i="57"/>
  <c r="P478" i="19" s="1"/>
  <c r="P555" i="19" s="1"/>
  <c r="K20" i="57"/>
  <c r="P323" i="19" s="1"/>
  <c r="P400" i="19" s="1"/>
  <c r="J20" i="57"/>
  <c r="P168" i="19" s="1"/>
  <c r="P245" i="19" s="1"/>
  <c r="H20" i="57"/>
  <c r="G20" i="57"/>
  <c r="F20" i="57"/>
  <c r="N19" i="57"/>
  <c r="M19" i="57"/>
  <c r="L19" i="57"/>
  <c r="K19" i="57"/>
  <c r="J19" i="57"/>
  <c r="B14" i="57"/>
  <c r="F12" i="57"/>
  <c r="H152" i="57" s="1"/>
  <c r="N9" i="57"/>
  <c r="M9" i="57"/>
  <c r="L9" i="57"/>
  <c r="K9" i="57"/>
  <c r="J9" i="57"/>
  <c r="B6" i="57"/>
  <c r="B2" i="57"/>
  <c r="B1" i="57"/>
  <c r="H19" i="21" s="1"/>
  <c r="F169" i="56"/>
  <c r="F168" i="56"/>
  <c r="F167" i="56"/>
  <c r="F166" i="56"/>
  <c r="N165" i="56"/>
  <c r="M165" i="56"/>
  <c r="L165" i="56"/>
  <c r="K165" i="56"/>
  <c r="J165" i="56"/>
  <c r="F164" i="56"/>
  <c r="F162" i="56"/>
  <c r="F161" i="56"/>
  <c r="F160" i="56"/>
  <c r="F159" i="56"/>
  <c r="N158" i="56"/>
  <c r="M158" i="56"/>
  <c r="L158" i="56"/>
  <c r="K158" i="56"/>
  <c r="J158" i="56"/>
  <c r="F157" i="56"/>
  <c r="B155" i="56"/>
  <c r="N149" i="56"/>
  <c r="M149" i="56"/>
  <c r="L149" i="56"/>
  <c r="K149" i="56"/>
  <c r="J149" i="56"/>
  <c r="H149" i="56"/>
  <c r="G149" i="56"/>
  <c r="N148" i="56"/>
  <c r="M148" i="56"/>
  <c r="L148" i="56"/>
  <c r="K148" i="56"/>
  <c r="J148" i="56"/>
  <c r="H148" i="56"/>
  <c r="G148" i="56"/>
  <c r="N147" i="56"/>
  <c r="M147" i="56"/>
  <c r="L147" i="56"/>
  <c r="K147" i="56"/>
  <c r="J147" i="56"/>
  <c r="H147" i="56"/>
  <c r="G147" i="56"/>
  <c r="N146" i="56"/>
  <c r="M146" i="56"/>
  <c r="L146" i="56"/>
  <c r="K146" i="56"/>
  <c r="J146" i="56"/>
  <c r="H146" i="56"/>
  <c r="G146" i="56"/>
  <c r="N145" i="56"/>
  <c r="M145" i="56"/>
  <c r="L145" i="56"/>
  <c r="K145" i="56"/>
  <c r="J145" i="56"/>
  <c r="H145" i="56"/>
  <c r="G145" i="56"/>
  <c r="F145" i="56"/>
  <c r="N143" i="56"/>
  <c r="M143" i="56"/>
  <c r="L143" i="56"/>
  <c r="K143" i="56"/>
  <c r="J143" i="56"/>
  <c r="H143" i="56"/>
  <c r="G143" i="56"/>
  <c r="N142" i="56"/>
  <c r="M142" i="56"/>
  <c r="L142" i="56"/>
  <c r="K142" i="56"/>
  <c r="J142" i="56"/>
  <c r="H142" i="56"/>
  <c r="G142" i="56"/>
  <c r="N141" i="56"/>
  <c r="M141" i="56"/>
  <c r="L141" i="56"/>
  <c r="K141" i="56"/>
  <c r="J141" i="56"/>
  <c r="H141" i="56"/>
  <c r="G141" i="56"/>
  <c r="N140" i="56"/>
  <c r="M140" i="56"/>
  <c r="L140" i="56"/>
  <c r="K140" i="56"/>
  <c r="J140" i="56"/>
  <c r="H140" i="56"/>
  <c r="G140" i="56"/>
  <c r="N139" i="56"/>
  <c r="M139" i="56"/>
  <c r="L139" i="56"/>
  <c r="K139" i="56"/>
  <c r="J139" i="56"/>
  <c r="H139" i="56"/>
  <c r="G139" i="56"/>
  <c r="F139" i="56"/>
  <c r="N137" i="56"/>
  <c r="M137" i="56"/>
  <c r="L137" i="56"/>
  <c r="K137" i="56"/>
  <c r="J137" i="56"/>
  <c r="H137" i="56"/>
  <c r="G137" i="56"/>
  <c r="N136" i="56"/>
  <c r="M136" i="56"/>
  <c r="L136" i="56"/>
  <c r="K136" i="56"/>
  <c r="J136" i="56"/>
  <c r="H136" i="56"/>
  <c r="G136" i="56"/>
  <c r="N135" i="56"/>
  <c r="M135" i="56"/>
  <c r="L135" i="56"/>
  <c r="K135" i="56"/>
  <c r="J135" i="56"/>
  <c r="H135" i="56"/>
  <c r="G135" i="56"/>
  <c r="N134" i="56"/>
  <c r="M134" i="56"/>
  <c r="L134" i="56"/>
  <c r="K134" i="56"/>
  <c r="J134" i="56"/>
  <c r="H134" i="56"/>
  <c r="G134" i="56"/>
  <c r="N133" i="56"/>
  <c r="M133" i="56"/>
  <c r="L133" i="56"/>
  <c r="K133" i="56"/>
  <c r="J133" i="56"/>
  <c r="H133" i="56"/>
  <c r="G133" i="56"/>
  <c r="F133" i="56"/>
  <c r="N131" i="56"/>
  <c r="M131" i="56"/>
  <c r="L131" i="56"/>
  <c r="K131" i="56"/>
  <c r="J131" i="56"/>
  <c r="H131" i="56"/>
  <c r="G131" i="56"/>
  <c r="N130" i="56"/>
  <c r="M130" i="56"/>
  <c r="L130" i="56"/>
  <c r="K130" i="56"/>
  <c r="J130" i="56"/>
  <c r="H130" i="56"/>
  <c r="G130" i="56"/>
  <c r="N129" i="56"/>
  <c r="M129" i="56"/>
  <c r="L129" i="56"/>
  <c r="K129" i="56"/>
  <c r="J129" i="56"/>
  <c r="H129" i="56"/>
  <c r="G129" i="56"/>
  <c r="N128" i="56"/>
  <c r="M128" i="56"/>
  <c r="L128" i="56"/>
  <c r="K128" i="56"/>
  <c r="J128" i="56"/>
  <c r="H128" i="56"/>
  <c r="G128" i="56"/>
  <c r="N127" i="56"/>
  <c r="M127" i="56"/>
  <c r="L127" i="56"/>
  <c r="K127" i="56"/>
  <c r="J127" i="56"/>
  <c r="H127" i="56"/>
  <c r="G127" i="56"/>
  <c r="F127" i="56"/>
  <c r="N125" i="56"/>
  <c r="M125" i="56"/>
  <c r="L125" i="56"/>
  <c r="K125" i="56"/>
  <c r="J125" i="56"/>
  <c r="H125" i="56"/>
  <c r="G125" i="56"/>
  <c r="N124" i="56"/>
  <c r="M124" i="56"/>
  <c r="L124" i="56"/>
  <c r="K124" i="56"/>
  <c r="J124" i="56"/>
  <c r="H124" i="56"/>
  <c r="G124" i="56"/>
  <c r="N123" i="56"/>
  <c r="M123" i="56"/>
  <c r="L123" i="56"/>
  <c r="K123" i="56"/>
  <c r="J123" i="56"/>
  <c r="H123" i="56"/>
  <c r="G123" i="56"/>
  <c r="N122" i="56"/>
  <c r="M122" i="56"/>
  <c r="L122" i="56"/>
  <c r="K122" i="56"/>
  <c r="J122" i="56"/>
  <c r="H122" i="56"/>
  <c r="G122" i="56"/>
  <c r="N121" i="56"/>
  <c r="M121" i="56"/>
  <c r="L121" i="56"/>
  <c r="K121" i="56"/>
  <c r="J121" i="56"/>
  <c r="H121" i="56"/>
  <c r="G121" i="56"/>
  <c r="F121" i="56"/>
  <c r="N119" i="56"/>
  <c r="M119" i="56"/>
  <c r="L119" i="56"/>
  <c r="K119" i="56"/>
  <c r="J119" i="56"/>
  <c r="H119" i="56"/>
  <c r="G119" i="56"/>
  <c r="N118" i="56"/>
  <c r="M118" i="56"/>
  <c r="L118" i="56"/>
  <c r="K118" i="56"/>
  <c r="J118" i="56"/>
  <c r="H118" i="56"/>
  <c r="G118" i="56"/>
  <c r="H117" i="56"/>
  <c r="G117" i="56"/>
  <c r="H116" i="56"/>
  <c r="G116" i="56"/>
  <c r="H115" i="56"/>
  <c r="G115" i="56"/>
  <c r="F115" i="56"/>
  <c r="N113" i="56"/>
  <c r="M113" i="56"/>
  <c r="L113" i="56"/>
  <c r="K113" i="56"/>
  <c r="J113" i="56"/>
  <c r="H113" i="56"/>
  <c r="G113" i="56"/>
  <c r="N112" i="56"/>
  <c r="M112" i="56"/>
  <c r="L112" i="56"/>
  <c r="K112" i="56"/>
  <c r="J112" i="56"/>
  <c r="H112" i="56"/>
  <c r="G112" i="56"/>
  <c r="H111" i="56"/>
  <c r="G111" i="56"/>
  <c r="H110" i="56"/>
  <c r="G110" i="56"/>
  <c r="H109" i="56"/>
  <c r="G109" i="56"/>
  <c r="F109" i="56"/>
  <c r="N107" i="56"/>
  <c r="M107" i="56"/>
  <c r="L107" i="56"/>
  <c r="K107" i="56"/>
  <c r="J107" i="56"/>
  <c r="H107" i="56"/>
  <c r="G107" i="56"/>
  <c r="N106" i="56"/>
  <c r="M106" i="56"/>
  <c r="L106" i="56"/>
  <c r="K106" i="56"/>
  <c r="J106" i="56"/>
  <c r="H106" i="56"/>
  <c r="G106" i="56"/>
  <c r="N105" i="56"/>
  <c r="M105" i="56"/>
  <c r="L105" i="56"/>
  <c r="K105" i="56"/>
  <c r="J105" i="56"/>
  <c r="H105" i="56"/>
  <c r="G105" i="56"/>
  <c r="H104" i="56"/>
  <c r="G104" i="56"/>
  <c r="H103" i="56"/>
  <c r="G103" i="56"/>
  <c r="F103" i="56"/>
  <c r="N101" i="56"/>
  <c r="M101" i="56"/>
  <c r="L101" i="56"/>
  <c r="K101" i="56"/>
  <c r="J101" i="56"/>
  <c r="H101" i="56"/>
  <c r="G101" i="56"/>
  <c r="N100" i="56"/>
  <c r="M100" i="56"/>
  <c r="L100" i="56"/>
  <c r="K100" i="56"/>
  <c r="J100" i="56"/>
  <c r="H100" i="56"/>
  <c r="G100" i="56"/>
  <c r="H99" i="56"/>
  <c r="G99" i="56"/>
  <c r="H98" i="56"/>
  <c r="G98" i="56"/>
  <c r="H97" i="56"/>
  <c r="G97" i="56"/>
  <c r="F97" i="56"/>
  <c r="N95" i="56"/>
  <c r="M95" i="56"/>
  <c r="L95" i="56"/>
  <c r="K95" i="56"/>
  <c r="J95" i="56"/>
  <c r="H95" i="56"/>
  <c r="G95" i="56"/>
  <c r="H94" i="56"/>
  <c r="G94" i="56"/>
  <c r="H93" i="56"/>
  <c r="G93" i="56"/>
  <c r="H92" i="56"/>
  <c r="G92" i="56"/>
  <c r="H91" i="56"/>
  <c r="G91" i="56"/>
  <c r="F91" i="56"/>
  <c r="N90" i="56"/>
  <c r="M90" i="56"/>
  <c r="L90" i="56"/>
  <c r="K90" i="56"/>
  <c r="J90" i="56"/>
  <c r="N79" i="56"/>
  <c r="O856" i="19" s="1"/>
  <c r="O933" i="19" s="1"/>
  <c r="M79" i="56"/>
  <c r="O701" i="19" s="1"/>
  <c r="O778" i="19" s="1"/>
  <c r="L79" i="56"/>
  <c r="O546" i="19" s="1"/>
  <c r="O623" i="19" s="1"/>
  <c r="K79" i="56"/>
  <c r="O391" i="19" s="1"/>
  <c r="O468" i="19" s="1"/>
  <c r="J79" i="56"/>
  <c r="O236" i="19" s="1"/>
  <c r="O313" i="19" s="1"/>
  <c r="I78" i="56"/>
  <c r="O80" i="19" s="1"/>
  <c r="O157" i="19" s="1"/>
  <c r="H78" i="56"/>
  <c r="G78" i="56"/>
  <c r="I77" i="56"/>
  <c r="O79" i="19" s="1"/>
  <c r="O156" i="19" s="1"/>
  <c r="H77" i="56"/>
  <c r="G77" i="56"/>
  <c r="I76" i="56"/>
  <c r="O78" i="19" s="1"/>
  <c r="O155" i="19" s="1"/>
  <c r="H76" i="56"/>
  <c r="G76" i="56"/>
  <c r="I75" i="56"/>
  <c r="O77" i="19" s="1"/>
  <c r="O154" i="19" s="1"/>
  <c r="H75" i="56"/>
  <c r="G75" i="56"/>
  <c r="I74" i="56"/>
  <c r="O76" i="19" s="1"/>
  <c r="O153" i="19" s="1"/>
  <c r="H74" i="56"/>
  <c r="G74" i="56"/>
  <c r="F74" i="56"/>
  <c r="N73" i="56"/>
  <c r="O849" i="19" s="1"/>
  <c r="O926" i="19" s="1"/>
  <c r="M73" i="56"/>
  <c r="O694" i="19" s="1"/>
  <c r="O771" i="19" s="1"/>
  <c r="L73" i="56"/>
  <c r="O539" i="19" s="1"/>
  <c r="O616" i="19" s="1"/>
  <c r="K73" i="56"/>
  <c r="O384" i="19" s="1"/>
  <c r="O461" i="19" s="1"/>
  <c r="J73" i="56"/>
  <c r="O229" i="19" s="1"/>
  <c r="O306" i="19" s="1"/>
  <c r="I72" i="56"/>
  <c r="O73" i="19" s="1"/>
  <c r="O150" i="19" s="1"/>
  <c r="H72" i="56"/>
  <c r="G72" i="56"/>
  <c r="I71" i="56"/>
  <c r="O72" i="19" s="1"/>
  <c r="O149" i="19" s="1"/>
  <c r="H71" i="56"/>
  <c r="G71" i="56"/>
  <c r="I70" i="56"/>
  <c r="O71" i="19" s="1"/>
  <c r="O148" i="19" s="1"/>
  <c r="H70" i="56"/>
  <c r="G70" i="56"/>
  <c r="I69" i="56"/>
  <c r="O70" i="19" s="1"/>
  <c r="O147" i="19" s="1"/>
  <c r="H69" i="56"/>
  <c r="G69" i="56"/>
  <c r="I68" i="56"/>
  <c r="O69" i="19" s="1"/>
  <c r="O146" i="19" s="1"/>
  <c r="H68" i="56"/>
  <c r="G68" i="56"/>
  <c r="F68" i="56"/>
  <c r="N67" i="56"/>
  <c r="O842" i="19" s="1"/>
  <c r="O919" i="19" s="1"/>
  <c r="M67" i="56"/>
  <c r="O687" i="19" s="1"/>
  <c r="O764" i="19" s="1"/>
  <c r="L67" i="56"/>
  <c r="O532" i="19" s="1"/>
  <c r="O609" i="19" s="1"/>
  <c r="K67" i="56"/>
  <c r="O377" i="19" s="1"/>
  <c r="O454" i="19" s="1"/>
  <c r="J67" i="56"/>
  <c r="O222" i="19" s="1"/>
  <c r="O299" i="19" s="1"/>
  <c r="I66" i="56"/>
  <c r="O66" i="19" s="1"/>
  <c r="O143" i="19" s="1"/>
  <c r="H66" i="56"/>
  <c r="G66" i="56"/>
  <c r="I65" i="56"/>
  <c r="O65" i="19" s="1"/>
  <c r="O142" i="19" s="1"/>
  <c r="H65" i="56"/>
  <c r="G65" i="56"/>
  <c r="I64" i="56"/>
  <c r="O64" i="19" s="1"/>
  <c r="O141" i="19" s="1"/>
  <c r="H64" i="56"/>
  <c r="G64" i="56"/>
  <c r="I63" i="56"/>
  <c r="O63" i="19" s="1"/>
  <c r="O140" i="19" s="1"/>
  <c r="H63" i="56"/>
  <c r="G63" i="56"/>
  <c r="I62" i="56"/>
  <c r="O62" i="19" s="1"/>
  <c r="O139" i="19" s="1"/>
  <c r="H62" i="56"/>
  <c r="G62" i="56"/>
  <c r="F62" i="56"/>
  <c r="N61" i="56"/>
  <c r="O835" i="19" s="1"/>
  <c r="O912" i="19" s="1"/>
  <c r="M61" i="56"/>
  <c r="O680" i="19" s="1"/>
  <c r="O757" i="19" s="1"/>
  <c r="L61" i="56"/>
  <c r="O525" i="19" s="1"/>
  <c r="O602" i="19" s="1"/>
  <c r="K61" i="56"/>
  <c r="O370" i="19" s="1"/>
  <c r="O447" i="19" s="1"/>
  <c r="J61" i="56"/>
  <c r="O215" i="19" s="1"/>
  <c r="O292" i="19" s="1"/>
  <c r="I60" i="56"/>
  <c r="O59" i="19" s="1"/>
  <c r="O136" i="19" s="1"/>
  <c r="H60" i="56"/>
  <c r="G60" i="56"/>
  <c r="I59" i="56"/>
  <c r="O58" i="19" s="1"/>
  <c r="O135" i="19" s="1"/>
  <c r="H59" i="56"/>
  <c r="G59" i="56"/>
  <c r="I58" i="56"/>
  <c r="O57" i="19" s="1"/>
  <c r="O134" i="19" s="1"/>
  <c r="H58" i="56"/>
  <c r="G58" i="56"/>
  <c r="I57" i="56"/>
  <c r="O56" i="19" s="1"/>
  <c r="O133" i="19" s="1"/>
  <c r="H57" i="56"/>
  <c r="G57" i="56"/>
  <c r="I56" i="56"/>
  <c r="O55" i="19" s="1"/>
  <c r="O132" i="19" s="1"/>
  <c r="H56" i="56"/>
  <c r="G56" i="56"/>
  <c r="F56" i="56"/>
  <c r="N55" i="56"/>
  <c r="O828" i="19" s="1"/>
  <c r="O905" i="19" s="1"/>
  <c r="M55" i="56"/>
  <c r="O673" i="19" s="1"/>
  <c r="O750" i="19" s="1"/>
  <c r="L55" i="56"/>
  <c r="O518" i="19" s="1"/>
  <c r="O595" i="19" s="1"/>
  <c r="K55" i="56"/>
  <c r="O363" i="19" s="1"/>
  <c r="O440" i="19" s="1"/>
  <c r="J55" i="56"/>
  <c r="O208" i="19" s="1"/>
  <c r="O285" i="19" s="1"/>
  <c r="I54" i="56"/>
  <c r="O52" i="19" s="1"/>
  <c r="O129" i="19" s="1"/>
  <c r="H54" i="56"/>
  <c r="G54" i="56"/>
  <c r="I53" i="56"/>
  <c r="O51" i="19" s="1"/>
  <c r="O128" i="19" s="1"/>
  <c r="H53" i="56"/>
  <c r="G53" i="56"/>
  <c r="I52" i="56"/>
  <c r="O50" i="19" s="1"/>
  <c r="O127" i="19" s="1"/>
  <c r="H52" i="56"/>
  <c r="G52" i="56"/>
  <c r="I51" i="56"/>
  <c r="O49" i="19" s="1"/>
  <c r="O126" i="19" s="1"/>
  <c r="H51" i="56"/>
  <c r="G51" i="56"/>
  <c r="I50" i="56"/>
  <c r="O48" i="19" s="1"/>
  <c r="O125" i="19" s="1"/>
  <c r="H50" i="56"/>
  <c r="G50" i="56"/>
  <c r="F50" i="56"/>
  <c r="I48" i="56"/>
  <c r="O45" i="19" s="1"/>
  <c r="O122" i="19" s="1"/>
  <c r="H48" i="56"/>
  <c r="G48" i="56"/>
  <c r="I47" i="56"/>
  <c r="O44" i="19" s="1"/>
  <c r="O121" i="19" s="1"/>
  <c r="H47" i="56"/>
  <c r="G47" i="56"/>
  <c r="N46" i="56"/>
  <c r="O818" i="19" s="1"/>
  <c r="O895" i="19" s="1"/>
  <c r="M46" i="56"/>
  <c r="O663" i="19" s="1"/>
  <c r="O740" i="19" s="1"/>
  <c r="L46" i="56"/>
  <c r="O508" i="19" s="1"/>
  <c r="O585" i="19" s="1"/>
  <c r="K46" i="56"/>
  <c r="O353" i="19" s="1"/>
  <c r="O430" i="19" s="1"/>
  <c r="J46" i="56"/>
  <c r="O198" i="19" s="1"/>
  <c r="O275" i="19" s="1"/>
  <c r="H46" i="56"/>
  <c r="G46" i="56"/>
  <c r="N45" i="56"/>
  <c r="O817" i="19" s="1"/>
  <c r="O894" i="19" s="1"/>
  <c r="M45" i="56"/>
  <c r="O662" i="19" s="1"/>
  <c r="O739" i="19" s="1"/>
  <c r="L45" i="56"/>
  <c r="O507" i="19" s="1"/>
  <c r="O584" i="19" s="1"/>
  <c r="K45" i="56"/>
  <c r="O352" i="19" s="1"/>
  <c r="O429" i="19" s="1"/>
  <c r="J45" i="56"/>
  <c r="O197" i="19" s="1"/>
  <c r="O274" i="19" s="1"/>
  <c r="H45" i="56"/>
  <c r="G45" i="56"/>
  <c r="N44" i="56"/>
  <c r="O816" i="19" s="1"/>
  <c r="O893" i="19" s="1"/>
  <c r="M44" i="56"/>
  <c r="O661" i="19" s="1"/>
  <c r="O738" i="19" s="1"/>
  <c r="L44" i="56"/>
  <c r="O506" i="19" s="1"/>
  <c r="O583" i="19" s="1"/>
  <c r="K44" i="56"/>
  <c r="O351" i="19" s="1"/>
  <c r="O428" i="19" s="1"/>
  <c r="J44" i="56"/>
  <c r="O196" i="19" s="1"/>
  <c r="O273" i="19" s="1"/>
  <c r="H44" i="56"/>
  <c r="G44" i="56"/>
  <c r="F44" i="56"/>
  <c r="I42" i="56"/>
  <c r="O38" i="19" s="1"/>
  <c r="O115" i="19" s="1"/>
  <c r="H42" i="56"/>
  <c r="G42" i="56"/>
  <c r="I41" i="56"/>
  <c r="O37" i="19" s="1"/>
  <c r="O114" i="19" s="1"/>
  <c r="H41" i="56"/>
  <c r="G41" i="56"/>
  <c r="N40" i="56"/>
  <c r="O811" i="19" s="1"/>
  <c r="O888" i="19" s="1"/>
  <c r="M40" i="56"/>
  <c r="O656" i="19" s="1"/>
  <c r="O733" i="19" s="1"/>
  <c r="L40" i="56"/>
  <c r="O501" i="19" s="1"/>
  <c r="O578" i="19" s="1"/>
  <c r="K40" i="56"/>
  <c r="O346" i="19" s="1"/>
  <c r="O423" i="19" s="1"/>
  <c r="J40" i="56"/>
  <c r="O191" i="19" s="1"/>
  <c r="O268" i="19" s="1"/>
  <c r="I40" i="56"/>
  <c r="O36" i="19" s="1"/>
  <c r="O113" i="19" s="1"/>
  <c r="H40" i="56"/>
  <c r="G40" i="56"/>
  <c r="N39" i="56"/>
  <c r="O810" i="19" s="1"/>
  <c r="O887" i="19" s="1"/>
  <c r="M39" i="56"/>
  <c r="O655" i="19" s="1"/>
  <c r="O732" i="19" s="1"/>
  <c r="L39" i="56"/>
  <c r="O500" i="19" s="1"/>
  <c r="O577" i="19" s="1"/>
  <c r="K39" i="56"/>
  <c r="O345" i="19" s="1"/>
  <c r="O422" i="19" s="1"/>
  <c r="J39" i="56"/>
  <c r="O190" i="19" s="1"/>
  <c r="O267" i="19" s="1"/>
  <c r="I39" i="56"/>
  <c r="O35" i="19" s="1"/>
  <c r="O112" i="19" s="1"/>
  <c r="H39" i="56"/>
  <c r="G39" i="56"/>
  <c r="N38" i="56"/>
  <c r="O809" i="19" s="1"/>
  <c r="O886" i="19" s="1"/>
  <c r="M38" i="56"/>
  <c r="O654" i="19" s="1"/>
  <c r="O731" i="19" s="1"/>
  <c r="L38" i="56"/>
  <c r="O499" i="19" s="1"/>
  <c r="O576" i="19" s="1"/>
  <c r="K38" i="56"/>
  <c r="O344" i="19" s="1"/>
  <c r="O421" i="19" s="1"/>
  <c r="J38" i="56"/>
  <c r="O189" i="19" s="1"/>
  <c r="O266" i="19" s="1"/>
  <c r="I38" i="56"/>
  <c r="O34" i="19" s="1"/>
  <c r="O111" i="19" s="1"/>
  <c r="H38" i="56"/>
  <c r="G38" i="56"/>
  <c r="F38" i="56"/>
  <c r="N37" i="56"/>
  <c r="O807" i="19" s="1"/>
  <c r="O884" i="19" s="1"/>
  <c r="L37" i="56"/>
  <c r="O497" i="19" s="1"/>
  <c r="O574" i="19" s="1"/>
  <c r="J37" i="56"/>
  <c r="O187" i="19" s="1"/>
  <c r="O264" i="19" s="1"/>
  <c r="I36" i="56"/>
  <c r="O31" i="19" s="1"/>
  <c r="O108" i="19" s="1"/>
  <c r="H36" i="56"/>
  <c r="G36" i="56"/>
  <c r="I35" i="56"/>
  <c r="O30" i="19" s="1"/>
  <c r="O107" i="19" s="1"/>
  <c r="H35" i="56"/>
  <c r="G35" i="56"/>
  <c r="I34" i="56"/>
  <c r="O29" i="19" s="1"/>
  <c r="O106" i="19" s="1"/>
  <c r="H34" i="56"/>
  <c r="G34" i="56"/>
  <c r="N33" i="56"/>
  <c r="O803" i="19" s="1"/>
  <c r="O880" i="19" s="1"/>
  <c r="M33" i="56"/>
  <c r="O648" i="19" s="1"/>
  <c r="O725" i="19" s="1"/>
  <c r="L33" i="56"/>
  <c r="O493" i="19" s="1"/>
  <c r="O570" i="19" s="1"/>
  <c r="K33" i="56"/>
  <c r="O338" i="19" s="1"/>
  <c r="O415" i="19" s="1"/>
  <c r="J33" i="56"/>
  <c r="O183" i="19" s="1"/>
  <c r="O260" i="19" s="1"/>
  <c r="I33" i="56"/>
  <c r="O28" i="19" s="1"/>
  <c r="O105" i="19" s="1"/>
  <c r="H33" i="56"/>
  <c r="G33" i="56"/>
  <c r="N32" i="56"/>
  <c r="O802" i="19" s="1"/>
  <c r="O879" i="19" s="1"/>
  <c r="M32" i="56"/>
  <c r="O647" i="19" s="1"/>
  <c r="O724" i="19" s="1"/>
  <c r="L32" i="56"/>
  <c r="O492" i="19" s="1"/>
  <c r="O569" i="19" s="1"/>
  <c r="K32" i="56"/>
  <c r="O337" i="19" s="1"/>
  <c r="O414" i="19" s="1"/>
  <c r="J32" i="56"/>
  <c r="O182" i="19" s="1"/>
  <c r="O259" i="19" s="1"/>
  <c r="I32" i="56"/>
  <c r="O27" i="19" s="1"/>
  <c r="O104" i="19" s="1"/>
  <c r="H32" i="56"/>
  <c r="G32" i="56"/>
  <c r="F32" i="56"/>
  <c r="I30" i="56"/>
  <c r="O24" i="19" s="1"/>
  <c r="O101" i="19" s="1"/>
  <c r="H30" i="56"/>
  <c r="G30" i="56"/>
  <c r="I29" i="56"/>
  <c r="O23" i="19" s="1"/>
  <c r="O100" i="19" s="1"/>
  <c r="H29" i="56"/>
  <c r="G29" i="56"/>
  <c r="N28" i="56"/>
  <c r="O797" i="19" s="1"/>
  <c r="O874" i="19" s="1"/>
  <c r="M28" i="56"/>
  <c r="O642" i="19" s="1"/>
  <c r="O719" i="19" s="1"/>
  <c r="L28" i="56"/>
  <c r="O487" i="19" s="1"/>
  <c r="O564" i="19" s="1"/>
  <c r="K28" i="56"/>
  <c r="O332" i="19" s="1"/>
  <c r="O409" i="19" s="1"/>
  <c r="J28" i="56"/>
  <c r="O177" i="19" s="1"/>
  <c r="O254" i="19" s="1"/>
  <c r="H28" i="56"/>
  <c r="G28" i="56"/>
  <c r="N27" i="56"/>
  <c r="O796" i="19" s="1"/>
  <c r="O873" i="19" s="1"/>
  <c r="M27" i="56"/>
  <c r="O641" i="19" s="1"/>
  <c r="O718" i="19" s="1"/>
  <c r="L27" i="56"/>
  <c r="O486" i="19" s="1"/>
  <c r="O563" i="19" s="1"/>
  <c r="K27" i="56"/>
  <c r="O331" i="19" s="1"/>
  <c r="O408" i="19" s="1"/>
  <c r="J27" i="56"/>
  <c r="O176" i="19" s="1"/>
  <c r="O253" i="19" s="1"/>
  <c r="H27" i="56"/>
  <c r="G27" i="56"/>
  <c r="N26" i="56"/>
  <c r="O795" i="19" s="1"/>
  <c r="O872" i="19" s="1"/>
  <c r="M26" i="56"/>
  <c r="O640" i="19" s="1"/>
  <c r="O717" i="19" s="1"/>
  <c r="L26" i="56"/>
  <c r="O485" i="19" s="1"/>
  <c r="O562" i="19" s="1"/>
  <c r="K26" i="56"/>
  <c r="O330" i="19" s="1"/>
  <c r="O407" i="19" s="1"/>
  <c r="J26" i="56"/>
  <c r="O175" i="19" s="1"/>
  <c r="O252" i="19" s="1"/>
  <c r="H26" i="56"/>
  <c r="G26" i="56"/>
  <c r="F26" i="56"/>
  <c r="M25" i="56"/>
  <c r="O638" i="19" s="1"/>
  <c r="K25" i="56"/>
  <c r="O328" i="19" s="1"/>
  <c r="I24" i="56"/>
  <c r="O17" i="19" s="1"/>
  <c r="O94" i="19" s="1"/>
  <c r="H24" i="56"/>
  <c r="G24" i="56"/>
  <c r="N23" i="56"/>
  <c r="O791" i="19" s="1"/>
  <c r="O868" i="19" s="1"/>
  <c r="M23" i="56"/>
  <c r="O636" i="19" s="1"/>
  <c r="O713" i="19" s="1"/>
  <c r="L23" i="56"/>
  <c r="O481" i="19" s="1"/>
  <c r="O558" i="19" s="1"/>
  <c r="K23" i="56"/>
  <c r="O326" i="19" s="1"/>
  <c r="O403" i="19" s="1"/>
  <c r="J23" i="56"/>
  <c r="O171" i="19" s="1"/>
  <c r="O248" i="19" s="1"/>
  <c r="H23" i="56"/>
  <c r="G23" i="56"/>
  <c r="N22" i="56"/>
  <c r="O790" i="19" s="1"/>
  <c r="O867" i="19" s="1"/>
  <c r="M22" i="56"/>
  <c r="O635" i="19" s="1"/>
  <c r="O712" i="19" s="1"/>
  <c r="L22" i="56"/>
  <c r="O480" i="19" s="1"/>
  <c r="O557" i="19" s="1"/>
  <c r="K22" i="56"/>
  <c r="O325" i="19" s="1"/>
  <c r="O402" i="19" s="1"/>
  <c r="J22" i="56"/>
  <c r="O170" i="19" s="1"/>
  <c r="O247" i="19" s="1"/>
  <c r="H22" i="56"/>
  <c r="G22" i="56"/>
  <c r="N21" i="56"/>
  <c r="O789" i="19" s="1"/>
  <c r="O866" i="19" s="1"/>
  <c r="M21" i="56"/>
  <c r="O634" i="19" s="1"/>
  <c r="O711" i="19" s="1"/>
  <c r="L21" i="56"/>
  <c r="O479" i="19" s="1"/>
  <c r="O556" i="19" s="1"/>
  <c r="K21" i="56"/>
  <c r="O324" i="19" s="1"/>
  <c r="O401" i="19" s="1"/>
  <c r="J21" i="56"/>
  <c r="O169" i="19" s="1"/>
  <c r="O246" i="19" s="1"/>
  <c r="H21" i="56"/>
  <c r="G21" i="56"/>
  <c r="N20" i="56"/>
  <c r="O788" i="19" s="1"/>
  <c r="O865" i="19" s="1"/>
  <c r="M20" i="56"/>
  <c r="O633" i="19" s="1"/>
  <c r="O710" i="19" s="1"/>
  <c r="L20" i="56"/>
  <c r="O478" i="19" s="1"/>
  <c r="O555" i="19" s="1"/>
  <c r="K20" i="56"/>
  <c r="O323" i="19" s="1"/>
  <c r="O400" i="19" s="1"/>
  <c r="J20" i="56"/>
  <c r="O168" i="19" s="1"/>
  <c r="O245" i="19" s="1"/>
  <c r="H20" i="56"/>
  <c r="G20" i="56"/>
  <c r="F20" i="56"/>
  <c r="N19" i="56"/>
  <c r="M19" i="56"/>
  <c r="L19" i="56"/>
  <c r="K19" i="56"/>
  <c r="J19" i="56"/>
  <c r="B14" i="56"/>
  <c r="F12" i="56"/>
  <c r="H152" i="56" s="1"/>
  <c r="N9" i="56"/>
  <c r="M9" i="56"/>
  <c r="L9" i="56"/>
  <c r="K9" i="56"/>
  <c r="J9" i="56"/>
  <c r="B6" i="56"/>
  <c r="B2" i="56"/>
  <c r="B1" i="56"/>
  <c r="H18" i="21" s="1"/>
  <c r="F169" i="55"/>
  <c r="F168" i="55"/>
  <c r="F167" i="55"/>
  <c r="F166" i="55"/>
  <c r="N165" i="55"/>
  <c r="M165" i="55"/>
  <c r="L165" i="55"/>
  <c r="K165" i="55"/>
  <c r="J165" i="55"/>
  <c r="F164" i="55"/>
  <c r="F162" i="55"/>
  <c r="F161" i="55"/>
  <c r="F160" i="55"/>
  <c r="F159" i="55"/>
  <c r="N158" i="55"/>
  <c r="M158" i="55"/>
  <c r="L158" i="55"/>
  <c r="K158" i="55"/>
  <c r="J158" i="55"/>
  <c r="F157" i="55"/>
  <c r="B155" i="55"/>
  <c r="N149" i="55"/>
  <c r="M149" i="55"/>
  <c r="L149" i="55"/>
  <c r="K149" i="55"/>
  <c r="J149" i="55"/>
  <c r="H149" i="55"/>
  <c r="G149" i="55"/>
  <c r="N148" i="55"/>
  <c r="M148" i="55"/>
  <c r="L148" i="55"/>
  <c r="K148" i="55"/>
  <c r="J148" i="55"/>
  <c r="H148" i="55"/>
  <c r="G148" i="55"/>
  <c r="N147" i="55"/>
  <c r="M147" i="55"/>
  <c r="L147" i="55"/>
  <c r="K147" i="55"/>
  <c r="J147" i="55"/>
  <c r="H147" i="55"/>
  <c r="G147" i="55"/>
  <c r="N146" i="55"/>
  <c r="M146" i="55"/>
  <c r="L146" i="55"/>
  <c r="K146" i="55"/>
  <c r="J146" i="55"/>
  <c r="H146" i="55"/>
  <c r="G146" i="55"/>
  <c r="N145" i="55"/>
  <c r="M145" i="55"/>
  <c r="L145" i="55"/>
  <c r="K145" i="55"/>
  <c r="J145" i="55"/>
  <c r="H145" i="55"/>
  <c r="G145" i="55"/>
  <c r="F145" i="55"/>
  <c r="N143" i="55"/>
  <c r="M143" i="55"/>
  <c r="L143" i="55"/>
  <c r="K143" i="55"/>
  <c r="J143" i="55"/>
  <c r="H143" i="55"/>
  <c r="G143" i="55"/>
  <c r="N142" i="55"/>
  <c r="M142" i="55"/>
  <c r="L142" i="55"/>
  <c r="K142" i="55"/>
  <c r="J142" i="55"/>
  <c r="H142" i="55"/>
  <c r="G142" i="55"/>
  <c r="N141" i="55"/>
  <c r="M141" i="55"/>
  <c r="L141" i="55"/>
  <c r="K141" i="55"/>
  <c r="J141" i="55"/>
  <c r="H141" i="55"/>
  <c r="G141" i="55"/>
  <c r="N140" i="55"/>
  <c r="M140" i="55"/>
  <c r="L140" i="55"/>
  <c r="K140" i="55"/>
  <c r="J140" i="55"/>
  <c r="H140" i="55"/>
  <c r="G140" i="55"/>
  <c r="N139" i="55"/>
  <c r="M139" i="55"/>
  <c r="L139" i="55"/>
  <c r="K139" i="55"/>
  <c r="J139" i="55"/>
  <c r="H139" i="55"/>
  <c r="G139" i="55"/>
  <c r="F139" i="55"/>
  <c r="N137" i="55"/>
  <c r="M137" i="55"/>
  <c r="L137" i="55"/>
  <c r="K137" i="55"/>
  <c r="J137" i="55"/>
  <c r="H137" i="55"/>
  <c r="G137" i="55"/>
  <c r="N136" i="55"/>
  <c r="M136" i="55"/>
  <c r="L136" i="55"/>
  <c r="K136" i="55"/>
  <c r="J136" i="55"/>
  <c r="H136" i="55"/>
  <c r="G136" i="55"/>
  <c r="N135" i="55"/>
  <c r="M135" i="55"/>
  <c r="L135" i="55"/>
  <c r="K135" i="55"/>
  <c r="J135" i="55"/>
  <c r="H135" i="55"/>
  <c r="G135" i="55"/>
  <c r="N134" i="55"/>
  <c r="M134" i="55"/>
  <c r="L134" i="55"/>
  <c r="K134" i="55"/>
  <c r="J134" i="55"/>
  <c r="H134" i="55"/>
  <c r="G134" i="55"/>
  <c r="N133" i="55"/>
  <c r="M133" i="55"/>
  <c r="L133" i="55"/>
  <c r="K133" i="55"/>
  <c r="J133" i="55"/>
  <c r="H133" i="55"/>
  <c r="G133" i="55"/>
  <c r="F133" i="55"/>
  <c r="N131" i="55"/>
  <c r="M131" i="55"/>
  <c r="L131" i="55"/>
  <c r="K131" i="55"/>
  <c r="J131" i="55"/>
  <c r="H131" i="55"/>
  <c r="G131" i="55"/>
  <c r="N130" i="55"/>
  <c r="M130" i="55"/>
  <c r="L130" i="55"/>
  <c r="K130" i="55"/>
  <c r="J130" i="55"/>
  <c r="H130" i="55"/>
  <c r="G130" i="55"/>
  <c r="N129" i="55"/>
  <c r="M129" i="55"/>
  <c r="L129" i="55"/>
  <c r="K129" i="55"/>
  <c r="J129" i="55"/>
  <c r="H129" i="55"/>
  <c r="G129" i="55"/>
  <c r="N128" i="55"/>
  <c r="M128" i="55"/>
  <c r="L128" i="55"/>
  <c r="K128" i="55"/>
  <c r="J128" i="55"/>
  <c r="H128" i="55"/>
  <c r="G128" i="55"/>
  <c r="N127" i="55"/>
  <c r="M127" i="55"/>
  <c r="L127" i="55"/>
  <c r="K127" i="55"/>
  <c r="J127" i="55"/>
  <c r="H127" i="55"/>
  <c r="G127" i="55"/>
  <c r="F127" i="55"/>
  <c r="N125" i="55"/>
  <c r="M125" i="55"/>
  <c r="L125" i="55"/>
  <c r="K125" i="55"/>
  <c r="J125" i="55"/>
  <c r="H125" i="55"/>
  <c r="G125" i="55"/>
  <c r="N124" i="55"/>
  <c r="M124" i="55"/>
  <c r="L124" i="55"/>
  <c r="K124" i="55"/>
  <c r="J124" i="55"/>
  <c r="H124" i="55"/>
  <c r="G124" i="55"/>
  <c r="N123" i="55"/>
  <c r="M123" i="55"/>
  <c r="L123" i="55"/>
  <c r="K123" i="55"/>
  <c r="J123" i="55"/>
  <c r="H123" i="55"/>
  <c r="G123" i="55"/>
  <c r="N122" i="55"/>
  <c r="M122" i="55"/>
  <c r="L122" i="55"/>
  <c r="K122" i="55"/>
  <c r="J122" i="55"/>
  <c r="H122" i="55"/>
  <c r="G122" i="55"/>
  <c r="N121" i="55"/>
  <c r="M121" i="55"/>
  <c r="L121" i="55"/>
  <c r="K121" i="55"/>
  <c r="J121" i="55"/>
  <c r="H121" i="55"/>
  <c r="G121" i="55"/>
  <c r="F121" i="55"/>
  <c r="N119" i="55"/>
  <c r="M119" i="55"/>
  <c r="L119" i="55"/>
  <c r="K119" i="55"/>
  <c r="J119" i="55"/>
  <c r="H119" i="55"/>
  <c r="G119" i="55"/>
  <c r="N118" i="55"/>
  <c r="M118" i="55"/>
  <c r="L118" i="55"/>
  <c r="K118" i="55"/>
  <c r="J118" i="55"/>
  <c r="H118" i="55"/>
  <c r="G118" i="55"/>
  <c r="H117" i="55"/>
  <c r="G117" i="55"/>
  <c r="H116" i="55"/>
  <c r="G116" i="55"/>
  <c r="H115" i="55"/>
  <c r="G115" i="55"/>
  <c r="F115" i="55"/>
  <c r="N113" i="55"/>
  <c r="M113" i="55"/>
  <c r="L113" i="55"/>
  <c r="K113" i="55"/>
  <c r="J113" i="55"/>
  <c r="H113" i="55"/>
  <c r="G113" i="55"/>
  <c r="N112" i="55"/>
  <c r="M112" i="55"/>
  <c r="L112" i="55"/>
  <c r="K112" i="55"/>
  <c r="J112" i="55"/>
  <c r="H112" i="55"/>
  <c r="G112" i="55"/>
  <c r="H111" i="55"/>
  <c r="G111" i="55"/>
  <c r="H110" i="55"/>
  <c r="G110" i="55"/>
  <c r="H109" i="55"/>
  <c r="G109" i="55"/>
  <c r="F109" i="55"/>
  <c r="N107" i="55"/>
  <c r="M107" i="55"/>
  <c r="L107" i="55"/>
  <c r="K107" i="55"/>
  <c r="J107" i="55"/>
  <c r="H107" i="55"/>
  <c r="G107" i="55"/>
  <c r="N106" i="55"/>
  <c r="M106" i="55"/>
  <c r="L106" i="55"/>
  <c r="K106" i="55"/>
  <c r="J106" i="55"/>
  <c r="H106" i="55"/>
  <c r="G106" i="55"/>
  <c r="N105" i="55"/>
  <c r="M105" i="55"/>
  <c r="L105" i="55"/>
  <c r="K105" i="55"/>
  <c r="J105" i="55"/>
  <c r="H105" i="55"/>
  <c r="G105" i="55"/>
  <c r="H104" i="55"/>
  <c r="G104" i="55"/>
  <c r="H103" i="55"/>
  <c r="G103" i="55"/>
  <c r="F103" i="55"/>
  <c r="N101" i="55"/>
  <c r="M101" i="55"/>
  <c r="L101" i="55"/>
  <c r="K101" i="55"/>
  <c r="J101" i="55"/>
  <c r="H101" i="55"/>
  <c r="G101" i="55"/>
  <c r="N100" i="55"/>
  <c r="M100" i="55"/>
  <c r="L100" i="55"/>
  <c r="K100" i="55"/>
  <c r="J100" i="55"/>
  <c r="H100" i="55"/>
  <c r="G100" i="55"/>
  <c r="H99" i="55"/>
  <c r="G99" i="55"/>
  <c r="H98" i="55"/>
  <c r="G98" i="55"/>
  <c r="H97" i="55"/>
  <c r="G97" i="55"/>
  <c r="F97" i="55"/>
  <c r="N95" i="55"/>
  <c r="M95" i="55"/>
  <c r="L95" i="55"/>
  <c r="K95" i="55"/>
  <c r="J95" i="55"/>
  <c r="H95" i="55"/>
  <c r="G95" i="55"/>
  <c r="H94" i="55"/>
  <c r="G94" i="55"/>
  <c r="H93" i="55"/>
  <c r="G93" i="55"/>
  <c r="H92" i="55"/>
  <c r="G92" i="55"/>
  <c r="H91" i="55"/>
  <c r="G91" i="55"/>
  <c r="F91" i="55"/>
  <c r="N90" i="55"/>
  <c r="M90" i="55"/>
  <c r="L90" i="55"/>
  <c r="K90" i="55"/>
  <c r="J90" i="55"/>
  <c r="N79" i="55"/>
  <c r="N856" i="19" s="1"/>
  <c r="N933" i="19" s="1"/>
  <c r="M79" i="55"/>
  <c r="N701" i="19" s="1"/>
  <c r="N778" i="19" s="1"/>
  <c r="L79" i="55"/>
  <c r="N546" i="19" s="1"/>
  <c r="N623" i="19" s="1"/>
  <c r="K79" i="55"/>
  <c r="N391" i="19" s="1"/>
  <c r="N468" i="19" s="1"/>
  <c r="J79" i="55"/>
  <c r="N236" i="19" s="1"/>
  <c r="N313" i="19" s="1"/>
  <c r="I78" i="55"/>
  <c r="N80" i="19" s="1"/>
  <c r="N157" i="19" s="1"/>
  <c r="H78" i="55"/>
  <c r="G78" i="55"/>
  <c r="I77" i="55"/>
  <c r="N79" i="19" s="1"/>
  <c r="N156" i="19" s="1"/>
  <c r="H77" i="55"/>
  <c r="G77" i="55"/>
  <c r="I76" i="55"/>
  <c r="N78" i="19" s="1"/>
  <c r="N155" i="19" s="1"/>
  <c r="H76" i="55"/>
  <c r="G76" i="55"/>
  <c r="I75" i="55"/>
  <c r="N77" i="19" s="1"/>
  <c r="N154" i="19" s="1"/>
  <c r="H75" i="55"/>
  <c r="G75" i="55"/>
  <c r="I74" i="55"/>
  <c r="N76" i="19" s="1"/>
  <c r="N153" i="19" s="1"/>
  <c r="H74" i="55"/>
  <c r="G74" i="55"/>
  <c r="F74" i="55"/>
  <c r="N73" i="55"/>
  <c r="N849" i="19" s="1"/>
  <c r="N926" i="19" s="1"/>
  <c r="M73" i="55"/>
  <c r="N694" i="19" s="1"/>
  <c r="N771" i="19" s="1"/>
  <c r="L73" i="55"/>
  <c r="N539" i="19" s="1"/>
  <c r="N616" i="19" s="1"/>
  <c r="K73" i="55"/>
  <c r="N384" i="19" s="1"/>
  <c r="N461" i="19" s="1"/>
  <c r="J73" i="55"/>
  <c r="N229" i="19" s="1"/>
  <c r="N306" i="19" s="1"/>
  <c r="I72" i="55"/>
  <c r="N73" i="19" s="1"/>
  <c r="N150" i="19" s="1"/>
  <c r="H72" i="55"/>
  <c r="G72" i="55"/>
  <c r="I71" i="55"/>
  <c r="N72" i="19" s="1"/>
  <c r="N149" i="19" s="1"/>
  <c r="H71" i="55"/>
  <c r="G71" i="55"/>
  <c r="I70" i="55"/>
  <c r="N71" i="19" s="1"/>
  <c r="N148" i="19" s="1"/>
  <c r="H70" i="55"/>
  <c r="G70" i="55"/>
  <c r="I69" i="55"/>
  <c r="N70" i="19" s="1"/>
  <c r="N147" i="19" s="1"/>
  <c r="H69" i="55"/>
  <c r="G69" i="55"/>
  <c r="I68" i="55"/>
  <c r="N69" i="19" s="1"/>
  <c r="N146" i="19" s="1"/>
  <c r="H68" i="55"/>
  <c r="G68" i="55"/>
  <c r="F68" i="55"/>
  <c r="N67" i="55"/>
  <c r="N842" i="19" s="1"/>
  <c r="N919" i="19" s="1"/>
  <c r="M67" i="55"/>
  <c r="N687" i="19" s="1"/>
  <c r="N764" i="19" s="1"/>
  <c r="L67" i="55"/>
  <c r="N532" i="19" s="1"/>
  <c r="N609" i="19" s="1"/>
  <c r="K67" i="55"/>
  <c r="N377" i="19" s="1"/>
  <c r="N454" i="19" s="1"/>
  <c r="J67" i="55"/>
  <c r="N222" i="19" s="1"/>
  <c r="N299" i="19" s="1"/>
  <c r="I66" i="55"/>
  <c r="N66" i="19" s="1"/>
  <c r="N143" i="19" s="1"/>
  <c r="H66" i="55"/>
  <c r="G66" i="55"/>
  <c r="I65" i="55"/>
  <c r="N65" i="19" s="1"/>
  <c r="N142" i="19" s="1"/>
  <c r="H65" i="55"/>
  <c r="G65" i="55"/>
  <c r="I64" i="55"/>
  <c r="N64" i="19" s="1"/>
  <c r="N141" i="19" s="1"/>
  <c r="H64" i="55"/>
  <c r="G64" i="55"/>
  <c r="I63" i="55"/>
  <c r="N63" i="19" s="1"/>
  <c r="N140" i="19" s="1"/>
  <c r="H63" i="55"/>
  <c r="G63" i="55"/>
  <c r="I62" i="55"/>
  <c r="N62" i="19" s="1"/>
  <c r="N139" i="19" s="1"/>
  <c r="H62" i="55"/>
  <c r="G62" i="55"/>
  <c r="F62" i="55"/>
  <c r="N61" i="55"/>
  <c r="N835" i="19" s="1"/>
  <c r="N912" i="19" s="1"/>
  <c r="M61" i="55"/>
  <c r="N680" i="19" s="1"/>
  <c r="N757" i="19" s="1"/>
  <c r="L61" i="55"/>
  <c r="N525" i="19" s="1"/>
  <c r="N602" i="19" s="1"/>
  <c r="K61" i="55"/>
  <c r="N370" i="19" s="1"/>
  <c r="N447" i="19" s="1"/>
  <c r="J61" i="55"/>
  <c r="N215" i="19" s="1"/>
  <c r="N292" i="19" s="1"/>
  <c r="I60" i="55"/>
  <c r="N59" i="19" s="1"/>
  <c r="N136" i="19" s="1"/>
  <c r="H60" i="55"/>
  <c r="G60" i="55"/>
  <c r="I59" i="55"/>
  <c r="N58" i="19" s="1"/>
  <c r="N135" i="19" s="1"/>
  <c r="H59" i="55"/>
  <c r="G59" i="55"/>
  <c r="I58" i="55"/>
  <c r="N57" i="19" s="1"/>
  <c r="N134" i="19" s="1"/>
  <c r="H58" i="55"/>
  <c r="G58" i="55"/>
  <c r="I57" i="55"/>
  <c r="N56" i="19" s="1"/>
  <c r="N133" i="19" s="1"/>
  <c r="H57" i="55"/>
  <c r="G57" i="55"/>
  <c r="I56" i="55"/>
  <c r="N55" i="19" s="1"/>
  <c r="N132" i="19" s="1"/>
  <c r="H56" i="55"/>
  <c r="G56" i="55"/>
  <c r="F56" i="55"/>
  <c r="N55" i="55"/>
  <c r="N828" i="19" s="1"/>
  <c r="N905" i="19" s="1"/>
  <c r="M55" i="55"/>
  <c r="N673" i="19" s="1"/>
  <c r="N750" i="19" s="1"/>
  <c r="L55" i="55"/>
  <c r="N518" i="19" s="1"/>
  <c r="N595" i="19" s="1"/>
  <c r="K55" i="55"/>
  <c r="N363" i="19" s="1"/>
  <c r="N440" i="19" s="1"/>
  <c r="J55" i="55"/>
  <c r="N208" i="19" s="1"/>
  <c r="N285" i="19" s="1"/>
  <c r="I54" i="55"/>
  <c r="N52" i="19" s="1"/>
  <c r="N129" i="19" s="1"/>
  <c r="H54" i="55"/>
  <c r="G54" i="55"/>
  <c r="I53" i="55"/>
  <c r="N51" i="19" s="1"/>
  <c r="N128" i="19" s="1"/>
  <c r="H53" i="55"/>
  <c r="G53" i="55"/>
  <c r="I52" i="55"/>
  <c r="N50" i="19" s="1"/>
  <c r="N127" i="19" s="1"/>
  <c r="H52" i="55"/>
  <c r="G52" i="55"/>
  <c r="I51" i="55"/>
  <c r="N49" i="19" s="1"/>
  <c r="N126" i="19" s="1"/>
  <c r="H51" i="55"/>
  <c r="G51" i="55"/>
  <c r="I50" i="55"/>
  <c r="N48" i="19" s="1"/>
  <c r="N125" i="19" s="1"/>
  <c r="H50" i="55"/>
  <c r="G50" i="55"/>
  <c r="F50" i="55"/>
  <c r="I48" i="55"/>
  <c r="N45" i="19" s="1"/>
  <c r="N122" i="19" s="1"/>
  <c r="H48" i="55"/>
  <c r="G48" i="55"/>
  <c r="I47" i="55"/>
  <c r="N44" i="19" s="1"/>
  <c r="N121" i="19" s="1"/>
  <c r="H47" i="55"/>
  <c r="G47" i="55"/>
  <c r="N46" i="55"/>
  <c r="N818" i="19" s="1"/>
  <c r="N895" i="19" s="1"/>
  <c r="M46" i="55"/>
  <c r="N663" i="19" s="1"/>
  <c r="N740" i="19" s="1"/>
  <c r="L46" i="55"/>
  <c r="N508" i="19" s="1"/>
  <c r="N585" i="19" s="1"/>
  <c r="K46" i="55"/>
  <c r="N353" i="19" s="1"/>
  <c r="N430" i="19" s="1"/>
  <c r="J46" i="55"/>
  <c r="N198" i="19" s="1"/>
  <c r="N275" i="19" s="1"/>
  <c r="H46" i="55"/>
  <c r="G46" i="55"/>
  <c r="N45" i="55"/>
  <c r="N817" i="19" s="1"/>
  <c r="N894" i="19" s="1"/>
  <c r="M45" i="55"/>
  <c r="N662" i="19" s="1"/>
  <c r="N739" i="19" s="1"/>
  <c r="L45" i="55"/>
  <c r="N507" i="19" s="1"/>
  <c r="N584" i="19" s="1"/>
  <c r="K45" i="55"/>
  <c r="N352" i="19" s="1"/>
  <c r="N429" i="19" s="1"/>
  <c r="J45" i="55"/>
  <c r="N197" i="19" s="1"/>
  <c r="N274" i="19" s="1"/>
  <c r="H45" i="55"/>
  <c r="G45" i="55"/>
  <c r="N44" i="55"/>
  <c r="N816" i="19" s="1"/>
  <c r="N893" i="19" s="1"/>
  <c r="M44" i="55"/>
  <c r="N661" i="19" s="1"/>
  <c r="N738" i="19" s="1"/>
  <c r="L44" i="55"/>
  <c r="N506" i="19" s="1"/>
  <c r="N583" i="19" s="1"/>
  <c r="K44" i="55"/>
  <c r="N351" i="19" s="1"/>
  <c r="N428" i="19" s="1"/>
  <c r="J44" i="55"/>
  <c r="N196" i="19" s="1"/>
  <c r="N273" i="19" s="1"/>
  <c r="H44" i="55"/>
  <c r="G44" i="55"/>
  <c r="F44" i="55"/>
  <c r="I42" i="55"/>
  <c r="N38" i="19" s="1"/>
  <c r="N115" i="19" s="1"/>
  <c r="H42" i="55"/>
  <c r="G42" i="55"/>
  <c r="I41" i="55"/>
  <c r="N37" i="19" s="1"/>
  <c r="N114" i="19" s="1"/>
  <c r="H41" i="55"/>
  <c r="G41" i="55"/>
  <c r="N40" i="55"/>
  <c r="N811" i="19" s="1"/>
  <c r="N888" i="19" s="1"/>
  <c r="M40" i="55"/>
  <c r="N656" i="19" s="1"/>
  <c r="N733" i="19" s="1"/>
  <c r="L40" i="55"/>
  <c r="N501" i="19" s="1"/>
  <c r="N578" i="19" s="1"/>
  <c r="K40" i="55"/>
  <c r="N346" i="19" s="1"/>
  <c r="N423" i="19" s="1"/>
  <c r="J40" i="55"/>
  <c r="N191" i="19" s="1"/>
  <c r="N268" i="19" s="1"/>
  <c r="I40" i="55"/>
  <c r="N36" i="19" s="1"/>
  <c r="N113" i="19" s="1"/>
  <c r="H40" i="55"/>
  <c r="G40" i="55"/>
  <c r="N39" i="55"/>
  <c r="N810" i="19" s="1"/>
  <c r="N887" i="19" s="1"/>
  <c r="M39" i="55"/>
  <c r="N655" i="19" s="1"/>
  <c r="N732" i="19" s="1"/>
  <c r="L39" i="55"/>
  <c r="N500" i="19" s="1"/>
  <c r="N577" i="19" s="1"/>
  <c r="K39" i="55"/>
  <c r="N345" i="19" s="1"/>
  <c r="N422" i="19" s="1"/>
  <c r="J39" i="55"/>
  <c r="N190" i="19" s="1"/>
  <c r="N267" i="19" s="1"/>
  <c r="I39" i="55"/>
  <c r="N35" i="19" s="1"/>
  <c r="N112" i="19" s="1"/>
  <c r="H39" i="55"/>
  <c r="G39" i="55"/>
  <c r="N38" i="55"/>
  <c r="N809" i="19" s="1"/>
  <c r="N886" i="19" s="1"/>
  <c r="M38" i="55"/>
  <c r="N654" i="19" s="1"/>
  <c r="N731" i="19" s="1"/>
  <c r="L38" i="55"/>
  <c r="N499" i="19" s="1"/>
  <c r="N576" i="19" s="1"/>
  <c r="K38" i="55"/>
  <c r="N344" i="19" s="1"/>
  <c r="N421" i="19" s="1"/>
  <c r="J38" i="55"/>
  <c r="N189" i="19" s="1"/>
  <c r="N266" i="19" s="1"/>
  <c r="I38" i="55"/>
  <c r="N34" i="19" s="1"/>
  <c r="N111" i="19" s="1"/>
  <c r="H38" i="55"/>
  <c r="G38" i="55"/>
  <c r="F38" i="55"/>
  <c r="N37" i="55"/>
  <c r="N807" i="19" s="1"/>
  <c r="N884" i="19" s="1"/>
  <c r="L37" i="55"/>
  <c r="N497" i="19" s="1"/>
  <c r="N574" i="19" s="1"/>
  <c r="J37" i="55"/>
  <c r="N187" i="19" s="1"/>
  <c r="N264" i="19" s="1"/>
  <c r="I36" i="55"/>
  <c r="N31" i="19" s="1"/>
  <c r="N108" i="19" s="1"/>
  <c r="H36" i="55"/>
  <c r="G36" i="55"/>
  <c r="I35" i="55"/>
  <c r="N30" i="19" s="1"/>
  <c r="N107" i="19" s="1"/>
  <c r="H35" i="55"/>
  <c r="G35" i="55"/>
  <c r="I34" i="55"/>
  <c r="N29" i="19" s="1"/>
  <c r="N106" i="19" s="1"/>
  <c r="H34" i="55"/>
  <c r="G34" i="55"/>
  <c r="N33" i="55"/>
  <c r="N803" i="19" s="1"/>
  <c r="N880" i="19" s="1"/>
  <c r="M33" i="55"/>
  <c r="N648" i="19" s="1"/>
  <c r="N725" i="19" s="1"/>
  <c r="L33" i="55"/>
  <c r="N493" i="19" s="1"/>
  <c r="N570" i="19" s="1"/>
  <c r="K33" i="55"/>
  <c r="N338" i="19" s="1"/>
  <c r="N415" i="19" s="1"/>
  <c r="J33" i="55"/>
  <c r="N183" i="19" s="1"/>
  <c r="N260" i="19" s="1"/>
  <c r="I33" i="55"/>
  <c r="N28" i="19" s="1"/>
  <c r="N105" i="19" s="1"/>
  <c r="H33" i="55"/>
  <c r="G33" i="55"/>
  <c r="N32" i="55"/>
  <c r="N802" i="19" s="1"/>
  <c r="N879" i="19" s="1"/>
  <c r="M32" i="55"/>
  <c r="N647" i="19" s="1"/>
  <c r="N724" i="19" s="1"/>
  <c r="L32" i="55"/>
  <c r="N492" i="19" s="1"/>
  <c r="N569" i="19" s="1"/>
  <c r="K32" i="55"/>
  <c r="N337" i="19" s="1"/>
  <c r="N414" i="19" s="1"/>
  <c r="J32" i="55"/>
  <c r="N182" i="19" s="1"/>
  <c r="N259" i="19" s="1"/>
  <c r="I32" i="55"/>
  <c r="N27" i="19" s="1"/>
  <c r="N104" i="19" s="1"/>
  <c r="H32" i="55"/>
  <c r="G32" i="55"/>
  <c r="F32" i="55"/>
  <c r="I30" i="55"/>
  <c r="N24" i="19" s="1"/>
  <c r="N101" i="19" s="1"/>
  <c r="H30" i="55"/>
  <c r="G30" i="55"/>
  <c r="I29" i="55"/>
  <c r="N23" i="19" s="1"/>
  <c r="N100" i="19" s="1"/>
  <c r="H29" i="55"/>
  <c r="G29" i="55"/>
  <c r="N28" i="55"/>
  <c r="N797" i="19" s="1"/>
  <c r="N874" i="19" s="1"/>
  <c r="M28" i="55"/>
  <c r="N642" i="19" s="1"/>
  <c r="N719" i="19" s="1"/>
  <c r="L28" i="55"/>
  <c r="N487" i="19" s="1"/>
  <c r="N564" i="19" s="1"/>
  <c r="K28" i="55"/>
  <c r="N332" i="19" s="1"/>
  <c r="N409" i="19" s="1"/>
  <c r="J28" i="55"/>
  <c r="N177" i="19" s="1"/>
  <c r="N254" i="19" s="1"/>
  <c r="H28" i="55"/>
  <c r="G28" i="55"/>
  <c r="N27" i="55"/>
  <c r="N796" i="19" s="1"/>
  <c r="N873" i="19" s="1"/>
  <c r="M27" i="55"/>
  <c r="N641" i="19" s="1"/>
  <c r="N718" i="19" s="1"/>
  <c r="L27" i="55"/>
  <c r="N486" i="19" s="1"/>
  <c r="N563" i="19" s="1"/>
  <c r="K27" i="55"/>
  <c r="N331" i="19" s="1"/>
  <c r="N408" i="19" s="1"/>
  <c r="J27" i="55"/>
  <c r="N176" i="19" s="1"/>
  <c r="N253" i="19" s="1"/>
  <c r="H27" i="55"/>
  <c r="G27" i="55"/>
  <c r="N26" i="55"/>
  <c r="N795" i="19" s="1"/>
  <c r="N872" i="19" s="1"/>
  <c r="M26" i="55"/>
  <c r="N640" i="19" s="1"/>
  <c r="N717" i="19" s="1"/>
  <c r="L26" i="55"/>
  <c r="N485" i="19" s="1"/>
  <c r="N562" i="19" s="1"/>
  <c r="K26" i="55"/>
  <c r="N330" i="19" s="1"/>
  <c r="N407" i="19" s="1"/>
  <c r="J26" i="55"/>
  <c r="N175" i="19" s="1"/>
  <c r="N252" i="19" s="1"/>
  <c r="H26" i="55"/>
  <c r="G26" i="55"/>
  <c r="F26" i="55"/>
  <c r="I24" i="55"/>
  <c r="N17" i="19" s="1"/>
  <c r="N94" i="19" s="1"/>
  <c r="H24" i="55"/>
  <c r="G24" i="55"/>
  <c r="N23" i="55"/>
  <c r="N791" i="19" s="1"/>
  <c r="N868" i="19" s="1"/>
  <c r="M23" i="55"/>
  <c r="N636" i="19" s="1"/>
  <c r="N713" i="19" s="1"/>
  <c r="L23" i="55"/>
  <c r="N481" i="19" s="1"/>
  <c r="N558" i="19" s="1"/>
  <c r="K23" i="55"/>
  <c r="N326" i="19" s="1"/>
  <c r="N403" i="19" s="1"/>
  <c r="J23" i="55"/>
  <c r="N171" i="19" s="1"/>
  <c r="N248" i="19" s="1"/>
  <c r="H23" i="55"/>
  <c r="G23" i="55"/>
  <c r="N22" i="55"/>
  <c r="N790" i="19" s="1"/>
  <c r="N867" i="19" s="1"/>
  <c r="M22" i="55"/>
  <c r="N635" i="19" s="1"/>
  <c r="N712" i="19" s="1"/>
  <c r="L22" i="55"/>
  <c r="N480" i="19" s="1"/>
  <c r="N557" i="19" s="1"/>
  <c r="K22" i="55"/>
  <c r="N325" i="19" s="1"/>
  <c r="N402" i="19" s="1"/>
  <c r="J22" i="55"/>
  <c r="N170" i="19" s="1"/>
  <c r="N247" i="19" s="1"/>
  <c r="H22" i="55"/>
  <c r="G22" i="55"/>
  <c r="N21" i="55"/>
  <c r="N789" i="19" s="1"/>
  <c r="N866" i="19" s="1"/>
  <c r="M21" i="55"/>
  <c r="N634" i="19" s="1"/>
  <c r="N711" i="19" s="1"/>
  <c r="L21" i="55"/>
  <c r="N479" i="19" s="1"/>
  <c r="N556" i="19" s="1"/>
  <c r="K21" i="55"/>
  <c r="N324" i="19" s="1"/>
  <c r="N401" i="19" s="1"/>
  <c r="J21" i="55"/>
  <c r="N169" i="19" s="1"/>
  <c r="N246" i="19" s="1"/>
  <c r="H21" i="55"/>
  <c r="G21" i="55"/>
  <c r="N20" i="55"/>
  <c r="N788" i="19" s="1"/>
  <c r="N865" i="19" s="1"/>
  <c r="M20" i="55"/>
  <c r="N633" i="19" s="1"/>
  <c r="N710" i="19" s="1"/>
  <c r="L20" i="55"/>
  <c r="N478" i="19" s="1"/>
  <c r="N555" i="19" s="1"/>
  <c r="K20" i="55"/>
  <c r="N323" i="19" s="1"/>
  <c r="N400" i="19" s="1"/>
  <c r="J20" i="55"/>
  <c r="N168" i="19" s="1"/>
  <c r="N245" i="19" s="1"/>
  <c r="H20" i="55"/>
  <c r="G20" i="55"/>
  <c r="F20" i="55"/>
  <c r="N19" i="55"/>
  <c r="M19" i="55"/>
  <c r="L19" i="55"/>
  <c r="K19" i="55"/>
  <c r="J19" i="55"/>
  <c r="B14" i="55"/>
  <c r="F12" i="55"/>
  <c r="H152" i="55" s="1"/>
  <c r="N9" i="55"/>
  <c r="M9" i="55"/>
  <c r="L9" i="55"/>
  <c r="K9" i="55"/>
  <c r="J9" i="55"/>
  <c r="B6" i="55"/>
  <c r="B2" i="55"/>
  <c r="B1" i="55"/>
  <c r="H17" i="21" s="1"/>
  <c r="F169" i="54"/>
  <c r="F168" i="54"/>
  <c r="F167" i="54"/>
  <c r="F166" i="54"/>
  <c r="N165" i="54"/>
  <c r="M165" i="54"/>
  <c r="L165" i="54"/>
  <c r="K165" i="54"/>
  <c r="J165" i="54"/>
  <c r="F164" i="54"/>
  <c r="F162" i="54"/>
  <c r="F161" i="54"/>
  <c r="F160" i="54"/>
  <c r="F159" i="54"/>
  <c r="N158" i="54"/>
  <c r="M158" i="54"/>
  <c r="L158" i="54"/>
  <c r="K158" i="54"/>
  <c r="J158" i="54"/>
  <c r="F157" i="54"/>
  <c r="B155" i="54"/>
  <c r="N149" i="54"/>
  <c r="M149" i="54"/>
  <c r="L149" i="54"/>
  <c r="K149" i="54"/>
  <c r="J149" i="54"/>
  <c r="H149" i="54"/>
  <c r="G149" i="54"/>
  <c r="N148" i="54"/>
  <c r="M148" i="54"/>
  <c r="L148" i="54"/>
  <c r="K148" i="54"/>
  <c r="J148" i="54"/>
  <c r="H148" i="54"/>
  <c r="G148" i="54"/>
  <c r="N147" i="54"/>
  <c r="M147" i="54"/>
  <c r="L147" i="54"/>
  <c r="K147" i="54"/>
  <c r="J147" i="54"/>
  <c r="H147" i="54"/>
  <c r="G147" i="54"/>
  <c r="N146" i="54"/>
  <c r="M146" i="54"/>
  <c r="L146" i="54"/>
  <c r="K146" i="54"/>
  <c r="J146" i="54"/>
  <c r="H146" i="54"/>
  <c r="G146" i="54"/>
  <c r="N145" i="54"/>
  <c r="M145" i="54"/>
  <c r="L145" i="54"/>
  <c r="K145" i="54"/>
  <c r="J145" i="54"/>
  <c r="H145" i="54"/>
  <c r="G145" i="54"/>
  <c r="F145" i="54"/>
  <c r="N143" i="54"/>
  <c r="M143" i="54"/>
  <c r="L143" i="54"/>
  <c r="K143" i="54"/>
  <c r="J143" i="54"/>
  <c r="H143" i="54"/>
  <c r="G143" i="54"/>
  <c r="N142" i="54"/>
  <c r="M142" i="54"/>
  <c r="L142" i="54"/>
  <c r="K142" i="54"/>
  <c r="J142" i="54"/>
  <c r="H142" i="54"/>
  <c r="G142" i="54"/>
  <c r="N141" i="54"/>
  <c r="M141" i="54"/>
  <c r="L141" i="54"/>
  <c r="K141" i="54"/>
  <c r="J141" i="54"/>
  <c r="H141" i="54"/>
  <c r="G141" i="54"/>
  <c r="N140" i="54"/>
  <c r="M140" i="54"/>
  <c r="L140" i="54"/>
  <c r="K140" i="54"/>
  <c r="J140" i="54"/>
  <c r="H140" i="54"/>
  <c r="G140" i="54"/>
  <c r="N139" i="54"/>
  <c r="M139" i="54"/>
  <c r="L139" i="54"/>
  <c r="K139" i="54"/>
  <c r="J139" i="54"/>
  <c r="H139" i="54"/>
  <c r="G139" i="54"/>
  <c r="F139" i="54"/>
  <c r="N137" i="54"/>
  <c r="M137" i="54"/>
  <c r="L137" i="54"/>
  <c r="K137" i="54"/>
  <c r="J137" i="54"/>
  <c r="H137" i="54"/>
  <c r="G137" i="54"/>
  <c r="N136" i="54"/>
  <c r="M136" i="54"/>
  <c r="L136" i="54"/>
  <c r="K136" i="54"/>
  <c r="J136" i="54"/>
  <c r="H136" i="54"/>
  <c r="G136" i="54"/>
  <c r="N135" i="54"/>
  <c r="M135" i="54"/>
  <c r="L135" i="54"/>
  <c r="K135" i="54"/>
  <c r="J135" i="54"/>
  <c r="H135" i="54"/>
  <c r="G135" i="54"/>
  <c r="N134" i="54"/>
  <c r="M134" i="54"/>
  <c r="L134" i="54"/>
  <c r="K134" i="54"/>
  <c r="J134" i="54"/>
  <c r="H134" i="54"/>
  <c r="G134" i="54"/>
  <c r="N133" i="54"/>
  <c r="M133" i="54"/>
  <c r="L133" i="54"/>
  <c r="K133" i="54"/>
  <c r="J133" i="54"/>
  <c r="H133" i="54"/>
  <c r="G133" i="54"/>
  <c r="F133" i="54"/>
  <c r="N131" i="54"/>
  <c r="M131" i="54"/>
  <c r="L131" i="54"/>
  <c r="K131" i="54"/>
  <c r="J131" i="54"/>
  <c r="H131" i="54"/>
  <c r="G131" i="54"/>
  <c r="N130" i="54"/>
  <c r="M130" i="54"/>
  <c r="L130" i="54"/>
  <c r="K130" i="54"/>
  <c r="J130" i="54"/>
  <c r="H130" i="54"/>
  <c r="G130" i="54"/>
  <c r="N129" i="54"/>
  <c r="M129" i="54"/>
  <c r="L129" i="54"/>
  <c r="K129" i="54"/>
  <c r="J129" i="54"/>
  <c r="H129" i="54"/>
  <c r="G129" i="54"/>
  <c r="N128" i="54"/>
  <c r="M128" i="54"/>
  <c r="L128" i="54"/>
  <c r="K128" i="54"/>
  <c r="J128" i="54"/>
  <c r="H128" i="54"/>
  <c r="G128" i="54"/>
  <c r="N127" i="54"/>
  <c r="M127" i="54"/>
  <c r="L127" i="54"/>
  <c r="K127" i="54"/>
  <c r="J127" i="54"/>
  <c r="H127" i="54"/>
  <c r="G127" i="54"/>
  <c r="F127" i="54"/>
  <c r="N125" i="54"/>
  <c r="M125" i="54"/>
  <c r="L125" i="54"/>
  <c r="K125" i="54"/>
  <c r="J125" i="54"/>
  <c r="H125" i="54"/>
  <c r="G125" i="54"/>
  <c r="N124" i="54"/>
  <c r="M124" i="54"/>
  <c r="L124" i="54"/>
  <c r="K124" i="54"/>
  <c r="J124" i="54"/>
  <c r="H124" i="54"/>
  <c r="G124" i="54"/>
  <c r="N123" i="54"/>
  <c r="M123" i="54"/>
  <c r="L123" i="54"/>
  <c r="K123" i="54"/>
  <c r="J123" i="54"/>
  <c r="H123" i="54"/>
  <c r="G123" i="54"/>
  <c r="N122" i="54"/>
  <c r="M122" i="54"/>
  <c r="L122" i="54"/>
  <c r="K122" i="54"/>
  <c r="J122" i="54"/>
  <c r="H122" i="54"/>
  <c r="G122" i="54"/>
  <c r="N121" i="54"/>
  <c r="M121" i="54"/>
  <c r="L121" i="54"/>
  <c r="K121" i="54"/>
  <c r="J121" i="54"/>
  <c r="H121" i="54"/>
  <c r="G121" i="54"/>
  <c r="F121" i="54"/>
  <c r="N119" i="54"/>
  <c r="M119" i="54"/>
  <c r="L119" i="54"/>
  <c r="K119" i="54"/>
  <c r="J119" i="54"/>
  <c r="H119" i="54"/>
  <c r="G119" i="54"/>
  <c r="N118" i="54"/>
  <c r="M118" i="54"/>
  <c r="L118" i="54"/>
  <c r="K118" i="54"/>
  <c r="J118" i="54"/>
  <c r="H118" i="54"/>
  <c r="G118" i="54"/>
  <c r="H117" i="54"/>
  <c r="G117" i="54"/>
  <c r="H116" i="54"/>
  <c r="G116" i="54"/>
  <c r="H115" i="54"/>
  <c r="G115" i="54"/>
  <c r="F115" i="54"/>
  <c r="N113" i="54"/>
  <c r="M113" i="54"/>
  <c r="L113" i="54"/>
  <c r="K113" i="54"/>
  <c r="J113" i="54"/>
  <c r="H113" i="54"/>
  <c r="G113" i="54"/>
  <c r="N112" i="54"/>
  <c r="M112" i="54"/>
  <c r="L112" i="54"/>
  <c r="K112" i="54"/>
  <c r="J112" i="54"/>
  <c r="H112" i="54"/>
  <c r="G112" i="54"/>
  <c r="H111" i="54"/>
  <c r="G111" i="54"/>
  <c r="H110" i="54"/>
  <c r="G110" i="54"/>
  <c r="H109" i="54"/>
  <c r="G109" i="54"/>
  <c r="F109" i="54"/>
  <c r="N107" i="54"/>
  <c r="M107" i="54"/>
  <c r="L107" i="54"/>
  <c r="K107" i="54"/>
  <c r="J107" i="54"/>
  <c r="H107" i="54"/>
  <c r="G107" i="54"/>
  <c r="N106" i="54"/>
  <c r="M106" i="54"/>
  <c r="L106" i="54"/>
  <c r="K106" i="54"/>
  <c r="J106" i="54"/>
  <c r="H106" i="54"/>
  <c r="G106" i="54"/>
  <c r="N105" i="54"/>
  <c r="M105" i="54"/>
  <c r="L105" i="54"/>
  <c r="K105" i="54"/>
  <c r="J105" i="54"/>
  <c r="H105" i="54"/>
  <c r="G105" i="54"/>
  <c r="H104" i="54"/>
  <c r="G104" i="54"/>
  <c r="H103" i="54"/>
  <c r="G103" i="54"/>
  <c r="F103" i="54"/>
  <c r="N101" i="54"/>
  <c r="M101" i="54"/>
  <c r="L101" i="54"/>
  <c r="K101" i="54"/>
  <c r="J101" i="54"/>
  <c r="H101" i="54"/>
  <c r="G101" i="54"/>
  <c r="N100" i="54"/>
  <c r="M100" i="54"/>
  <c r="L100" i="54"/>
  <c r="K100" i="54"/>
  <c r="J100" i="54"/>
  <c r="H100" i="54"/>
  <c r="G100" i="54"/>
  <c r="H99" i="54"/>
  <c r="G99" i="54"/>
  <c r="H98" i="54"/>
  <c r="G98" i="54"/>
  <c r="H97" i="54"/>
  <c r="G97" i="54"/>
  <c r="F97" i="54"/>
  <c r="N95" i="54"/>
  <c r="M95" i="54"/>
  <c r="L95" i="54"/>
  <c r="K95" i="54"/>
  <c r="J95" i="54"/>
  <c r="H95" i="54"/>
  <c r="G95" i="54"/>
  <c r="H94" i="54"/>
  <c r="G94" i="54"/>
  <c r="H93" i="54"/>
  <c r="G93" i="54"/>
  <c r="H92" i="54"/>
  <c r="G92" i="54"/>
  <c r="H91" i="54"/>
  <c r="G91" i="54"/>
  <c r="F91" i="54"/>
  <c r="N90" i="54"/>
  <c r="M90" i="54"/>
  <c r="L90" i="54"/>
  <c r="K90" i="54"/>
  <c r="J90" i="54"/>
  <c r="N79" i="54"/>
  <c r="M856" i="19" s="1"/>
  <c r="M933" i="19" s="1"/>
  <c r="M79" i="54"/>
  <c r="M701" i="19" s="1"/>
  <c r="M778" i="19" s="1"/>
  <c r="L79" i="54"/>
  <c r="M546" i="19" s="1"/>
  <c r="M623" i="19" s="1"/>
  <c r="K79" i="54"/>
  <c r="M391" i="19" s="1"/>
  <c r="M468" i="19" s="1"/>
  <c r="J79" i="54"/>
  <c r="M236" i="19" s="1"/>
  <c r="M313" i="19" s="1"/>
  <c r="I78" i="54"/>
  <c r="M80" i="19" s="1"/>
  <c r="M157" i="19" s="1"/>
  <c r="H78" i="54"/>
  <c r="G78" i="54"/>
  <c r="I77" i="54"/>
  <c r="M79" i="19" s="1"/>
  <c r="M156" i="19" s="1"/>
  <c r="H77" i="54"/>
  <c r="G77" i="54"/>
  <c r="I76" i="54"/>
  <c r="M78" i="19" s="1"/>
  <c r="M155" i="19" s="1"/>
  <c r="H76" i="54"/>
  <c r="G76" i="54"/>
  <c r="I75" i="54"/>
  <c r="M77" i="19" s="1"/>
  <c r="M154" i="19" s="1"/>
  <c r="H75" i="54"/>
  <c r="G75" i="54"/>
  <c r="I74" i="54"/>
  <c r="M76" i="19" s="1"/>
  <c r="M153" i="19" s="1"/>
  <c r="H74" i="54"/>
  <c r="G74" i="54"/>
  <c r="F74" i="54"/>
  <c r="N73" i="54"/>
  <c r="M849" i="19" s="1"/>
  <c r="M926" i="19" s="1"/>
  <c r="M73" i="54"/>
  <c r="M694" i="19" s="1"/>
  <c r="M771" i="19" s="1"/>
  <c r="L73" i="54"/>
  <c r="M539" i="19" s="1"/>
  <c r="M616" i="19" s="1"/>
  <c r="K73" i="54"/>
  <c r="M384" i="19" s="1"/>
  <c r="M461" i="19" s="1"/>
  <c r="J73" i="54"/>
  <c r="M229" i="19" s="1"/>
  <c r="M306" i="19" s="1"/>
  <c r="I72" i="54"/>
  <c r="M73" i="19" s="1"/>
  <c r="M150" i="19" s="1"/>
  <c r="H72" i="54"/>
  <c r="G72" i="54"/>
  <c r="I71" i="54"/>
  <c r="M72" i="19" s="1"/>
  <c r="M149" i="19" s="1"/>
  <c r="H71" i="54"/>
  <c r="G71" i="54"/>
  <c r="I70" i="54"/>
  <c r="M71" i="19" s="1"/>
  <c r="M148" i="19" s="1"/>
  <c r="H70" i="54"/>
  <c r="G70" i="54"/>
  <c r="I69" i="54"/>
  <c r="M70" i="19" s="1"/>
  <c r="M147" i="19" s="1"/>
  <c r="H69" i="54"/>
  <c r="G69" i="54"/>
  <c r="I68" i="54"/>
  <c r="M69" i="19" s="1"/>
  <c r="M146" i="19" s="1"/>
  <c r="H68" i="54"/>
  <c r="G68" i="54"/>
  <c r="F68" i="54"/>
  <c r="N67" i="54"/>
  <c r="M842" i="19" s="1"/>
  <c r="M919" i="19" s="1"/>
  <c r="M67" i="54"/>
  <c r="M687" i="19" s="1"/>
  <c r="M764" i="19" s="1"/>
  <c r="L67" i="54"/>
  <c r="M532" i="19" s="1"/>
  <c r="M609" i="19" s="1"/>
  <c r="K67" i="54"/>
  <c r="M377" i="19" s="1"/>
  <c r="M454" i="19" s="1"/>
  <c r="J67" i="54"/>
  <c r="M222" i="19" s="1"/>
  <c r="M299" i="19" s="1"/>
  <c r="I66" i="54"/>
  <c r="M66" i="19" s="1"/>
  <c r="M143" i="19" s="1"/>
  <c r="H66" i="54"/>
  <c r="G66" i="54"/>
  <c r="I65" i="54"/>
  <c r="M65" i="19" s="1"/>
  <c r="M142" i="19" s="1"/>
  <c r="H65" i="54"/>
  <c r="G65" i="54"/>
  <c r="I64" i="54"/>
  <c r="M64" i="19" s="1"/>
  <c r="M141" i="19" s="1"/>
  <c r="H64" i="54"/>
  <c r="G64" i="54"/>
  <c r="I63" i="54"/>
  <c r="M63" i="19" s="1"/>
  <c r="M140" i="19" s="1"/>
  <c r="H63" i="54"/>
  <c r="G63" i="54"/>
  <c r="I62" i="54"/>
  <c r="M62" i="19" s="1"/>
  <c r="M139" i="19" s="1"/>
  <c r="H62" i="54"/>
  <c r="G62" i="54"/>
  <c r="F62" i="54"/>
  <c r="N61" i="54"/>
  <c r="M835" i="19" s="1"/>
  <c r="M912" i="19" s="1"/>
  <c r="M61" i="54"/>
  <c r="M680" i="19" s="1"/>
  <c r="M757" i="19" s="1"/>
  <c r="L61" i="54"/>
  <c r="M525" i="19" s="1"/>
  <c r="M602" i="19" s="1"/>
  <c r="K61" i="54"/>
  <c r="M370" i="19" s="1"/>
  <c r="M447" i="19" s="1"/>
  <c r="J61" i="54"/>
  <c r="M215" i="19" s="1"/>
  <c r="M292" i="19" s="1"/>
  <c r="I60" i="54"/>
  <c r="M59" i="19" s="1"/>
  <c r="M136" i="19" s="1"/>
  <c r="H60" i="54"/>
  <c r="G60" i="54"/>
  <c r="I59" i="54"/>
  <c r="M58" i="19" s="1"/>
  <c r="M135" i="19" s="1"/>
  <c r="H59" i="54"/>
  <c r="G59" i="54"/>
  <c r="I58" i="54"/>
  <c r="M57" i="19" s="1"/>
  <c r="M134" i="19" s="1"/>
  <c r="H58" i="54"/>
  <c r="G58" i="54"/>
  <c r="I57" i="54"/>
  <c r="M56" i="19" s="1"/>
  <c r="M133" i="19" s="1"/>
  <c r="H57" i="54"/>
  <c r="G57" i="54"/>
  <c r="I56" i="54"/>
  <c r="M55" i="19" s="1"/>
  <c r="M132" i="19" s="1"/>
  <c r="H56" i="54"/>
  <c r="G56" i="54"/>
  <c r="F56" i="54"/>
  <c r="N55" i="54"/>
  <c r="M828" i="19" s="1"/>
  <c r="M905" i="19" s="1"/>
  <c r="M55" i="54"/>
  <c r="M673" i="19" s="1"/>
  <c r="M750" i="19" s="1"/>
  <c r="L55" i="54"/>
  <c r="M518" i="19" s="1"/>
  <c r="M595" i="19" s="1"/>
  <c r="K55" i="54"/>
  <c r="M363" i="19" s="1"/>
  <c r="M440" i="19" s="1"/>
  <c r="J55" i="54"/>
  <c r="M208" i="19" s="1"/>
  <c r="M285" i="19" s="1"/>
  <c r="I54" i="54"/>
  <c r="M52" i="19" s="1"/>
  <c r="M129" i="19" s="1"/>
  <c r="H54" i="54"/>
  <c r="G54" i="54"/>
  <c r="I53" i="54"/>
  <c r="M51" i="19" s="1"/>
  <c r="M128" i="19" s="1"/>
  <c r="H53" i="54"/>
  <c r="G53" i="54"/>
  <c r="I52" i="54"/>
  <c r="M50" i="19" s="1"/>
  <c r="M127" i="19" s="1"/>
  <c r="H52" i="54"/>
  <c r="G52" i="54"/>
  <c r="I51" i="54"/>
  <c r="M49" i="19" s="1"/>
  <c r="M126" i="19" s="1"/>
  <c r="H51" i="54"/>
  <c r="G51" i="54"/>
  <c r="I50" i="54"/>
  <c r="M48" i="19" s="1"/>
  <c r="M125" i="19" s="1"/>
  <c r="H50" i="54"/>
  <c r="G50" i="54"/>
  <c r="F50" i="54"/>
  <c r="I48" i="54"/>
  <c r="M45" i="19" s="1"/>
  <c r="M122" i="19" s="1"/>
  <c r="H48" i="54"/>
  <c r="G48" i="54"/>
  <c r="I47" i="54"/>
  <c r="M44" i="19" s="1"/>
  <c r="M121" i="19" s="1"/>
  <c r="H47" i="54"/>
  <c r="G47" i="54"/>
  <c r="N46" i="54"/>
  <c r="M818" i="19" s="1"/>
  <c r="M895" i="19" s="1"/>
  <c r="M46" i="54"/>
  <c r="M663" i="19" s="1"/>
  <c r="M740" i="19" s="1"/>
  <c r="L46" i="54"/>
  <c r="M508" i="19" s="1"/>
  <c r="M585" i="19" s="1"/>
  <c r="K46" i="54"/>
  <c r="M353" i="19" s="1"/>
  <c r="M430" i="19" s="1"/>
  <c r="J46" i="54"/>
  <c r="M198" i="19" s="1"/>
  <c r="M275" i="19" s="1"/>
  <c r="I46" i="54"/>
  <c r="M43" i="19" s="1"/>
  <c r="M120" i="19" s="1"/>
  <c r="H46" i="54"/>
  <c r="G46" i="54"/>
  <c r="N45" i="54"/>
  <c r="M817" i="19" s="1"/>
  <c r="M894" i="19" s="1"/>
  <c r="M45" i="54"/>
  <c r="M662" i="19" s="1"/>
  <c r="M739" i="19" s="1"/>
  <c r="L45" i="54"/>
  <c r="M507" i="19" s="1"/>
  <c r="M584" i="19" s="1"/>
  <c r="K45" i="54"/>
  <c r="M352" i="19" s="1"/>
  <c r="M429" i="19" s="1"/>
  <c r="J45" i="54"/>
  <c r="M197" i="19" s="1"/>
  <c r="M274" i="19" s="1"/>
  <c r="I45" i="54"/>
  <c r="M42" i="19" s="1"/>
  <c r="M119" i="19" s="1"/>
  <c r="H45" i="54"/>
  <c r="G45" i="54"/>
  <c r="N44" i="54"/>
  <c r="M816" i="19" s="1"/>
  <c r="M893" i="19" s="1"/>
  <c r="M44" i="54"/>
  <c r="M661" i="19" s="1"/>
  <c r="M738" i="19" s="1"/>
  <c r="L44" i="54"/>
  <c r="M506" i="19" s="1"/>
  <c r="M583" i="19" s="1"/>
  <c r="K44" i="54"/>
  <c r="M351" i="19" s="1"/>
  <c r="M428" i="19" s="1"/>
  <c r="J44" i="54"/>
  <c r="M196" i="19" s="1"/>
  <c r="M273" i="19" s="1"/>
  <c r="I44" i="54"/>
  <c r="M41" i="19" s="1"/>
  <c r="M118" i="19" s="1"/>
  <c r="H44" i="54"/>
  <c r="G44" i="54"/>
  <c r="F44" i="54"/>
  <c r="I42" i="54"/>
  <c r="M38" i="19" s="1"/>
  <c r="M115" i="19" s="1"/>
  <c r="H42" i="54"/>
  <c r="G42" i="54"/>
  <c r="I41" i="54"/>
  <c r="M37" i="19" s="1"/>
  <c r="M114" i="19" s="1"/>
  <c r="H41" i="54"/>
  <c r="G41" i="54"/>
  <c r="N40" i="54"/>
  <c r="M811" i="19" s="1"/>
  <c r="M888" i="19" s="1"/>
  <c r="M40" i="54"/>
  <c r="M656" i="19" s="1"/>
  <c r="M733" i="19" s="1"/>
  <c r="L40" i="54"/>
  <c r="M501" i="19" s="1"/>
  <c r="M578" i="19" s="1"/>
  <c r="K40" i="54"/>
  <c r="M346" i="19" s="1"/>
  <c r="M423" i="19" s="1"/>
  <c r="J40" i="54"/>
  <c r="M191" i="19" s="1"/>
  <c r="M268" i="19" s="1"/>
  <c r="H40" i="54"/>
  <c r="G40" i="54"/>
  <c r="N39" i="54"/>
  <c r="M810" i="19" s="1"/>
  <c r="M887" i="19" s="1"/>
  <c r="M39" i="54"/>
  <c r="M655" i="19" s="1"/>
  <c r="M732" i="19" s="1"/>
  <c r="L39" i="54"/>
  <c r="M500" i="19" s="1"/>
  <c r="M577" i="19" s="1"/>
  <c r="K39" i="54"/>
  <c r="M345" i="19" s="1"/>
  <c r="M422" i="19" s="1"/>
  <c r="J39" i="54"/>
  <c r="M190" i="19" s="1"/>
  <c r="M267" i="19" s="1"/>
  <c r="H39" i="54"/>
  <c r="G39" i="54"/>
  <c r="N38" i="54"/>
  <c r="M809" i="19" s="1"/>
  <c r="M886" i="19" s="1"/>
  <c r="M38" i="54"/>
  <c r="M654" i="19" s="1"/>
  <c r="M731" i="19" s="1"/>
  <c r="L38" i="54"/>
  <c r="M499" i="19" s="1"/>
  <c r="M576" i="19" s="1"/>
  <c r="K38" i="54"/>
  <c r="M344" i="19" s="1"/>
  <c r="M421" i="19" s="1"/>
  <c r="J38" i="54"/>
  <c r="M189" i="19" s="1"/>
  <c r="M266" i="19" s="1"/>
  <c r="H38" i="54"/>
  <c r="G38" i="54"/>
  <c r="F38" i="54"/>
  <c r="I36" i="54"/>
  <c r="M31" i="19" s="1"/>
  <c r="M108" i="19" s="1"/>
  <c r="H36" i="54"/>
  <c r="G36" i="54"/>
  <c r="I35" i="54"/>
  <c r="M30" i="19" s="1"/>
  <c r="M107" i="19" s="1"/>
  <c r="H35" i="54"/>
  <c r="G35" i="54"/>
  <c r="I34" i="54"/>
  <c r="M29" i="19" s="1"/>
  <c r="M106" i="19" s="1"/>
  <c r="H34" i="54"/>
  <c r="G34" i="54"/>
  <c r="N33" i="54"/>
  <c r="M803" i="19" s="1"/>
  <c r="M880" i="19" s="1"/>
  <c r="M33" i="54"/>
  <c r="M648" i="19" s="1"/>
  <c r="M725" i="19" s="1"/>
  <c r="L33" i="54"/>
  <c r="M493" i="19" s="1"/>
  <c r="M570" i="19" s="1"/>
  <c r="K33" i="54"/>
  <c r="M338" i="19" s="1"/>
  <c r="M415" i="19" s="1"/>
  <c r="J33" i="54"/>
  <c r="M183" i="19" s="1"/>
  <c r="M260" i="19" s="1"/>
  <c r="H33" i="54"/>
  <c r="G33" i="54"/>
  <c r="N32" i="54"/>
  <c r="M802" i="19" s="1"/>
  <c r="M879" i="19" s="1"/>
  <c r="M32" i="54"/>
  <c r="M647" i="19" s="1"/>
  <c r="M724" i="19" s="1"/>
  <c r="L32" i="54"/>
  <c r="M492" i="19" s="1"/>
  <c r="M569" i="19" s="1"/>
  <c r="K32" i="54"/>
  <c r="M337" i="19" s="1"/>
  <c r="M414" i="19" s="1"/>
  <c r="J32" i="54"/>
  <c r="M182" i="19" s="1"/>
  <c r="M259" i="19" s="1"/>
  <c r="H32" i="54"/>
  <c r="G32" i="54"/>
  <c r="F32" i="54"/>
  <c r="I30" i="54"/>
  <c r="M24" i="19" s="1"/>
  <c r="M101" i="19" s="1"/>
  <c r="H30" i="54"/>
  <c r="G30" i="54"/>
  <c r="I29" i="54"/>
  <c r="M23" i="19" s="1"/>
  <c r="M100" i="19" s="1"/>
  <c r="H29" i="54"/>
  <c r="G29" i="54"/>
  <c r="N28" i="54"/>
  <c r="M797" i="19" s="1"/>
  <c r="M874" i="19" s="1"/>
  <c r="M28" i="54"/>
  <c r="M642" i="19" s="1"/>
  <c r="M719" i="19" s="1"/>
  <c r="L28" i="54"/>
  <c r="M487" i="19" s="1"/>
  <c r="M564" i="19" s="1"/>
  <c r="K28" i="54"/>
  <c r="M332" i="19" s="1"/>
  <c r="M409" i="19" s="1"/>
  <c r="J28" i="54"/>
  <c r="M177" i="19" s="1"/>
  <c r="M254" i="19" s="1"/>
  <c r="I28" i="54"/>
  <c r="M22" i="19" s="1"/>
  <c r="M99" i="19" s="1"/>
  <c r="H28" i="54"/>
  <c r="G28" i="54"/>
  <c r="N27" i="54"/>
  <c r="M796" i="19" s="1"/>
  <c r="M873" i="19" s="1"/>
  <c r="M27" i="54"/>
  <c r="M641" i="19" s="1"/>
  <c r="M718" i="19" s="1"/>
  <c r="L27" i="54"/>
  <c r="M486" i="19" s="1"/>
  <c r="M563" i="19" s="1"/>
  <c r="K27" i="54"/>
  <c r="M331" i="19" s="1"/>
  <c r="M408" i="19" s="1"/>
  <c r="J27" i="54"/>
  <c r="M176" i="19" s="1"/>
  <c r="M253" i="19" s="1"/>
  <c r="I27" i="54"/>
  <c r="M21" i="19" s="1"/>
  <c r="M98" i="19" s="1"/>
  <c r="H27" i="54"/>
  <c r="G27" i="54"/>
  <c r="N26" i="54"/>
  <c r="M795" i="19" s="1"/>
  <c r="M872" i="19" s="1"/>
  <c r="M26" i="54"/>
  <c r="M640" i="19" s="1"/>
  <c r="M717" i="19" s="1"/>
  <c r="L26" i="54"/>
  <c r="M485" i="19" s="1"/>
  <c r="M562" i="19" s="1"/>
  <c r="K26" i="54"/>
  <c r="M330" i="19" s="1"/>
  <c r="M407" i="19" s="1"/>
  <c r="J26" i="54"/>
  <c r="M175" i="19" s="1"/>
  <c r="M252" i="19" s="1"/>
  <c r="I26" i="54"/>
  <c r="M20" i="19" s="1"/>
  <c r="M97" i="19" s="1"/>
  <c r="H26" i="54"/>
  <c r="G26" i="54"/>
  <c r="F26" i="54"/>
  <c r="I24" i="54"/>
  <c r="M17" i="19" s="1"/>
  <c r="M94" i="19" s="1"/>
  <c r="H24" i="54"/>
  <c r="G24" i="54"/>
  <c r="N23" i="54"/>
  <c r="M791" i="19" s="1"/>
  <c r="M868" i="19" s="1"/>
  <c r="M23" i="54"/>
  <c r="M636" i="19" s="1"/>
  <c r="M713" i="19" s="1"/>
  <c r="L23" i="54"/>
  <c r="M481" i="19" s="1"/>
  <c r="M558" i="19" s="1"/>
  <c r="K23" i="54"/>
  <c r="M326" i="19" s="1"/>
  <c r="M403" i="19" s="1"/>
  <c r="J23" i="54"/>
  <c r="M171" i="19" s="1"/>
  <c r="M248" i="19" s="1"/>
  <c r="I23" i="54"/>
  <c r="M16" i="19" s="1"/>
  <c r="M93" i="19" s="1"/>
  <c r="H23" i="54"/>
  <c r="G23" i="54"/>
  <c r="N22" i="54"/>
  <c r="M790" i="19" s="1"/>
  <c r="M867" i="19" s="1"/>
  <c r="M22" i="54"/>
  <c r="M635" i="19" s="1"/>
  <c r="M712" i="19" s="1"/>
  <c r="L22" i="54"/>
  <c r="M480" i="19" s="1"/>
  <c r="M557" i="19" s="1"/>
  <c r="K22" i="54"/>
  <c r="M325" i="19" s="1"/>
  <c r="M402" i="19" s="1"/>
  <c r="J22" i="54"/>
  <c r="M170" i="19" s="1"/>
  <c r="M247" i="19" s="1"/>
  <c r="I22" i="54"/>
  <c r="M15" i="19" s="1"/>
  <c r="M92" i="19" s="1"/>
  <c r="H22" i="54"/>
  <c r="G22" i="54"/>
  <c r="N21" i="54"/>
  <c r="M789" i="19" s="1"/>
  <c r="M866" i="19" s="1"/>
  <c r="M21" i="54"/>
  <c r="M634" i="19" s="1"/>
  <c r="M711" i="19" s="1"/>
  <c r="L21" i="54"/>
  <c r="M479" i="19" s="1"/>
  <c r="M556" i="19" s="1"/>
  <c r="K21" i="54"/>
  <c r="M324" i="19" s="1"/>
  <c r="M401" i="19" s="1"/>
  <c r="J21" i="54"/>
  <c r="M169" i="19" s="1"/>
  <c r="M246" i="19" s="1"/>
  <c r="I21" i="54"/>
  <c r="M14" i="19" s="1"/>
  <c r="M91" i="19" s="1"/>
  <c r="H21" i="54"/>
  <c r="G21" i="54"/>
  <c r="N20" i="54"/>
  <c r="M788" i="19" s="1"/>
  <c r="M865" i="19" s="1"/>
  <c r="M20" i="54"/>
  <c r="M633" i="19" s="1"/>
  <c r="M710" i="19" s="1"/>
  <c r="L20" i="54"/>
  <c r="M478" i="19" s="1"/>
  <c r="M555" i="19" s="1"/>
  <c r="K20" i="54"/>
  <c r="M323" i="19" s="1"/>
  <c r="M400" i="19" s="1"/>
  <c r="J20" i="54"/>
  <c r="M168" i="19" s="1"/>
  <c r="M245" i="19" s="1"/>
  <c r="I20" i="54"/>
  <c r="M13" i="19" s="1"/>
  <c r="M90" i="19" s="1"/>
  <c r="H20" i="54"/>
  <c r="G20" i="54"/>
  <c r="F20" i="54"/>
  <c r="N19" i="54"/>
  <c r="M19" i="54"/>
  <c r="L19" i="54"/>
  <c r="K19" i="54"/>
  <c r="J19" i="54"/>
  <c r="B14" i="54"/>
  <c r="F12" i="54"/>
  <c r="H152" i="54" s="1"/>
  <c r="N9" i="54"/>
  <c r="M9" i="54"/>
  <c r="L9" i="54"/>
  <c r="K9" i="54"/>
  <c r="J9" i="54"/>
  <c r="B6" i="54"/>
  <c r="B2" i="54"/>
  <c r="B1" i="54"/>
  <c r="H16" i="21" s="1"/>
  <c r="F169" i="53"/>
  <c r="F168" i="53"/>
  <c r="F167" i="53"/>
  <c r="F166" i="53"/>
  <c r="N165" i="53"/>
  <c r="M165" i="53"/>
  <c r="L165" i="53"/>
  <c r="K165" i="53"/>
  <c r="J165" i="53"/>
  <c r="F164" i="53"/>
  <c r="F162" i="53"/>
  <c r="F161" i="53"/>
  <c r="F160" i="53"/>
  <c r="F159" i="53"/>
  <c r="N158" i="53"/>
  <c r="M158" i="53"/>
  <c r="L158" i="53"/>
  <c r="K158" i="53"/>
  <c r="J158" i="53"/>
  <c r="F157" i="53"/>
  <c r="B155" i="53"/>
  <c r="N149" i="53"/>
  <c r="M149" i="53"/>
  <c r="L149" i="53"/>
  <c r="K149" i="53"/>
  <c r="J149" i="53"/>
  <c r="H149" i="53"/>
  <c r="G149" i="53"/>
  <c r="N148" i="53"/>
  <c r="M148" i="53"/>
  <c r="L148" i="53"/>
  <c r="K148" i="53"/>
  <c r="J148" i="53"/>
  <c r="H148" i="53"/>
  <c r="G148" i="53"/>
  <c r="N147" i="53"/>
  <c r="M147" i="53"/>
  <c r="L147" i="53"/>
  <c r="K147" i="53"/>
  <c r="J147" i="53"/>
  <c r="H147" i="53"/>
  <c r="G147" i="53"/>
  <c r="N146" i="53"/>
  <c r="M146" i="53"/>
  <c r="L146" i="53"/>
  <c r="K146" i="53"/>
  <c r="J146" i="53"/>
  <c r="H146" i="53"/>
  <c r="G146" i="53"/>
  <c r="N145" i="53"/>
  <c r="M145" i="53"/>
  <c r="L145" i="53"/>
  <c r="K145" i="53"/>
  <c r="J145" i="53"/>
  <c r="H145" i="53"/>
  <c r="G145" i="53"/>
  <c r="F145" i="53"/>
  <c r="N143" i="53"/>
  <c r="M143" i="53"/>
  <c r="L143" i="53"/>
  <c r="K143" i="53"/>
  <c r="J143" i="53"/>
  <c r="H143" i="53"/>
  <c r="G143" i="53"/>
  <c r="N142" i="53"/>
  <c r="M142" i="53"/>
  <c r="L142" i="53"/>
  <c r="K142" i="53"/>
  <c r="J142" i="53"/>
  <c r="H142" i="53"/>
  <c r="G142" i="53"/>
  <c r="N141" i="53"/>
  <c r="M141" i="53"/>
  <c r="L141" i="53"/>
  <c r="K141" i="53"/>
  <c r="J141" i="53"/>
  <c r="H141" i="53"/>
  <c r="G141" i="53"/>
  <c r="N140" i="53"/>
  <c r="M140" i="53"/>
  <c r="L140" i="53"/>
  <c r="K140" i="53"/>
  <c r="J140" i="53"/>
  <c r="H140" i="53"/>
  <c r="G140" i="53"/>
  <c r="N139" i="53"/>
  <c r="M139" i="53"/>
  <c r="L139" i="53"/>
  <c r="K139" i="53"/>
  <c r="J139" i="53"/>
  <c r="H139" i="53"/>
  <c r="G139" i="53"/>
  <c r="F139" i="53"/>
  <c r="N137" i="53"/>
  <c r="M137" i="53"/>
  <c r="L137" i="53"/>
  <c r="K137" i="53"/>
  <c r="J137" i="53"/>
  <c r="H137" i="53"/>
  <c r="G137" i="53"/>
  <c r="N136" i="53"/>
  <c r="M136" i="53"/>
  <c r="L136" i="53"/>
  <c r="K136" i="53"/>
  <c r="J136" i="53"/>
  <c r="H136" i="53"/>
  <c r="G136" i="53"/>
  <c r="N135" i="53"/>
  <c r="M135" i="53"/>
  <c r="L135" i="53"/>
  <c r="K135" i="53"/>
  <c r="J135" i="53"/>
  <c r="H135" i="53"/>
  <c r="G135" i="53"/>
  <c r="N134" i="53"/>
  <c r="M134" i="53"/>
  <c r="L134" i="53"/>
  <c r="K134" i="53"/>
  <c r="J134" i="53"/>
  <c r="H134" i="53"/>
  <c r="G134" i="53"/>
  <c r="N133" i="53"/>
  <c r="M133" i="53"/>
  <c r="L133" i="53"/>
  <c r="K133" i="53"/>
  <c r="J133" i="53"/>
  <c r="H133" i="53"/>
  <c r="G133" i="53"/>
  <c r="F133" i="53"/>
  <c r="N131" i="53"/>
  <c r="M131" i="53"/>
  <c r="L131" i="53"/>
  <c r="K131" i="53"/>
  <c r="J131" i="53"/>
  <c r="H131" i="53"/>
  <c r="G131" i="53"/>
  <c r="N130" i="53"/>
  <c r="M130" i="53"/>
  <c r="L130" i="53"/>
  <c r="K130" i="53"/>
  <c r="J130" i="53"/>
  <c r="H130" i="53"/>
  <c r="G130" i="53"/>
  <c r="N129" i="53"/>
  <c r="M129" i="53"/>
  <c r="L129" i="53"/>
  <c r="K129" i="53"/>
  <c r="J129" i="53"/>
  <c r="H129" i="53"/>
  <c r="G129" i="53"/>
  <c r="N128" i="53"/>
  <c r="M128" i="53"/>
  <c r="L128" i="53"/>
  <c r="K128" i="53"/>
  <c r="J128" i="53"/>
  <c r="H128" i="53"/>
  <c r="G128" i="53"/>
  <c r="N127" i="53"/>
  <c r="M127" i="53"/>
  <c r="L127" i="53"/>
  <c r="K127" i="53"/>
  <c r="J127" i="53"/>
  <c r="H127" i="53"/>
  <c r="G127" i="53"/>
  <c r="F127" i="53"/>
  <c r="N125" i="53"/>
  <c r="M125" i="53"/>
  <c r="L125" i="53"/>
  <c r="K125" i="53"/>
  <c r="J125" i="53"/>
  <c r="H125" i="53"/>
  <c r="G125" i="53"/>
  <c r="N124" i="53"/>
  <c r="M124" i="53"/>
  <c r="L124" i="53"/>
  <c r="K124" i="53"/>
  <c r="J124" i="53"/>
  <c r="H124" i="53"/>
  <c r="G124" i="53"/>
  <c r="N123" i="53"/>
  <c r="M123" i="53"/>
  <c r="L123" i="53"/>
  <c r="K123" i="53"/>
  <c r="J123" i="53"/>
  <c r="H123" i="53"/>
  <c r="G123" i="53"/>
  <c r="N122" i="53"/>
  <c r="M122" i="53"/>
  <c r="L122" i="53"/>
  <c r="K122" i="53"/>
  <c r="J122" i="53"/>
  <c r="H122" i="53"/>
  <c r="G122" i="53"/>
  <c r="N121" i="53"/>
  <c r="M121" i="53"/>
  <c r="L121" i="53"/>
  <c r="K121" i="53"/>
  <c r="J121" i="53"/>
  <c r="H121" i="53"/>
  <c r="G121" i="53"/>
  <c r="F121" i="53"/>
  <c r="N119" i="53"/>
  <c r="M119" i="53"/>
  <c r="L119" i="53"/>
  <c r="K119" i="53"/>
  <c r="J119" i="53"/>
  <c r="H119" i="53"/>
  <c r="G119" i="53"/>
  <c r="N118" i="53"/>
  <c r="M118" i="53"/>
  <c r="L118" i="53"/>
  <c r="K118" i="53"/>
  <c r="J118" i="53"/>
  <c r="H118" i="53"/>
  <c r="G118" i="53"/>
  <c r="H117" i="53"/>
  <c r="G117" i="53"/>
  <c r="H116" i="53"/>
  <c r="G116" i="53"/>
  <c r="H115" i="53"/>
  <c r="G115" i="53"/>
  <c r="F115" i="53"/>
  <c r="N113" i="53"/>
  <c r="M113" i="53"/>
  <c r="L113" i="53"/>
  <c r="K113" i="53"/>
  <c r="J113" i="53"/>
  <c r="H113" i="53"/>
  <c r="G113" i="53"/>
  <c r="N112" i="53"/>
  <c r="M112" i="53"/>
  <c r="L112" i="53"/>
  <c r="K112" i="53"/>
  <c r="J112" i="53"/>
  <c r="H112" i="53"/>
  <c r="G112" i="53"/>
  <c r="H111" i="53"/>
  <c r="G111" i="53"/>
  <c r="H110" i="53"/>
  <c r="G110" i="53"/>
  <c r="H109" i="53"/>
  <c r="G109" i="53"/>
  <c r="F109" i="53"/>
  <c r="N107" i="53"/>
  <c r="M107" i="53"/>
  <c r="L107" i="53"/>
  <c r="K107" i="53"/>
  <c r="J107" i="53"/>
  <c r="H107" i="53"/>
  <c r="G107" i="53"/>
  <c r="N106" i="53"/>
  <c r="M106" i="53"/>
  <c r="L106" i="53"/>
  <c r="K106" i="53"/>
  <c r="J106" i="53"/>
  <c r="H106" i="53"/>
  <c r="G106" i="53"/>
  <c r="N105" i="53"/>
  <c r="M105" i="53"/>
  <c r="L105" i="53"/>
  <c r="K105" i="53"/>
  <c r="J105" i="53"/>
  <c r="H105" i="53"/>
  <c r="G105" i="53"/>
  <c r="H104" i="53"/>
  <c r="G104" i="53"/>
  <c r="H103" i="53"/>
  <c r="G103" i="53"/>
  <c r="F103" i="53"/>
  <c r="N101" i="53"/>
  <c r="M101" i="53"/>
  <c r="L101" i="53"/>
  <c r="K101" i="53"/>
  <c r="J101" i="53"/>
  <c r="H101" i="53"/>
  <c r="G101" i="53"/>
  <c r="N100" i="53"/>
  <c r="M100" i="53"/>
  <c r="L100" i="53"/>
  <c r="K100" i="53"/>
  <c r="J100" i="53"/>
  <c r="H100" i="53"/>
  <c r="G100" i="53"/>
  <c r="H99" i="53"/>
  <c r="G99" i="53"/>
  <c r="H98" i="53"/>
  <c r="G98" i="53"/>
  <c r="H97" i="53"/>
  <c r="G97" i="53"/>
  <c r="F97" i="53"/>
  <c r="N95" i="53"/>
  <c r="M95" i="53"/>
  <c r="L95" i="53"/>
  <c r="K95" i="53"/>
  <c r="J95" i="53"/>
  <c r="H95" i="53"/>
  <c r="G95" i="53"/>
  <c r="H94" i="53"/>
  <c r="G94" i="53"/>
  <c r="H93" i="53"/>
  <c r="G93" i="53"/>
  <c r="H92" i="53"/>
  <c r="G92" i="53"/>
  <c r="H91" i="53"/>
  <c r="G91" i="53"/>
  <c r="F91" i="53"/>
  <c r="N90" i="53"/>
  <c r="M90" i="53"/>
  <c r="L90" i="53"/>
  <c r="K90" i="53"/>
  <c r="J90" i="53"/>
  <c r="N79" i="53"/>
  <c r="L856" i="19" s="1"/>
  <c r="L933" i="19" s="1"/>
  <c r="M79" i="53"/>
  <c r="L701" i="19" s="1"/>
  <c r="L778" i="19" s="1"/>
  <c r="L79" i="53"/>
  <c r="L546" i="19" s="1"/>
  <c r="L623" i="19" s="1"/>
  <c r="K79" i="53"/>
  <c r="L391" i="19" s="1"/>
  <c r="L468" i="19" s="1"/>
  <c r="J79" i="53"/>
  <c r="L236" i="19" s="1"/>
  <c r="L313" i="19" s="1"/>
  <c r="I78" i="53"/>
  <c r="L80" i="19" s="1"/>
  <c r="L157" i="19" s="1"/>
  <c r="H78" i="53"/>
  <c r="G78" i="53"/>
  <c r="I77" i="53"/>
  <c r="L79" i="19" s="1"/>
  <c r="L156" i="19" s="1"/>
  <c r="H77" i="53"/>
  <c r="G77" i="53"/>
  <c r="I76" i="53"/>
  <c r="L78" i="19" s="1"/>
  <c r="L155" i="19" s="1"/>
  <c r="H76" i="53"/>
  <c r="G76" i="53"/>
  <c r="I75" i="53"/>
  <c r="L77" i="19" s="1"/>
  <c r="L154" i="19" s="1"/>
  <c r="H75" i="53"/>
  <c r="G75" i="53"/>
  <c r="I74" i="53"/>
  <c r="L76" i="19" s="1"/>
  <c r="L153" i="19" s="1"/>
  <c r="H74" i="53"/>
  <c r="G74" i="53"/>
  <c r="F74" i="53"/>
  <c r="N73" i="53"/>
  <c r="L849" i="19" s="1"/>
  <c r="L926" i="19" s="1"/>
  <c r="M73" i="53"/>
  <c r="L694" i="19" s="1"/>
  <c r="L771" i="19" s="1"/>
  <c r="L73" i="53"/>
  <c r="L539" i="19" s="1"/>
  <c r="L616" i="19" s="1"/>
  <c r="K73" i="53"/>
  <c r="L384" i="19" s="1"/>
  <c r="L461" i="19" s="1"/>
  <c r="J73" i="53"/>
  <c r="L229" i="19" s="1"/>
  <c r="L306" i="19" s="1"/>
  <c r="I72" i="53"/>
  <c r="L73" i="19" s="1"/>
  <c r="L150" i="19" s="1"/>
  <c r="H72" i="53"/>
  <c r="G72" i="53"/>
  <c r="I71" i="53"/>
  <c r="L72" i="19" s="1"/>
  <c r="L149" i="19" s="1"/>
  <c r="H71" i="53"/>
  <c r="G71" i="53"/>
  <c r="I70" i="53"/>
  <c r="L71" i="19" s="1"/>
  <c r="L148" i="19" s="1"/>
  <c r="H70" i="53"/>
  <c r="G70" i="53"/>
  <c r="I69" i="53"/>
  <c r="L70" i="19" s="1"/>
  <c r="L147" i="19" s="1"/>
  <c r="H69" i="53"/>
  <c r="G69" i="53"/>
  <c r="I68" i="53"/>
  <c r="L69" i="19" s="1"/>
  <c r="L146" i="19" s="1"/>
  <c r="H68" i="53"/>
  <c r="G68" i="53"/>
  <c r="F68" i="53"/>
  <c r="N67" i="53"/>
  <c r="L842" i="19" s="1"/>
  <c r="L919" i="19" s="1"/>
  <c r="M67" i="53"/>
  <c r="L687" i="19" s="1"/>
  <c r="L764" i="19" s="1"/>
  <c r="L67" i="53"/>
  <c r="L532" i="19" s="1"/>
  <c r="L609" i="19" s="1"/>
  <c r="K67" i="53"/>
  <c r="L377" i="19" s="1"/>
  <c r="L454" i="19" s="1"/>
  <c r="J67" i="53"/>
  <c r="L222" i="19" s="1"/>
  <c r="L299" i="19" s="1"/>
  <c r="I66" i="53"/>
  <c r="L66" i="19" s="1"/>
  <c r="L143" i="19" s="1"/>
  <c r="H66" i="53"/>
  <c r="G66" i="53"/>
  <c r="I65" i="53"/>
  <c r="L65" i="19" s="1"/>
  <c r="L142" i="19" s="1"/>
  <c r="H65" i="53"/>
  <c r="G65" i="53"/>
  <c r="I64" i="53"/>
  <c r="L64" i="19" s="1"/>
  <c r="L141" i="19" s="1"/>
  <c r="H64" i="53"/>
  <c r="G64" i="53"/>
  <c r="I63" i="53"/>
  <c r="L63" i="19" s="1"/>
  <c r="L140" i="19" s="1"/>
  <c r="H63" i="53"/>
  <c r="G63" i="53"/>
  <c r="I62" i="53"/>
  <c r="L62" i="19" s="1"/>
  <c r="L139" i="19" s="1"/>
  <c r="H62" i="53"/>
  <c r="G62" i="53"/>
  <c r="F62" i="53"/>
  <c r="N61" i="53"/>
  <c r="L835" i="19" s="1"/>
  <c r="L912" i="19" s="1"/>
  <c r="M61" i="53"/>
  <c r="L680" i="19" s="1"/>
  <c r="L757" i="19" s="1"/>
  <c r="L61" i="53"/>
  <c r="L525" i="19" s="1"/>
  <c r="L602" i="19" s="1"/>
  <c r="K61" i="53"/>
  <c r="L370" i="19" s="1"/>
  <c r="L447" i="19" s="1"/>
  <c r="J61" i="53"/>
  <c r="L215" i="19" s="1"/>
  <c r="L292" i="19" s="1"/>
  <c r="I60" i="53"/>
  <c r="L59" i="19" s="1"/>
  <c r="L136" i="19" s="1"/>
  <c r="H60" i="53"/>
  <c r="G60" i="53"/>
  <c r="I59" i="53"/>
  <c r="L58" i="19" s="1"/>
  <c r="L135" i="19" s="1"/>
  <c r="H59" i="53"/>
  <c r="G59" i="53"/>
  <c r="I58" i="53"/>
  <c r="L57" i="19" s="1"/>
  <c r="L134" i="19" s="1"/>
  <c r="H58" i="53"/>
  <c r="G58" i="53"/>
  <c r="I57" i="53"/>
  <c r="L56" i="19" s="1"/>
  <c r="L133" i="19" s="1"/>
  <c r="H57" i="53"/>
  <c r="G57" i="53"/>
  <c r="I56" i="53"/>
  <c r="L55" i="19" s="1"/>
  <c r="L132" i="19" s="1"/>
  <c r="H56" i="53"/>
  <c r="G56" i="53"/>
  <c r="F56" i="53"/>
  <c r="N55" i="53"/>
  <c r="L828" i="19" s="1"/>
  <c r="L905" i="19" s="1"/>
  <c r="M55" i="53"/>
  <c r="L673" i="19" s="1"/>
  <c r="L750" i="19" s="1"/>
  <c r="L55" i="53"/>
  <c r="L518" i="19" s="1"/>
  <c r="L595" i="19" s="1"/>
  <c r="K55" i="53"/>
  <c r="L363" i="19" s="1"/>
  <c r="L440" i="19" s="1"/>
  <c r="J55" i="53"/>
  <c r="L208" i="19" s="1"/>
  <c r="L285" i="19" s="1"/>
  <c r="I54" i="53"/>
  <c r="L52" i="19" s="1"/>
  <c r="L129" i="19" s="1"/>
  <c r="H54" i="53"/>
  <c r="G54" i="53"/>
  <c r="I53" i="53"/>
  <c r="L51" i="19" s="1"/>
  <c r="L128" i="19" s="1"/>
  <c r="H53" i="53"/>
  <c r="G53" i="53"/>
  <c r="I52" i="53"/>
  <c r="L50" i="19" s="1"/>
  <c r="L127" i="19" s="1"/>
  <c r="H52" i="53"/>
  <c r="G52" i="53"/>
  <c r="I51" i="53"/>
  <c r="L49" i="19" s="1"/>
  <c r="L126" i="19" s="1"/>
  <c r="H51" i="53"/>
  <c r="G51" i="53"/>
  <c r="I50" i="53"/>
  <c r="L48" i="19" s="1"/>
  <c r="L125" i="19" s="1"/>
  <c r="H50" i="53"/>
  <c r="G50" i="53"/>
  <c r="F50" i="53"/>
  <c r="I48" i="53"/>
  <c r="L45" i="19" s="1"/>
  <c r="L122" i="19" s="1"/>
  <c r="H48" i="53"/>
  <c r="G48" i="53"/>
  <c r="I47" i="53"/>
  <c r="L44" i="19" s="1"/>
  <c r="L121" i="19" s="1"/>
  <c r="H47" i="53"/>
  <c r="G47" i="53"/>
  <c r="N46" i="53"/>
  <c r="L818" i="19" s="1"/>
  <c r="L895" i="19" s="1"/>
  <c r="M46" i="53"/>
  <c r="L663" i="19" s="1"/>
  <c r="L740" i="19" s="1"/>
  <c r="L46" i="53"/>
  <c r="L508" i="19" s="1"/>
  <c r="L585" i="19" s="1"/>
  <c r="K46" i="53"/>
  <c r="L353" i="19" s="1"/>
  <c r="L430" i="19" s="1"/>
  <c r="J46" i="53"/>
  <c r="L198" i="19" s="1"/>
  <c r="L275" i="19" s="1"/>
  <c r="I46" i="53"/>
  <c r="L43" i="19" s="1"/>
  <c r="L120" i="19" s="1"/>
  <c r="H46" i="53"/>
  <c r="G46" i="53"/>
  <c r="N45" i="53"/>
  <c r="L817" i="19" s="1"/>
  <c r="L894" i="19" s="1"/>
  <c r="M45" i="53"/>
  <c r="L662" i="19" s="1"/>
  <c r="L739" i="19" s="1"/>
  <c r="L45" i="53"/>
  <c r="L507" i="19" s="1"/>
  <c r="L584" i="19" s="1"/>
  <c r="K45" i="53"/>
  <c r="L352" i="19" s="1"/>
  <c r="L429" i="19" s="1"/>
  <c r="J45" i="53"/>
  <c r="L197" i="19" s="1"/>
  <c r="L274" i="19" s="1"/>
  <c r="I45" i="53"/>
  <c r="L42" i="19" s="1"/>
  <c r="L119" i="19" s="1"/>
  <c r="H45" i="53"/>
  <c r="G45" i="53"/>
  <c r="N44" i="53"/>
  <c r="L816" i="19" s="1"/>
  <c r="L893" i="19" s="1"/>
  <c r="M44" i="53"/>
  <c r="L661" i="19" s="1"/>
  <c r="L738" i="19" s="1"/>
  <c r="L44" i="53"/>
  <c r="L506" i="19" s="1"/>
  <c r="L583" i="19" s="1"/>
  <c r="K44" i="53"/>
  <c r="L351" i="19" s="1"/>
  <c r="L428" i="19" s="1"/>
  <c r="J44" i="53"/>
  <c r="L196" i="19" s="1"/>
  <c r="L273" i="19" s="1"/>
  <c r="I44" i="53"/>
  <c r="L41" i="19" s="1"/>
  <c r="L118" i="19" s="1"/>
  <c r="H44" i="53"/>
  <c r="G44" i="53"/>
  <c r="F44" i="53"/>
  <c r="I42" i="53"/>
  <c r="L38" i="19" s="1"/>
  <c r="L115" i="19" s="1"/>
  <c r="H42" i="53"/>
  <c r="G42" i="53"/>
  <c r="I41" i="53"/>
  <c r="L37" i="19" s="1"/>
  <c r="L114" i="19" s="1"/>
  <c r="H41" i="53"/>
  <c r="G41" i="53"/>
  <c r="N40" i="53"/>
  <c r="L811" i="19" s="1"/>
  <c r="L888" i="19" s="1"/>
  <c r="M40" i="53"/>
  <c r="L656" i="19" s="1"/>
  <c r="L733" i="19" s="1"/>
  <c r="L40" i="53"/>
  <c r="L501" i="19" s="1"/>
  <c r="L578" i="19" s="1"/>
  <c r="K40" i="53"/>
  <c r="L346" i="19" s="1"/>
  <c r="L423" i="19" s="1"/>
  <c r="J40" i="53"/>
  <c r="L191" i="19" s="1"/>
  <c r="L268" i="19" s="1"/>
  <c r="H40" i="53"/>
  <c r="G40" i="53"/>
  <c r="N39" i="53"/>
  <c r="L810" i="19" s="1"/>
  <c r="L887" i="19" s="1"/>
  <c r="M39" i="53"/>
  <c r="L655" i="19" s="1"/>
  <c r="L732" i="19" s="1"/>
  <c r="L39" i="53"/>
  <c r="L500" i="19" s="1"/>
  <c r="L577" i="19" s="1"/>
  <c r="K39" i="53"/>
  <c r="L345" i="19" s="1"/>
  <c r="L422" i="19" s="1"/>
  <c r="J39" i="53"/>
  <c r="L190" i="19" s="1"/>
  <c r="L267" i="19" s="1"/>
  <c r="H39" i="53"/>
  <c r="G39" i="53"/>
  <c r="N38" i="53"/>
  <c r="L809" i="19" s="1"/>
  <c r="L886" i="19" s="1"/>
  <c r="M38" i="53"/>
  <c r="L654" i="19" s="1"/>
  <c r="L731" i="19" s="1"/>
  <c r="L38" i="53"/>
  <c r="L499" i="19" s="1"/>
  <c r="L576" i="19" s="1"/>
  <c r="K38" i="53"/>
  <c r="L344" i="19" s="1"/>
  <c r="L421" i="19" s="1"/>
  <c r="J38" i="53"/>
  <c r="L189" i="19" s="1"/>
  <c r="L266" i="19" s="1"/>
  <c r="H38" i="53"/>
  <c r="G38" i="53"/>
  <c r="F38" i="53"/>
  <c r="M37" i="53"/>
  <c r="L652" i="19" s="1"/>
  <c r="L729" i="19" s="1"/>
  <c r="K37" i="53"/>
  <c r="L342" i="19" s="1"/>
  <c r="L419" i="19" s="1"/>
  <c r="I36" i="53"/>
  <c r="L31" i="19" s="1"/>
  <c r="L108" i="19" s="1"/>
  <c r="H36" i="53"/>
  <c r="G36" i="53"/>
  <c r="I35" i="53"/>
  <c r="L30" i="19" s="1"/>
  <c r="L107" i="19" s="1"/>
  <c r="H35" i="53"/>
  <c r="G35" i="53"/>
  <c r="I34" i="53"/>
  <c r="L29" i="19" s="1"/>
  <c r="L106" i="19" s="1"/>
  <c r="H34" i="53"/>
  <c r="G34" i="53"/>
  <c r="N33" i="53"/>
  <c r="L803" i="19" s="1"/>
  <c r="L880" i="19" s="1"/>
  <c r="M33" i="53"/>
  <c r="L648" i="19" s="1"/>
  <c r="L725" i="19" s="1"/>
  <c r="L33" i="53"/>
  <c r="L493" i="19" s="1"/>
  <c r="L570" i="19" s="1"/>
  <c r="K33" i="53"/>
  <c r="L338" i="19" s="1"/>
  <c r="L415" i="19" s="1"/>
  <c r="J33" i="53"/>
  <c r="L183" i="19" s="1"/>
  <c r="L260" i="19" s="1"/>
  <c r="H33" i="53"/>
  <c r="G33" i="53"/>
  <c r="N32" i="53"/>
  <c r="L802" i="19" s="1"/>
  <c r="L879" i="19" s="1"/>
  <c r="M32" i="53"/>
  <c r="L647" i="19" s="1"/>
  <c r="L724" i="19" s="1"/>
  <c r="L32" i="53"/>
  <c r="L492" i="19" s="1"/>
  <c r="L569" i="19" s="1"/>
  <c r="K32" i="53"/>
  <c r="L337" i="19" s="1"/>
  <c r="L414" i="19" s="1"/>
  <c r="J32" i="53"/>
  <c r="L182" i="19" s="1"/>
  <c r="L259" i="19" s="1"/>
  <c r="H32" i="53"/>
  <c r="G32" i="53"/>
  <c r="F32" i="53"/>
  <c r="I30" i="53"/>
  <c r="L24" i="19" s="1"/>
  <c r="L101" i="19" s="1"/>
  <c r="H30" i="53"/>
  <c r="G30" i="53"/>
  <c r="I29" i="53"/>
  <c r="L23" i="19" s="1"/>
  <c r="L100" i="19" s="1"/>
  <c r="H29" i="53"/>
  <c r="G29" i="53"/>
  <c r="N28" i="53"/>
  <c r="L797" i="19" s="1"/>
  <c r="L874" i="19" s="1"/>
  <c r="M28" i="53"/>
  <c r="L642" i="19" s="1"/>
  <c r="L719" i="19" s="1"/>
  <c r="L28" i="53"/>
  <c r="L487" i="19" s="1"/>
  <c r="L564" i="19" s="1"/>
  <c r="K28" i="53"/>
  <c r="L332" i="19" s="1"/>
  <c r="L409" i="19" s="1"/>
  <c r="J28" i="53"/>
  <c r="L177" i="19" s="1"/>
  <c r="L254" i="19" s="1"/>
  <c r="I28" i="53"/>
  <c r="L22" i="19" s="1"/>
  <c r="L99" i="19" s="1"/>
  <c r="H28" i="53"/>
  <c r="G28" i="53"/>
  <c r="N27" i="53"/>
  <c r="L796" i="19" s="1"/>
  <c r="L873" i="19" s="1"/>
  <c r="M27" i="53"/>
  <c r="L641" i="19" s="1"/>
  <c r="L718" i="19" s="1"/>
  <c r="L27" i="53"/>
  <c r="L486" i="19" s="1"/>
  <c r="L563" i="19" s="1"/>
  <c r="K27" i="53"/>
  <c r="L331" i="19" s="1"/>
  <c r="L408" i="19" s="1"/>
  <c r="J27" i="53"/>
  <c r="L176" i="19" s="1"/>
  <c r="L253" i="19" s="1"/>
  <c r="I27" i="53"/>
  <c r="L21" i="19" s="1"/>
  <c r="L98" i="19" s="1"/>
  <c r="H27" i="53"/>
  <c r="G27" i="53"/>
  <c r="N26" i="53"/>
  <c r="L795" i="19" s="1"/>
  <c r="L872" i="19" s="1"/>
  <c r="M26" i="53"/>
  <c r="L640" i="19" s="1"/>
  <c r="L717" i="19" s="1"/>
  <c r="L26" i="53"/>
  <c r="L485" i="19" s="1"/>
  <c r="L562" i="19" s="1"/>
  <c r="K26" i="53"/>
  <c r="L330" i="19" s="1"/>
  <c r="L407" i="19" s="1"/>
  <c r="J26" i="53"/>
  <c r="L175" i="19" s="1"/>
  <c r="L252" i="19" s="1"/>
  <c r="I26" i="53"/>
  <c r="L20" i="19" s="1"/>
  <c r="L97" i="19" s="1"/>
  <c r="H26" i="53"/>
  <c r="G26" i="53"/>
  <c r="F26" i="53"/>
  <c r="N25" i="53"/>
  <c r="L793" i="19" s="1"/>
  <c r="L25" i="53"/>
  <c r="L483" i="19" s="1"/>
  <c r="J25" i="53"/>
  <c r="L173" i="19" s="1"/>
  <c r="I24" i="53"/>
  <c r="L17" i="19" s="1"/>
  <c r="L94" i="19" s="1"/>
  <c r="H24" i="53"/>
  <c r="G24" i="53"/>
  <c r="N23" i="53"/>
  <c r="L791" i="19" s="1"/>
  <c r="L868" i="19" s="1"/>
  <c r="M23" i="53"/>
  <c r="L636" i="19" s="1"/>
  <c r="L713" i="19" s="1"/>
  <c r="L23" i="53"/>
  <c r="L481" i="19" s="1"/>
  <c r="L558" i="19" s="1"/>
  <c r="K23" i="53"/>
  <c r="L326" i="19" s="1"/>
  <c r="L403" i="19" s="1"/>
  <c r="J23" i="53"/>
  <c r="L171" i="19" s="1"/>
  <c r="L248" i="19" s="1"/>
  <c r="I23" i="53"/>
  <c r="L16" i="19" s="1"/>
  <c r="L93" i="19" s="1"/>
  <c r="H23" i="53"/>
  <c r="G23" i="53"/>
  <c r="N22" i="53"/>
  <c r="L790" i="19" s="1"/>
  <c r="L867" i="19" s="1"/>
  <c r="M22" i="53"/>
  <c r="L635" i="19" s="1"/>
  <c r="L712" i="19" s="1"/>
  <c r="L22" i="53"/>
  <c r="L480" i="19" s="1"/>
  <c r="L557" i="19" s="1"/>
  <c r="K22" i="53"/>
  <c r="L325" i="19" s="1"/>
  <c r="L402" i="19" s="1"/>
  <c r="J22" i="53"/>
  <c r="L170" i="19" s="1"/>
  <c r="L247" i="19" s="1"/>
  <c r="I22" i="53"/>
  <c r="L15" i="19" s="1"/>
  <c r="L92" i="19" s="1"/>
  <c r="H22" i="53"/>
  <c r="G22" i="53"/>
  <c r="N21" i="53"/>
  <c r="L789" i="19" s="1"/>
  <c r="L866" i="19" s="1"/>
  <c r="M21" i="53"/>
  <c r="L634" i="19" s="1"/>
  <c r="L711" i="19" s="1"/>
  <c r="L21" i="53"/>
  <c r="L479" i="19" s="1"/>
  <c r="L556" i="19" s="1"/>
  <c r="K21" i="53"/>
  <c r="L324" i="19" s="1"/>
  <c r="L401" i="19" s="1"/>
  <c r="J21" i="53"/>
  <c r="L169" i="19" s="1"/>
  <c r="L246" i="19" s="1"/>
  <c r="I21" i="53"/>
  <c r="L14" i="19" s="1"/>
  <c r="L91" i="19" s="1"/>
  <c r="H21" i="53"/>
  <c r="G21" i="53"/>
  <c r="N20" i="53"/>
  <c r="L788" i="19" s="1"/>
  <c r="L865" i="19" s="1"/>
  <c r="M20" i="53"/>
  <c r="L633" i="19" s="1"/>
  <c r="L710" i="19" s="1"/>
  <c r="L20" i="53"/>
  <c r="L478" i="19" s="1"/>
  <c r="L555" i="19" s="1"/>
  <c r="K20" i="53"/>
  <c r="L323" i="19" s="1"/>
  <c r="L400" i="19" s="1"/>
  <c r="J20" i="53"/>
  <c r="L168" i="19" s="1"/>
  <c r="L245" i="19" s="1"/>
  <c r="I20" i="53"/>
  <c r="L13" i="19" s="1"/>
  <c r="L90" i="19" s="1"/>
  <c r="H20" i="53"/>
  <c r="G20" i="53"/>
  <c r="F20" i="53"/>
  <c r="N19" i="53"/>
  <c r="M19" i="53"/>
  <c r="L19" i="53"/>
  <c r="K19" i="53"/>
  <c r="J19" i="53"/>
  <c r="B14" i="53"/>
  <c r="F12" i="53"/>
  <c r="H152" i="53" s="1"/>
  <c r="N9" i="53"/>
  <c r="M9" i="53"/>
  <c r="L9" i="53"/>
  <c r="K9" i="53"/>
  <c r="J9" i="53"/>
  <c r="B6" i="53"/>
  <c r="B2" i="53"/>
  <c r="B1" i="53"/>
  <c r="H15" i="21" s="1"/>
  <c r="F169" i="52"/>
  <c r="F168" i="52"/>
  <c r="F167" i="52"/>
  <c r="F166" i="52"/>
  <c r="N165" i="52"/>
  <c r="M165" i="52"/>
  <c r="L165" i="52"/>
  <c r="K165" i="52"/>
  <c r="J165" i="52"/>
  <c r="F164" i="52"/>
  <c r="F162" i="52"/>
  <c r="F161" i="52"/>
  <c r="F160" i="52"/>
  <c r="F159" i="52"/>
  <c r="N158" i="52"/>
  <c r="M158" i="52"/>
  <c r="L158" i="52"/>
  <c r="K158" i="52"/>
  <c r="J158" i="52"/>
  <c r="F157" i="52"/>
  <c r="B155" i="52"/>
  <c r="N149" i="52"/>
  <c r="M149" i="52"/>
  <c r="L149" i="52"/>
  <c r="K149" i="52"/>
  <c r="J149" i="52"/>
  <c r="H149" i="52"/>
  <c r="G149" i="52"/>
  <c r="N148" i="52"/>
  <c r="M148" i="52"/>
  <c r="L148" i="52"/>
  <c r="K148" i="52"/>
  <c r="J148" i="52"/>
  <c r="H148" i="52"/>
  <c r="G148" i="52"/>
  <c r="N147" i="52"/>
  <c r="M147" i="52"/>
  <c r="L147" i="52"/>
  <c r="K147" i="52"/>
  <c r="J147" i="52"/>
  <c r="H147" i="52"/>
  <c r="G147" i="52"/>
  <c r="N146" i="52"/>
  <c r="M146" i="52"/>
  <c r="L146" i="52"/>
  <c r="K146" i="52"/>
  <c r="J146" i="52"/>
  <c r="H146" i="52"/>
  <c r="G146" i="52"/>
  <c r="N145" i="52"/>
  <c r="M145" i="52"/>
  <c r="L145" i="52"/>
  <c r="K145" i="52"/>
  <c r="J145" i="52"/>
  <c r="H145" i="52"/>
  <c r="G145" i="52"/>
  <c r="F145" i="52"/>
  <c r="N143" i="52"/>
  <c r="M143" i="52"/>
  <c r="L143" i="52"/>
  <c r="K143" i="52"/>
  <c r="J143" i="52"/>
  <c r="H143" i="52"/>
  <c r="G143" i="52"/>
  <c r="N142" i="52"/>
  <c r="M142" i="52"/>
  <c r="L142" i="52"/>
  <c r="K142" i="52"/>
  <c r="J142" i="52"/>
  <c r="H142" i="52"/>
  <c r="G142" i="52"/>
  <c r="N141" i="52"/>
  <c r="M141" i="52"/>
  <c r="L141" i="52"/>
  <c r="K141" i="52"/>
  <c r="J141" i="52"/>
  <c r="H141" i="52"/>
  <c r="G141" i="52"/>
  <c r="N140" i="52"/>
  <c r="M140" i="52"/>
  <c r="L140" i="52"/>
  <c r="K140" i="52"/>
  <c r="J140" i="52"/>
  <c r="H140" i="52"/>
  <c r="G140" i="52"/>
  <c r="N139" i="52"/>
  <c r="M139" i="52"/>
  <c r="L139" i="52"/>
  <c r="K139" i="52"/>
  <c r="J139" i="52"/>
  <c r="H139" i="52"/>
  <c r="G139" i="52"/>
  <c r="F139" i="52"/>
  <c r="N137" i="52"/>
  <c r="M137" i="52"/>
  <c r="L137" i="52"/>
  <c r="K137" i="52"/>
  <c r="J137" i="52"/>
  <c r="H137" i="52"/>
  <c r="G137" i="52"/>
  <c r="N136" i="52"/>
  <c r="M136" i="52"/>
  <c r="L136" i="52"/>
  <c r="K136" i="52"/>
  <c r="J136" i="52"/>
  <c r="H136" i="52"/>
  <c r="G136" i="52"/>
  <c r="N135" i="52"/>
  <c r="M135" i="52"/>
  <c r="L135" i="52"/>
  <c r="K135" i="52"/>
  <c r="J135" i="52"/>
  <c r="H135" i="52"/>
  <c r="G135" i="52"/>
  <c r="N134" i="52"/>
  <c r="M134" i="52"/>
  <c r="L134" i="52"/>
  <c r="K134" i="52"/>
  <c r="J134" i="52"/>
  <c r="H134" i="52"/>
  <c r="G134" i="52"/>
  <c r="N133" i="52"/>
  <c r="M133" i="52"/>
  <c r="L133" i="52"/>
  <c r="K133" i="52"/>
  <c r="J133" i="52"/>
  <c r="H133" i="52"/>
  <c r="G133" i="52"/>
  <c r="F133" i="52"/>
  <c r="N131" i="52"/>
  <c r="M131" i="52"/>
  <c r="L131" i="52"/>
  <c r="K131" i="52"/>
  <c r="J131" i="52"/>
  <c r="H131" i="52"/>
  <c r="G131" i="52"/>
  <c r="N130" i="52"/>
  <c r="M130" i="52"/>
  <c r="L130" i="52"/>
  <c r="K130" i="52"/>
  <c r="J130" i="52"/>
  <c r="H130" i="52"/>
  <c r="G130" i="52"/>
  <c r="N129" i="52"/>
  <c r="M129" i="52"/>
  <c r="L129" i="52"/>
  <c r="K129" i="52"/>
  <c r="J129" i="52"/>
  <c r="H129" i="52"/>
  <c r="G129" i="52"/>
  <c r="N128" i="52"/>
  <c r="M128" i="52"/>
  <c r="L128" i="52"/>
  <c r="K128" i="52"/>
  <c r="J128" i="52"/>
  <c r="H128" i="52"/>
  <c r="G128" i="52"/>
  <c r="N127" i="52"/>
  <c r="M127" i="52"/>
  <c r="L127" i="52"/>
  <c r="K127" i="52"/>
  <c r="J127" i="52"/>
  <c r="H127" i="52"/>
  <c r="G127" i="52"/>
  <c r="F127" i="52"/>
  <c r="N125" i="52"/>
  <c r="M125" i="52"/>
  <c r="L125" i="52"/>
  <c r="K125" i="52"/>
  <c r="J125" i="52"/>
  <c r="H125" i="52"/>
  <c r="G125" i="52"/>
  <c r="N124" i="52"/>
  <c r="M124" i="52"/>
  <c r="L124" i="52"/>
  <c r="K124" i="52"/>
  <c r="J124" i="52"/>
  <c r="H124" i="52"/>
  <c r="G124" i="52"/>
  <c r="N123" i="52"/>
  <c r="M123" i="52"/>
  <c r="L123" i="52"/>
  <c r="K123" i="52"/>
  <c r="J123" i="52"/>
  <c r="H123" i="52"/>
  <c r="G123" i="52"/>
  <c r="N122" i="52"/>
  <c r="M122" i="52"/>
  <c r="L122" i="52"/>
  <c r="K122" i="52"/>
  <c r="J122" i="52"/>
  <c r="H122" i="52"/>
  <c r="G122" i="52"/>
  <c r="N121" i="52"/>
  <c r="M121" i="52"/>
  <c r="L121" i="52"/>
  <c r="K121" i="52"/>
  <c r="J121" i="52"/>
  <c r="H121" i="52"/>
  <c r="G121" i="52"/>
  <c r="F121" i="52"/>
  <c r="N119" i="52"/>
  <c r="M119" i="52"/>
  <c r="L119" i="52"/>
  <c r="K119" i="52"/>
  <c r="J119" i="52"/>
  <c r="H119" i="52"/>
  <c r="G119" i="52"/>
  <c r="N118" i="52"/>
  <c r="M118" i="52"/>
  <c r="L118" i="52"/>
  <c r="K118" i="52"/>
  <c r="J118" i="52"/>
  <c r="H118" i="52"/>
  <c r="G118" i="52"/>
  <c r="H117" i="52"/>
  <c r="G117" i="52"/>
  <c r="H116" i="52"/>
  <c r="G116" i="52"/>
  <c r="H115" i="52"/>
  <c r="G115" i="52"/>
  <c r="F115" i="52"/>
  <c r="N113" i="52"/>
  <c r="M113" i="52"/>
  <c r="L113" i="52"/>
  <c r="K113" i="52"/>
  <c r="J113" i="52"/>
  <c r="H113" i="52"/>
  <c r="G113" i="52"/>
  <c r="N112" i="52"/>
  <c r="M112" i="52"/>
  <c r="L112" i="52"/>
  <c r="K112" i="52"/>
  <c r="J112" i="52"/>
  <c r="H112" i="52"/>
  <c r="G112" i="52"/>
  <c r="H111" i="52"/>
  <c r="G111" i="52"/>
  <c r="H110" i="52"/>
  <c r="G110" i="52"/>
  <c r="H109" i="52"/>
  <c r="G109" i="52"/>
  <c r="F109" i="52"/>
  <c r="N107" i="52"/>
  <c r="M107" i="52"/>
  <c r="L107" i="52"/>
  <c r="K107" i="52"/>
  <c r="J107" i="52"/>
  <c r="H107" i="52"/>
  <c r="G107" i="52"/>
  <c r="N106" i="52"/>
  <c r="M106" i="52"/>
  <c r="L106" i="52"/>
  <c r="K106" i="52"/>
  <c r="J106" i="52"/>
  <c r="H106" i="52"/>
  <c r="G106" i="52"/>
  <c r="N105" i="52"/>
  <c r="M105" i="52"/>
  <c r="L105" i="52"/>
  <c r="K105" i="52"/>
  <c r="J105" i="52"/>
  <c r="H105" i="52"/>
  <c r="G105" i="52"/>
  <c r="H104" i="52"/>
  <c r="G104" i="52"/>
  <c r="H103" i="52"/>
  <c r="G103" i="52"/>
  <c r="F103" i="52"/>
  <c r="N101" i="52"/>
  <c r="M101" i="52"/>
  <c r="L101" i="52"/>
  <c r="K101" i="52"/>
  <c r="J101" i="52"/>
  <c r="H101" i="52"/>
  <c r="G101" i="52"/>
  <c r="N100" i="52"/>
  <c r="M100" i="52"/>
  <c r="L100" i="52"/>
  <c r="K100" i="52"/>
  <c r="J100" i="52"/>
  <c r="H100" i="52"/>
  <c r="G100" i="52"/>
  <c r="H99" i="52"/>
  <c r="G99" i="52"/>
  <c r="H98" i="52"/>
  <c r="G98" i="52"/>
  <c r="H97" i="52"/>
  <c r="G97" i="52"/>
  <c r="F97" i="52"/>
  <c r="N95" i="52"/>
  <c r="M95" i="52"/>
  <c r="L95" i="52"/>
  <c r="K95" i="52"/>
  <c r="J95" i="52"/>
  <c r="H95" i="52"/>
  <c r="G95" i="52"/>
  <c r="H94" i="52"/>
  <c r="G94" i="52"/>
  <c r="H93" i="52"/>
  <c r="G93" i="52"/>
  <c r="H92" i="52"/>
  <c r="G92" i="52"/>
  <c r="H91" i="52"/>
  <c r="G91" i="52"/>
  <c r="F91" i="52"/>
  <c r="N90" i="52"/>
  <c r="M90" i="52"/>
  <c r="L90" i="52"/>
  <c r="K90" i="52"/>
  <c r="J90" i="52"/>
  <c r="N79" i="52"/>
  <c r="M79" i="52"/>
  <c r="L79" i="52"/>
  <c r="K79" i="52"/>
  <c r="J79" i="52"/>
  <c r="I78" i="52"/>
  <c r="H78" i="52"/>
  <c r="G78" i="52"/>
  <c r="I77" i="52"/>
  <c r="H77" i="52"/>
  <c r="G77" i="52"/>
  <c r="I76" i="52"/>
  <c r="H76" i="52"/>
  <c r="G76" i="52"/>
  <c r="I75" i="52"/>
  <c r="H75" i="52"/>
  <c r="G75" i="52"/>
  <c r="I74" i="52"/>
  <c r="H74" i="52"/>
  <c r="G74" i="52"/>
  <c r="F74" i="52"/>
  <c r="N73" i="52"/>
  <c r="M73" i="52"/>
  <c r="M144" i="52" s="1"/>
  <c r="L73" i="52"/>
  <c r="K73" i="52"/>
  <c r="K144" i="52" s="1"/>
  <c r="J73" i="52"/>
  <c r="I72" i="52"/>
  <c r="H72" i="52"/>
  <c r="G72" i="52"/>
  <c r="I71" i="52"/>
  <c r="I142" i="52" s="1"/>
  <c r="H71" i="52"/>
  <c r="G71" i="52"/>
  <c r="I70" i="52"/>
  <c r="H70" i="52"/>
  <c r="G70" i="52"/>
  <c r="I69" i="52"/>
  <c r="I140" i="52" s="1"/>
  <c r="H69" i="52"/>
  <c r="G69" i="52"/>
  <c r="I68" i="52"/>
  <c r="H68" i="52"/>
  <c r="G68" i="52"/>
  <c r="F68" i="52"/>
  <c r="N67" i="52"/>
  <c r="M67" i="52"/>
  <c r="L67" i="52"/>
  <c r="K67" i="52"/>
  <c r="J67" i="52"/>
  <c r="I66" i="52"/>
  <c r="H66" i="52"/>
  <c r="G66" i="52"/>
  <c r="I65" i="52"/>
  <c r="H65" i="52"/>
  <c r="G65" i="52"/>
  <c r="I64" i="52"/>
  <c r="H64" i="52"/>
  <c r="G64" i="52"/>
  <c r="I63" i="52"/>
  <c r="H63" i="52"/>
  <c r="G63" i="52"/>
  <c r="I62" i="52"/>
  <c r="H62" i="52"/>
  <c r="G62" i="52"/>
  <c r="F62" i="52"/>
  <c r="N61" i="52"/>
  <c r="M61" i="52"/>
  <c r="M132" i="52" s="1"/>
  <c r="L61" i="52"/>
  <c r="K61" i="52"/>
  <c r="K132" i="52" s="1"/>
  <c r="J61" i="52"/>
  <c r="I60" i="52"/>
  <c r="H60" i="52"/>
  <c r="G60" i="52"/>
  <c r="I59" i="52"/>
  <c r="I130" i="52" s="1"/>
  <c r="H59" i="52"/>
  <c r="G59" i="52"/>
  <c r="I58" i="52"/>
  <c r="H58" i="52"/>
  <c r="G58" i="52"/>
  <c r="I57" i="52"/>
  <c r="I128" i="52" s="1"/>
  <c r="H57" i="52"/>
  <c r="G57" i="52"/>
  <c r="I56" i="52"/>
  <c r="H56" i="52"/>
  <c r="G56" i="52"/>
  <c r="F56" i="52"/>
  <c r="N55" i="52"/>
  <c r="M55" i="52"/>
  <c r="L55" i="52"/>
  <c r="K55" i="52"/>
  <c r="J55" i="52"/>
  <c r="I54" i="52"/>
  <c r="H54" i="52"/>
  <c r="G54" i="52"/>
  <c r="I53" i="52"/>
  <c r="H53" i="52"/>
  <c r="G53" i="52"/>
  <c r="I52" i="52"/>
  <c r="H52" i="52"/>
  <c r="G52" i="52"/>
  <c r="I51" i="52"/>
  <c r="H51" i="52"/>
  <c r="G51" i="52"/>
  <c r="I50" i="52"/>
  <c r="H50" i="52"/>
  <c r="G50" i="52"/>
  <c r="F50" i="52"/>
  <c r="I48" i="52"/>
  <c r="H48" i="52"/>
  <c r="G48" i="52"/>
  <c r="I47" i="52"/>
  <c r="I118" i="52" s="1"/>
  <c r="H47" i="52"/>
  <c r="G47" i="52"/>
  <c r="N46" i="52"/>
  <c r="M46" i="52"/>
  <c r="M117" i="52" s="1"/>
  <c r="L46" i="52"/>
  <c r="K46" i="52"/>
  <c r="K117" i="52" s="1"/>
  <c r="J46" i="52"/>
  <c r="I46" i="52"/>
  <c r="I117" i="52" s="1"/>
  <c r="H46" i="52"/>
  <c r="G46" i="52"/>
  <c r="N45" i="52"/>
  <c r="M45" i="52"/>
  <c r="M116" i="52" s="1"/>
  <c r="L45" i="52"/>
  <c r="K45" i="52"/>
  <c r="K116" i="52" s="1"/>
  <c r="J45" i="52"/>
  <c r="I45" i="52"/>
  <c r="I116" i="52" s="1"/>
  <c r="H45" i="52"/>
  <c r="G45" i="52"/>
  <c r="N44" i="52"/>
  <c r="M44" i="52"/>
  <c r="M115" i="52" s="1"/>
  <c r="L44" i="52"/>
  <c r="K44" i="52"/>
  <c r="K115" i="52" s="1"/>
  <c r="J44" i="52"/>
  <c r="I44" i="52"/>
  <c r="I115" i="52" s="1"/>
  <c r="H44" i="52"/>
  <c r="G44" i="52"/>
  <c r="F44" i="52"/>
  <c r="I42" i="52"/>
  <c r="H42" i="52"/>
  <c r="G42" i="52"/>
  <c r="I41" i="52"/>
  <c r="H41" i="52"/>
  <c r="G41" i="52"/>
  <c r="N40" i="52"/>
  <c r="N111" i="52" s="1"/>
  <c r="M40" i="52"/>
  <c r="L40" i="52"/>
  <c r="L111" i="52" s="1"/>
  <c r="K40" i="52"/>
  <c r="J40" i="52"/>
  <c r="J111" i="52" s="1"/>
  <c r="H40" i="52"/>
  <c r="G40" i="52"/>
  <c r="N39" i="52"/>
  <c r="N110" i="52" s="1"/>
  <c r="M39" i="52"/>
  <c r="L39" i="52"/>
  <c r="L110" i="52" s="1"/>
  <c r="K39" i="52"/>
  <c r="J39" i="52"/>
  <c r="J110" i="52" s="1"/>
  <c r="H39" i="52"/>
  <c r="G39" i="52"/>
  <c r="N38" i="52"/>
  <c r="N109" i="52" s="1"/>
  <c r="M38" i="52"/>
  <c r="L38" i="52"/>
  <c r="L109" i="52" s="1"/>
  <c r="K38" i="52"/>
  <c r="J38" i="52"/>
  <c r="J109" i="52" s="1"/>
  <c r="H38" i="52"/>
  <c r="G38" i="52"/>
  <c r="F38" i="52"/>
  <c r="M37" i="52"/>
  <c r="M108" i="52" s="1"/>
  <c r="K37" i="52"/>
  <c r="K108" i="52" s="1"/>
  <c r="I36" i="52"/>
  <c r="H36" i="52"/>
  <c r="G36" i="52"/>
  <c r="I35" i="52"/>
  <c r="I106" i="52" s="1"/>
  <c r="H35" i="52"/>
  <c r="G35" i="52"/>
  <c r="I34" i="52"/>
  <c r="H34" i="52"/>
  <c r="G34" i="52"/>
  <c r="N33" i="52"/>
  <c r="M33" i="52"/>
  <c r="L33" i="52"/>
  <c r="K33" i="52"/>
  <c r="J33" i="52"/>
  <c r="I33" i="52" s="1"/>
  <c r="H33" i="52"/>
  <c r="G33" i="52"/>
  <c r="N32" i="52"/>
  <c r="N37" i="52" s="1"/>
  <c r="M32" i="52"/>
  <c r="L32" i="52"/>
  <c r="L37" i="52" s="1"/>
  <c r="K32" i="52"/>
  <c r="J32" i="52"/>
  <c r="J37" i="52" s="1"/>
  <c r="H32" i="52"/>
  <c r="G32" i="52"/>
  <c r="F32" i="52"/>
  <c r="I30" i="52"/>
  <c r="H30" i="52"/>
  <c r="G30" i="52"/>
  <c r="I29" i="52"/>
  <c r="H29" i="52"/>
  <c r="G29" i="52"/>
  <c r="N28" i="52"/>
  <c r="M28" i="52"/>
  <c r="L28" i="52"/>
  <c r="K28" i="52"/>
  <c r="J28" i="52"/>
  <c r="I28" i="52"/>
  <c r="H28" i="52"/>
  <c r="G28" i="52"/>
  <c r="N27" i="52"/>
  <c r="M27" i="52"/>
  <c r="L27" i="52"/>
  <c r="K27" i="52"/>
  <c r="J27" i="52"/>
  <c r="I27" i="52"/>
  <c r="H27" i="52"/>
  <c r="G27" i="52"/>
  <c r="N26" i="52"/>
  <c r="M26" i="52"/>
  <c r="L26" i="52"/>
  <c r="K26" i="52"/>
  <c r="J26" i="52"/>
  <c r="I26" i="52"/>
  <c r="H26" i="52"/>
  <c r="G26" i="52"/>
  <c r="F26" i="52"/>
  <c r="N25" i="52"/>
  <c r="L25" i="52"/>
  <c r="J25" i="52"/>
  <c r="I24" i="52"/>
  <c r="I95" i="52" s="1"/>
  <c r="H24" i="52"/>
  <c r="G24" i="52"/>
  <c r="N23" i="52"/>
  <c r="M23" i="52"/>
  <c r="M94" i="52" s="1"/>
  <c r="L23" i="52"/>
  <c r="K23" i="52"/>
  <c r="K94" i="52" s="1"/>
  <c r="J23" i="52"/>
  <c r="I23" i="52"/>
  <c r="I94" i="52" s="1"/>
  <c r="H23" i="52"/>
  <c r="G23" i="52"/>
  <c r="N22" i="52"/>
  <c r="M22" i="52"/>
  <c r="M93" i="52" s="1"/>
  <c r="L22" i="52"/>
  <c r="K22" i="52"/>
  <c r="K93" i="52" s="1"/>
  <c r="J22" i="52"/>
  <c r="I22" i="52"/>
  <c r="I93" i="52" s="1"/>
  <c r="H22" i="52"/>
  <c r="G22" i="52"/>
  <c r="N21" i="52"/>
  <c r="M21" i="52"/>
  <c r="M92" i="52" s="1"/>
  <c r="L21" i="52"/>
  <c r="K21" i="52"/>
  <c r="K92" i="52" s="1"/>
  <c r="J21" i="52"/>
  <c r="I21" i="52"/>
  <c r="I92" i="52" s="1"/>
  <c r="H21" i="52"/>
  <c r="G21" i="52"/>
  <c r="N20" i="52"/>
  <c r="M20" i="52"/>
  <c r="M91" i="52" s="1"/>
  <c r="L20" i="52"/>
  <c r="K20" i="52"/>
  <c r="K91" i="52" s="1"/>
  <c r="J20" i="52"/>
  <c r="I20" i="52"/>
  <c r="I91" i="52" s="1"/>
  <c r="H20" i="52"/>
  <c r="G20" i="52"/>
  <c r="F20" i="52"/>
  <c r="N19" i="52"/>
  <c r="M19" i="52"/>
  <c r="L19" i="52"/>
  <c r="K19" i="52"/>
  <c r="J19" i="52"/>
  <c r="B14" i="52"/>
  <c r="F12" i="52"/>
  <c r="H152" i="52" s="1"/>
  <c r="N9" i="52"/>
  <c r="M9" i="52"/>
  <c r="L9" i="52"/>
  <c r="K9" i="52"/>
  <c r="J9" i="52"/>
  <c r="B6" i="52"/>
  <c r="B2" i="52"/>
  <c r="B1" i="52"/>
  <c r="H14" i="21" s="1"/>
  <c r="E171" i="62"/>
  <c r="E170" i="62"/>
  <c r="E169" i="62"/>
  <c r="E168" i="62"/>
  <c r="M167" i="62"/>
  <c r="L167" i="62"/>
  <c r="K167" i="62"/>
  <c r="J167" i="62"/>
  <c r="I167" i="62"/>
  <c r="E166" i="62"/>
  <c r="E164" i="62"/>
  <c r="E163" i="62"/>
  <c r="E162" i="62"/>
  <c r="E161" i="62"/>
  <c r="M160" i="62"/>
  <c r="L160" i="62"/>
  <c r="K160" i="62"/>
  <c r="J160" i="62"/>
  <c r="I160" i="62"/>
  <c r="E159" i="62"/>
  <c r="B157" i="62"/>
  <c r="G154" i="62"/>
  <c r="N150" i="62"/>
  <c r="M150" i="62"/>
  <c r="L150" i="62"/>
  <c r="K150" i="62"/>
  <c r="J150" i="62"/>
  <c r="G150" i="62"/>
  <c r="F150" i="62"/>
  <c r="N149" i="62"/>
  <c r="M149" i="62"/>
  <c r="L149" i="62"/>
  <c r="K149" i="62"/>
  <c r="J149" i="62"/>
  <c r="G149" i="62"/>
  <c r="F149" i="62"/>
  <c r="N148" i="62"/>
  <c r="M148" i="62"/>
  <c r="L148" i="62"/>
  <c r="K148" i="62"/>
  <c r="J148" i="62"/>
  <c r="G148" i="62"/>
  <c r="F148" i="62"/>
  <c r="N147" i="62"/>
  <c r="M147" i="62"/>
  <c r="L147" i="62"/>
  <c r="K147" i="62"/>
  <c r="J147" i="62"/>
  <c r="G147" i="62"/>
  <c r="F147" i="62"/>
  <c r="N146" i="62"/>
  <c r="M146" i="62"/>
  <c r="L146" i="62"/>
  <c r="K146" i="62"/>
  <c r="J146" i="62"/>
  <c r="G146" i="62"/>
  <c r="F146" i="62"/>
  <c r="E146" i="62"/>
  <c r="N144" i="62"/>
  <c r="M144" i="62"/>
  <c r="L144" i="62"/>
  <c r="K144" i="62"/>
  <c r="J144" i="62"/>
  <c r="G144" i="62"/>
  <c r="F144" i="62"/>
  <c r="N143" i="62"/>
  <c r="M143" i="62"/>
  <c r="L143" i="62"/>
  <c r="K143" i="62"/>
  <c r="J143" i="62"/>
  <c r="G143" i="62"/>
  <c r="F143" i="62"/>
  <c r="N142" i="62"/>
  <c r="M142" i="62"/>
  <c r="L142" i="62"/>
  <c r="K142" i="62"/>
  <c r="J142" i="62"/>
  <c r="G142" i="62"/>
  <c r="F142" i="62"/>
  <c r="N141" i="62"/>
  <c r="M141" i="62"/>
  <c r="L141" i="62"/>
  <c r="K141" i="62"/>
  <c r="J141" i="62"/>
  <c r="G141" i="62"/>
  <c r="F141" i="62"/>
  <c r="N140" i="62"/>
  <c r="M140" i="62"/>
  <c r="L140" i="62"/>
  <c r="K140" i="62"/>
  <c r="J140" i="62"/>
  <c r="G140" i="62"/>
  <c r="F140" i="62"/>
  <c r="E140" i="62"/>
  <c r="N138" i="62"/>
  <c r="M138" i="62"/>
  <c r="L138" i="62"/>
  <c r="K138" i="62"/>
  <c r="J138" i="62"/>
  <c r="G138" i="62"/>
  <c r="F138" i="62"/>
  <c r="N137" i="62"/>
  <c r="M137" i="62"/>
  <c r="L137" i="62"/>
  <c r="K137" i="62"/>
  <c r="J137" i="62"/>
  <c r="G137" i="62"/>
  <c r="F137" i="62"/>
  <c r="N136" i="62"/>
  <c r="M136" i="62"/>
  <c r="L136" i="62"/>
  <c r="K136" i="62"/>
  <c r="J136" i="62"/>
  <c r="G136" i="62"/>
  <c r="F136" i="62"/>
  <c r="N135" i="62"/>
  <c r="M135" i="62"/>
  <c r="L135" i="62"/>
  <c r="K135" i="62"/>
  <c r="J135" i="62"/>
  <c r="G135" i="62"/>
  <c r="F135" i="62"/>
  <c r="N134" i="62"/>
  <c r="M134" i="62"/>
  <c r="L134" i="62"/>
  <c r="K134" i="62"/>
  <c r="J134" i="62"/>
  <c r="G134" i="62"/>
  <c r="F134" i="62"/>
  <c r="E134" i="62"/>
  <c r="N132" i="62"/>
  <c r="M132" i="62"/>
  <c r="L132" i="62"/>
  <c r="K132" i="62"/>
  <c r="J132" i="62"/>
  <c r="G132" i="62"/>
  <c r="F132" i="62"/>
  <c r="N131" i="62"/>
  <c r="M131" i="62"/>
  <c r="L131" i="62"/>
  <c r="K131" i="62"/>
  <c r="J131" i="62"/>
  <c r="G131" i="62"/>
  <c r="F131" i="62"/>
  <c r="N130" i="62"/>
  <c r="M130" i="62"/>
  <c r="L130" i="62"/>
  <c r="K130" i="62"/>
  <c r="J130" i="62"/>
  <c r="G130" i="62"/>
  <c r="F130" i="62"/>
  <c r="N129" i="62"/>
  <c r="M129" i="62"/>
  <c r="L129" i="62"/>
  <c r="K129" i="62"/>
  <c r="J129" i="62"/>
  <c r="G129" i="62"/>
  <c r="F129" i="62"/>
  <c r="N128" i="62"/>
  <c r="M128" i="62"/>
  <c r="L128" i="62"/>
  <c r="K128" i="62"/>
  <c r="J128" i="62"/>
  <c r="G128" i="62"/>
  <c r="F128" i="62"/>
  <c r="E128" i="62"/>
  <c r="N126" i="62"/>
  <c r="M126" i="62"/>
  <c r="L126" i="62"/>
  <c r="K126" i="62"/>
  <c r="J126" i="62"/>
  <c r="G126" i="62"/>
  <c r="F126" i="62"/>
  <c r="N125" i="62"/>
  <c r="M125" i="62"/>
  <c r="L125" i="62"/>
  <c r="K125" i="62"/>
  <c r="J125" i="62"/>
  <c r="G125" i="62"/>
  <c r="F125" i="62"/>
  <c r="N124" i="62"/>
  <c r="M124" i="62"/>
  <c r="L124" i="62"/>
  <c r="K124" i="62"/>
  <c r="J124" i="62"/>
  <c r="G124" i="62"/>
  <c r="F124" i="62"/>
  <c r="N123" i="62"/>
  <c r="M123" i="62"/>
  <c r="L123" i="62"/>
  <c r="K123" i="62"/>
  <c r="J123" i="62"/>
  <c r="G123" i="62"/>
  <c r="F123" i="62"/>
  <c r="N122" i="62"/>
  <c r="M122" i="62"/>
  <c r="L122" i="62"/>
  <c r="K122" i="62"/>
  <c r="J122" i="62"/>
  <c r="G122" i="62"/>
  <c r="F122" i="62"/>
  <c r="E122" i="62"/>
  <c r="N120" i="62"/>
  <c r="M120" i="62"/>
  <c r="L120" i="62"/>
  <c r="K120" i="62"/>
  <c r="J120" i="62"/>
  <c r="G120" i="62"/>
  <c r="F120" i="62"/>
  <c r="N119" i="62"/>
  <c r="M119" i="62"/>
  <c r="L119" i="62"/>
  <c r="K119" i="62"/>
  <c r="J119" i="62"/>
  <c r="G119" i="62"/>
  <c r="F119" i="62"/>
  <c r="G118" i="62"/>
  <c r="F118" i="62"/>
  <c r="G117" i="62"/>
  <c r="G116" i="62"/>
  <c r="F116" i="62"/>
  <c r="E116" i="62"/>
  <c r="N114" i="62"/>
  <c r="M114" i="62"/>
  <c r="L114" i="62"/>
  <c r="K114" i="62"/>
  <c r="J114" i="62"/>
  <c r="G114" i="62"/>
  <c r="F114" i="62"/>
  <c r="N113" i="62"/>
  <c r="M113" i="62"/>
  <c r="L113" i="62"/>
  <c r="K113" i="62"/>
  <c r="J113" i="62"/>
  <c r="G113" i="62"/>
  <c r="F113" i="62"/>
  <c r="G112" i="62"/>
  <c r="F112" i="62"/>
  <c r="G111" i="62"/>
  <c r="F111" i="62"/>
  <c r="G110" i="62"/>
  <c r="F110" i="62"/>
  <c r="E110" i="62"/>
  <c r="N108" i="62"/>
  <c r="M108" i="62"/>
  <c r="L108" i="62"/>
  <c r="K108" i="62"/>
  <c r="J108" i="62"/>
  <c r="G108" i="62"/>
  <c r="F108" i="62"/>
  <c r="N107" i="62"/>
  <c r="M107" i="62"/>
  <c r="L107" i="62"/>
  <c r="K107" i="62"/>
  <c r="J107" i="62"/>
  <c r="G107" i="62"/>
  <c r="F107" i="62"/>
  <c r="N106" i="62"/>
  <c r="M106" i="62"/>
  <c r="L106" i="62"/>
  <c r="K106" i="62"/>
  <c r="J106" i="62"/>
  <c r="G106" i="62"/>
  <c r="F106" i="62"/>
  <c r="G105" i="62"/>
  <c r="F105" i="62"/>
  <c r="G104" i="62"/>
  <c r="F104" i="62"/>
  <c r="E104" i="62"/>
  <c r="N102" i="62"/>
  <c r="M102" i="62"/>
  <c r="L102" i="62"/>
  <c r="K102" i="62"/>
  <c r="J102" i="62"/>
  <c r="G102" i="62"/>
  <c r="F102" i="62"/>
  <c r="N101" i="62"/>
  <c r="M101" i="62"/>
  <c r="L101" i="62"/>
  <c r="K101" i="62"/>
  <c r="J101" i="62"/>
  <c r="G101" i="62"/>
  <c r="F101" i="62"/>
  <c r="G100" i="62"/>
  <c r="F100" i="62"/>
  <c r="G99" i="62"/>
  <c r="F99" i="62"/>
  <c r="G98" i="62"/>
  <c r="F98" i="62"/>
  <c r="E98" i="62"/>
  <c r="N96" i="62"/>
  <c r="M96" i="62"/>
  <c r="L96" i="62"/>
  <c r="K96" i="62"/>
  <c r="J96" i="62"/>
  <c r="G96" i="62"/>
  <c r="F96" i="62"/>
  <c r="G95" i="62"/>
  <c r="F95" i="62"/>
  <c r="G94" i="62"/>
  <c r="F94" i="62"/>
  <c r="G93" i="62"/>
  <c r="F93" i="62"/>
  <c r="G92" i="62"/>
  <c r="F92" i="62"/>
  <c r="E92" i="62"/>
  <c r="N91" i="62"/>
  <c r="M91" i="62"/>
  <c r="L91" i="62"/>
  <c r="K91" i="62"/>
  <c r="J91" i="62"/>
  <c r="H82" i="62"/>
  <c r="N79" i="62"/>
  <c r="H856" i="19" s="1"/>
  <c r="H933" i="19" s="1"/>
  <c r="M79" i="62"/>
  <c r="H701" i="19" s="1"/>
  <c r="H778" i="19" s="1"/>
  <c r="L79" i="62"/>
  <c r="H546" i="19" s="1"/>
  <c r="H623" i="19" s="1"/>
  <c r="K79" i="62"/>
  <c r="H391" i="19" s="1"/>
  <c r="H468" i="19" s="1"/>
  <c r="J79" i="62"/>
  <c r="H236" i="19" s="1"/>
  <c r="H313" i="19" s="1"/>
  <c r="I78" i="62"/>
  <c r="H80" i="19" s="1"/>
  <c r="G78" i="62"/>
  <c r="F78" i="62"/>
  <c r="I77" i="62"/>
  <c r="H79" i="19" s="1"/>
  <c r="G77" i="62"/>
  <c r="F77" i="62"/>
  <c r="I76" i="62"/>
  <c r="H78" i="19" s="1"/>
  <c r="G76" i="62"/>
  <c r="F76" i="62"/>
  <c r="I75" i="62"/>
  <c r="H77" i="19" s="1"/>
  <c r="G75" i="62"/>
  <c r="F75" i="62"/>
  <c r="I74" i="62"/>
  <c r="H76" i="19" s="1"/>
  <c r="G74" i="62"/>
  <c r="F74" i="62"/>
  <c r="E74" i="62"/>
  <c r="N73" i="62"/>
  <c r="H849" i="19" s="1"/>
  <c r="H926" i="19" s="1"/>
  <c r="M73" i="62"/>
  <c r="H694" i="19" s="1"/>
  <c r="H771" i="19" s="1"/>
  <c r="L73" i="62"/>
  <c r="H539" i="19" s="1"/>
  <c r="H616" i="19" s="1"/>
  <c r="K73" i="62"/>
  <c r="H384" i="19" s="1"/>
  <c r="H461" i="19" s="1"/>
  <c r="J73" i="62"/>
  <c r="H229" i="19" s="1"/>
  <c r="H306" i="19" s="1"/>
  <c r="I72" i="62"/>
  <c r="H73" i="19" s="1"/>
  <c r="G72" i="62"/>
  <c r="F72" i="62"/>
  <c r="I71" i="62"/>
  <c r="H72" i="19" s="1"/>
  <c r="G71" i="62"/>
  <c r="F71" i="62"/>
  <c r="I70" i="62"/>
  <c r="H71" i="19" s="1"/>
  <c r="G70" i="62"/>
  <c r="F70" i="62"/>
  <c r="I69" i="62"/>
  <c r="H70" i="19" s="1"/>
  <c r="G69" i="62"/>
  <c r="F69" i="62"/>
  <c r="I68" i="62"/>
  <c r="H69" i="19" s="1"/>
  <c r="G68" i="62"/>
  <c r="F68" i="62"/>
  <c r="E68" i="62"/>
  <c r="N67" i="62"/>
  <c r="H842" i="19" s="1"/>
  <c r="H919" i="19" s="1"/>
  <c r="M67" i="62"/>
  <c r="H687" i="19" s="1"/>
  <c r="H764" i="19" s="1"/>
  <c r="L67" i="62"/>
  <c r="H532" i="19" s="1"/>
  <c r="H609" i="19" s="1"/>
  <c r="K67" i="62"/>
  <c r="H377" i="19" s="1"/>
  <c r="H454" i="19" s="1"/>
  <c r="J67" i="62"/>
  <c r="H222" i="19" s="1"/>
  <c r="H299" i="19" s="1"/>
  <c r="I66" i="62"/>
  <c r="H66" i="19" s="1"/>
  <c r="G66" i="62"/>
  <c r="F66" i="62"/>
  <c r="I65" i="62"/>
  <c r="H65" i="19" s="1"/>
  <c r="G65" i="62"/>
  <c r="F65" i="62"/>
  <c r="I64" i="62"/>
  <c r="H64" i="19" s="1"/>
  <c r="G64" i="62"/>
  <c r="F64" i="62"/>
  <c r="I63" i="62"/>
  <c r="H63" i="19" s="1"/>
  <c r="G63" i="62"/>
  <c r="F63" i="62"/>
  <c r="I62" i="62"/>
  <c r="H62" i="19" s="1"/>
  <c r="G62" i="62"/>
  <c r="F62" i="62"/>
  <c r="E62" i="62"/>
  <c r="N61" i="62"/>
  <c r="H835" i="19" s="1"/>
  <c r="H912" i="19" s="1"/>
  <c r="M61" i="62"/>
  <c r="H680" i="19" s="1"/>
  <c r="H757" i="19" s="1"/>
  <c r="L61" i="62"/>
  <c r="H525" i="19" s="1"/>
  <c r="H602" i="19" s="1"/>
  <c r="K61" i="62"/>
  <c r="H370" i="19" s="1"/>
  <c r="H447" i="19" s="1"/>
  <c r="J61" i="62"/>
  <c r="H215" i="19" s="1"/>
  <c r="H292" i="19" s="1"/>
  <c r="I60" i="62"/>
  <c r="H59" i="19" s="1"/>
  <c r="G60" i="62"/>
  <c r="F60" i="62"/>
  <c r="I59" i="62"/>
  <c r="H58" i="19" s="1"/>
  <c r="G59" i="62"/>
  <c r="F59" i="62"/>
  <c r="I58" i="62"/>
  <c r="H57" i="19" s="1"/>
  <c r="G58" i="62"/>
  <c r="F58" i="62"/>
  <c r="I57" i="62"/>
  <c r="H56" i="19" s="1"/>
  <c r="G57" i="62"/>
  <c r="F57" i="62"/>
  <c r="I56" i="62"/>
  <c r="H55" i="19" s="1"/>
  <c r="G56" i="62"/>
  <c r="F56" i="62"/>
  <c r="E56" i="62"/>
  <c r="N55" i="62"/>
  <c r="H828" i="19" s="1"/>
  <c r="H905" i="19" s="1"/>
  <c r="M55" i="62"/>
  <c r="H673" i="19" s="1"/>
  <c r="H750" i="19" s="1"/>
  <c r="L55" i="62"/>
  <c r="H518" i="19" s="1"/>
  <c r="H595" i="19" s="1"/>
  <c r="K55" i="62"/>
  <c r="H363" i="19" s="1"/>
  <c r="H440" i="19" s="1"/>
  <c r="J55" i="62"/>
  <c r="H208" i="19" s="1"/>
  <c r="H285" i="19" s="1"/>
  <c r="I54" i="62"/>
  <c r="H52" i="19" s="1"/>
  <c r="G54" i="62"/>
  <c r="F54" i="62"/>
  <c r="I53" i="62"/>
  <c r="H51" i="19" s="1"/>
  <c r="G53" i="62"/>
  <c r="F53" i="62"/>
  <c r="I52" i="62"/>
  <c r="H50" i="19" s="1"/>
  <c r="G52" i="62"/>
  <c r="F52" i="62"/>
  <c r="I51" i="62"/>
  <c r="H49" i="19" s="1"/>
  <c r="G51" i="62"/>
  <c r="F51" i="62"/>
  <c r="I50" i="62"/>
  <c r="H48" i="19" s="1"/>
  <c r="G50" i="62"/>
  <c r="F50" i="62"/>
  <c r="E50" i="62"/>
  <c r="I48" i="62"/>
  <c r="H45" i="19" s="1"/>
  <c r="G48" i="62"/>
  <c r="F48" i="62"/>
  <c r="I47" i="62"/>
  <c r="H44" i="19" s="1"/>
  <c r="G47" i="62"/>
  <c r="F47" i="62"/>
  <c r="N46" i="62"/>
  <c r="H818" i="19" s="1"/>
  <c r="M46" i="62"/>
  <c r="H663" i="19" s="1"/>
  <c r="L46" i="62"/>
  <c r="H508" i="19" s="1"/>
  <c r="K46" i="62"/>
  <c r="H353" i="19" s="1"/>
  <c r="J46" i="62"/>
  <c r="H198" i="19" s="1"/>
  <c r="G46" i="62"/>
  <c r="F46" i="62"/>
  <c r="N45" i="62"/>
  <c r="H817" i="19" s="1"/>
  <c r="M45" i="62"/>
  <c r="H662" i="19" s="1"/>
  <c r="L45" i="62"/>
  <c r="H507" i="19" s="1"/>
  <c r="K45" i="62"/>
  <c r="H352" i="19" s="1"/>
  <c r="J45" i="62"/>
  <c r="H197" i="19" s="1"/>
  <c r="I45" i="62"/>
  <c r="H42" i="19" s="1"/>
  <c r="G45" i="62"/>
  <c r="F45" i="62"/>
  <c r="N44" i="62"/>
  <c r="H816" i="19" s="1"/>
  <c r="M44" i="62"/>
  <c r="H661" i="19" s="1"/>
  <c r="L44" i="62"/>
  <c r="H506" i="19" s="1"/>
  <c r="K44" i="62"/>
  <c r="H351" i="19" s="1"/>
  <c r="J44" i="62"/>
  <c r="H196" i="19" s="1"/>
  <c r="G44" i="62"/>
  <c r="F44" i="62"/>
  <c r="E44" i="62"/>
  <c r="I42" i="62"/>
  <c r="H38" i="19" s="1"/>
  <c r="G42" i="62"/>
  <c r="F42" i="62"/>
  <c r="I41" i="62"/>
  <c r="H37" i="19" s="1"/>
  <c r="G41" i="62"/>
  <c r="F41" i="62"/>
  <c r="N40" i="62"/>
  <c r="H811" i="19" s="1"/>
  <c r="M40" i="62"/>
  <c r="H656" i="19" s="1"/>
  <c r="L40" i="62"/>
  <c r="H501" i="19" s="1"/>
  <c r="K40" i="62"/>
  <c r="H346" i="19" s="1"/>
  <c r="J40" i="62"/>
  <c r="H191" i="19" s="1"/>
  <c r="I40" i="62"/>
  <c r="H36" i="19" s="1"/>
  <c r="G40" i="62"/>
  <c r="F40" i="62"/>
  <c r="N39" i="62"/>
  <c r="H810" i="19" s="1"/>
  <c r="M39" i="62"/>
  <c r="H655" i="19" s="1"/>
  <c r="L39" i="62"/>
  <c r="H500" i="19" s="1"/>
  <c r="K39" i="62"/>
  <c r="H345" i="19" s="1"/>
  <c r="J39" i="62"/>
  <c r="H190" i="19" s="1"/>
  <c r="G39" i="62"/>
  <c r="F39" i="62"/>
  <c r="N38" i="62"/>
  <c r="H809" i="19" s="1"/>
  <c r="M38" i="62"/>
  <c r="H654" i="19" s="1"/>
  <c r="L38" i="62"/>
  <c r="H499" i="19" s="1"/>
  <c r="K38" i="62"/>
  <c r="H344" i="19" s="1"/>
  <c r="J38" i="62"/>
  <c r="H189" i="19" s="1"/>
  <c r="I38" i="62"/>
  <c r="H34" i="19" s="1"/>
  <c r="G38" i="62"/>
  <c r="F38" i="62"/>
  <c r="E38" i="62"/>
  <c r="I36" i="62"/>
  <c r="H31" i="19" s="1"/>
  <c r="G36" i="62"/>
  <c r="F36" i="62"/>
  <c r="I35" i="62"/>
  <c r="H30" i="19" s="1"/>
  <c r="G35" i="62"/>
  <c r="F35" i="62"/>
  <c r="I34" i="62"/>
  <c r="H29" i="19" s="1"/>
  <c r="G34" i="62"/>
  <c r="F34" i="62"/>
  <c r="N33" i="62"/>
  <c r="H803" i="19" s="1"/>
  <c r="M33" i="62"/>
  <c r="H648" i="19" s="1"/>
  <c r="L33" i="62"/>
  <c r="H493" i="19" s="1"/>
  <c r="K33" i="62"/>
  <c r="H338" i="19" s="1"/>
  <c r="J33" i="62"/>
  <c r="H183" i="19" s="1"/>
  <c r="G33" i="62"/>
  <c r="F33" i="62"/>
  <c r="N32" i="62"/>
  <c r="H802" i="19" s="1"/>
  <c r="M32" i="62"/>
  <c r="H647" i="19" s="1"/>
  <c r="L32" i="62"/>
  <c r="H492" i="19" s="1"/>
  <c r="K32" i="62"/>
  <c r="H337" i="19" s="1"/>
  <c r="J32" i="62"/>
  <c r="H182" i="19" s="1"/>
  <c r="I32" i="62"/>
  <c r="H27" i="19" s="1"/>
  <c r="G32" i="62"/>
  <c r="F32" i="62"/>
  <c r="E32" i="62"/>
  <c r="I30" i="62"/>
  <c r="H24" i="19" s="1"/>
  <c r="G30" i="62"/>
  <c r="F30" i="62"/>
  <c r="I29" i="62"/>
  <c r="H23" i="19" s="1"/>
  <c r="G29" i="62"/>
  <c r="F29" i="62"/>
  <c r="N28" i="62"/>
  <c r="H797" i="19" s="1"/>
  <c r="M28" i="62"/>
  <c r="H642" i="19" s="1"/>
  <c r="L28" i="62"/>
  <c r="H487" i="19" s="1"/>
  <c r="K28" i="62"/>
  <c r="H332" i="19" s="1"/>
  <c r="J28" i="62"/>
  <c r="H177" i="19" s="1"/>
  <c r="G28" i="62"/>
  <c r="F28" i="62"/>
  <c r="N27" i="62"/>
  <c r="H796" i="19" s="1"/>
  <c r="M27" i="62"/>
  <c r="H641" i="19" s="1"/>
  <c r="L27" i="62"/>
  <c r="H486" i="19" s="1"/>
  <c r="K27" i="62"/>
  <c r="H331" i="19" s="1"/>
  <c r="J27" i="62"/>
  <c r="H176" i="19" s="1"/>
  <c r="I27" i="62"/>
  <c r="H21" i="19" s="1"/>
  <c r="G27" i="62"/>
  <c r="N26" i="62"/>
  <c r="H795" i="19" s="1"/>
  <c r="M26" i="62"/>
  <c r="H640" i="19" s="1"/>
  <c r="L26" i="62"/>
  <c r="H485" i="19" s="1"/>
  <c r="K26" i="62"/>
  <c r="H330" i="19" s="1"/>
  <c r="J26" i="62"/>
  <c r="H175" i="19" s="1"/>
  <c r="G26" i="62"/>
  <c r="F26" i="62"/>
  <c r="I24" i="62"/>
  <c r="H17" i="19" s="1"/>
  <c r="G24" i="62"/>
  <c r="F24" i="62"/>
  <c r="N23" i="62"/>
  <c r="H791" i="19" s="1"/>
  <c r="M23" i="62"/>
  <c r="H636" i="19" s="1"/>
  <c r="L23" i="62"/>
  <c r="H481" i="19" s="1"/>
  <c r="K23" i="62"/>
  <c r="H326" i="19" s="1"/>
  <c r="J23" i="62"/>
  <c r="H171" i="19" s="1"/>
  <c r="I23" i="62"/>
  <c r="H16" i="19" s="1"/>
  <c r="G23" i="62"/>
  <c r="F23" i="62"/>
  <c r="N22" i="62"/>
  <c r="H790" i="19" s="1"/>
  <c r="M22" i="62"/>
  <c r="H635" i="19" s="1"/>
  <c r="L22" i="62"/>
  <c r="H480" i="19" s="1"/>
  <c r="K22" i="62"/>
  <c r="H325" i="19" s="1"/>
  <c r="J22" i="62"/>
  <c r="H170" i="19" s="1"/>
  <c r="G22" i="62"/>
  <c r="F22" i="62"/>
  <c r="N21" i="62"/>
  <c r="H789" i="19" s="1"/>
  <c r="M21" i="62"/>
  <c r="H634" i="19" s="1"/>
  <c r="L21" i="62"/>
  <c r="H479" i="19" s="1"/>
  <c r="K21" i="62"/>
  <c r="H324" i="19" s="1"/>
  <c r="J21" i="62"/>
  <c r="H169" i="19" s="1"/>
  <c r="I21" i="62"/>
  <c r="H14" i="19" s="1"/>
  <c r="G21" i="62"/>
  <c r="F21" i="62"/>
  <c r="N20" i="62"/>
  <c r="H788" i="19" s="1"/>
  <c r="M20" i="62"/>
  <c r="H633" i="19" s="1"/>
  <c r="L20" i="62"/>
  <c r="H478" i="19" s="1"/>
  <c r="K20" i="62"/>
  <c r="H323" i="19" s="1"/>
  <c r="J20" i="62"/>
  <c r="H168" i="19" s="1"/>
  <c r="G20" i="62"/>
  <c r="F20" i="62"/>
  <c r="E20" i="62"/>
  <c r="N19" i="62"/>
  <c r="M19" i="62"/>
  <c r="L19" i="62"/>
  <c r="K19" i="62"/>
  <c r="J19" i="62"/>
  <c r="B14" i="62"/>
  <c r="N9" i="62"/>
  <c r="M9" i="62"/>
  <c r="L9" i="62"/>
  <c r="K9" i="62"/>
  <c r="J9" i="62"/>
  <c r="B6" i="62"/>
  <c r="B2" i="62"/>
  <c r="B1" i="62"/>
  <c r="H13" i="21" s="1"/>
  <c r="F22" i="13"/>
  <c r="B2" i="13"/>
  <c r="B1" i="13"/>
  <c r="H12" i="21" s="1"/>
  <c r="H15" i="10"/>
  <c r="H10" i="10"/>
  <c r="H12" i="10" s="1"/>
  <c r="B2" i="10"/>
  <c r="B1" i="10"/>
  <c r="E53" i="8"/>
  <c r="E52" i="8"/>
  <c r="E51" i="8"/>
  <c r="E50" i="8"/>
  <c r="E49" i="8"/>
  <c r="E48" i="8"/>
  <c r="E47" i="8"/>
  <c r="E46" i="8"/>
  <c r="E45" i="8"/>
  <c r="E44" i="8"/>
  <c r="E41" i="8"/>
  <c r="E40" i="8"/>
  <c r="E39" i="8"/>
  <c r="E38" i="8"/>
  <c r="E37" i="8"/>
  <c r="E36" i="8"/>
  <c r="E35" i="8"/>
  <c r="E34" i="8"/>
  <c r="E33" i="8"/>
  <c r="E32" i="8"/>
  <c r="E29" i="8"/>
  <c r="E25" i="8"/>
  <c r="E24" i="8"/>
  <c r="E23" i="8"/>
  <c r="E22" i="8"/>
  <c r="E21" i="8"/>
  <c r="E20" i="8"/>
  <c r="C11" i="8"/>
  <c r="M14" i="48" a="1"/>
  <c r="M14" i="48"/>
  <c r="N10" i="48"/>
  <c r="Q10" i="48" s="1"/>
  <c r="M10" i="48"/>
  <c r="P10" i="48" s="1"/>
  <c r="N9" i="48"/>
  <c r="Q9" i="48" s="1"/>
  <c r="M9" i="48"/>
  <c r="P9" i="48" s="1"/>
  <c r="N8" i="48"/>
  <c r="Q8" i="48" s="1"/>
  <c r="M8" i="48"/>
  <c r="P8" i="48" s="1"/>
  <c r="B7" i="48"/>
  <c r="B8" i="48" s="1"/>
  <c r="B9" i="48" s="1"/>
  <c r="B10" i="48" s="1"/>
  <c r="B11" i="48" s="1"/>
  <c r="P6" i="48"/>
  <c r="F581" i="33"/>
  <c r="L570" i="33"/>
  <c r="K570" i="33"/>
  <c r="J570" i="33"/>
  <c r="I570" i="33"/>
  <c r="H570" i="33"/>
  <c r="G570" i="33"/>
  <c r="F570" i="33"/>
  <c r="L569" i="33"/>
  <c r="K569" i="33"/>
  <c r="J569" i="33"/>
  <c r="I569" i="33"/>
  <c r="H569" i="33"/>
  <c r="F569" i="33"/>
  <c r="L568" i="33"/>
  <c r="K568" i="33"/>
  <c r="J568" i="33"/>
  <c r="I568" i="33"/>
  <c r="H568" i="33"/>
  <c r="F568" i="33"/>
  <c r="L567" i="33"/>
  <c r="K567" i="33"/>
  <c r="J567" i="33"/>
  <c r="I567" i="33"/>
  <c r="H567" i="33"/>
  <c r="F567" i="33"/>
  <c r="L566" i="33"/>
  <c r="K566" i="33"/>
  <c r="J566" i="33"/>
  <c r="I566" i="33"/>
  <c r="H566" i="33"/>
  <c r="G566" i="33"/>
  <c r="F566" i="33"/>
  <c r="L565" i="33"/>
  <c r="K565" i="33"/>
  <c r="J565" i="33"/>
  <c r="I565" i="33"/>
  <c r="H565" i="33"/>
  <c r="F565" i="33"/>
  <c r="L564" i="33"/>
  <c r="K564" i="33"/>
  <c r="J564" i="33"/>
  <c r="I564" i="33"/>
  <c r="H564" i="33"/>
  <c r="F564" i="33"/>
  <c r="L563" i="33"/>
  <c r="K563" i="33"/>
  <c r="J563" i="33"/>
  <c r="I563" i="33"/>
  <c r="H563" i="33"/>
  <c r="F563" i="33"/>
  <c r="L562" i="33"/>
  <c r="K562" i="33"/>
  <c r="J562" i="33"/>
  <c r="I562" i="33"/>
  <c r="H562" i="33"/>
  <c r="F562" i="33"/>
  <c r="L561" i="33"/>
  <c r="L571" i="33" s="1"/>
  <c r="K561" i="33"/>
  <c r="K571" i="33" s="1"/>
  <c r="J561" i="33"/>
  <c r="J571" i="33" s="1"/>
  <c r="I561" i="33"/>
  <c r="I571" i="33" s="1"/>
  <c r="H561" i="33"/>
  <c r="H571" i="33" s="1"/>
  <c r="F561" i="33"/>
  <c r="L560" i="33"/>
  <c r="J560" i="33"/>
  <c r="H560" i="33"/>
  <c r="F560" i="33"/>
  <c r="F571" i="33" s="1"/>
  <c r="F559" i="33"/>
  <c r="I544" i="33"/>
  <c r="I543" i="33"/>
  <c r="I542" i="33"/>
  <c r="I541" i="33"/>
  <c r="I540" i="33"/>
  <c r="B536" i="33"/>
  <c r="F533" i="33"/>
  <c r="L522" i="33"/>
  <c r="K522" i="33"/>
  <c r="J522" i="33"/>
  <c r="I522" i="33"/>
  <c r="H522" i="33"/>
  <c r="F522" i="33"/>
  <c r="L521" i="33"/>
  <c r="K521" i="33"/>
  <c r="J521" i="33"/>
  <c r="I521" i="33"/>
  <c r="H521" i="33"/>
  <c r="G521" i="33"/>
  <c r="F521" i="33"/>
  <c r="L520" i="33"/>
  <c r="K520" i="33"/>
  <c r="J520" i="33"/>
  <c r="I520" i="33"/>
  <c r="H520" i="33"/>
  <c r="G520" i="33"/>
  <c r="F520" i="33"/>
  <c r="L519" i="33"/>
  <c r="K519" i="33"/>
  <c r="J519" i="33"/>
  <c r="I519" i="33"/>
  <c r="H519" i="33"/>
  <c r="G519" i="33"/>
  <c r="F519" i="33"/>
  <c r="L518" i="33"/>
  <c r="K518" i="33"/>
  <c r="J518" i="33"/>
  <c r="I518" i="33"/>
  <c r="H518" i="33"/>
  <c r="F518" i="33"/>
  <c r="L517" i="33"/>
  <c r="K517" i="33"/>
  <c r="J517" i="33"/>
  <c r="I517" i="33"/>
  <c r="H517" i="33"/>
  <c r="F517" i="33"/>
  <c r="L516" i="33"/>
  <c r="K516" i="33"/>
  <c r="J516" i="33"/>
  <c r="I516" i="33"/>
  <c r="H516" i="33"/>
  <c r="G516" i="33"/>
  <c r="F516" i="33"/>
  <c r="L515" i="33"/>
  <c r="K515" i="33"/>
  <c r="J515" i="33"/>
  <c r="I515" i="33"/>
  <c r="H515" i="33"/>
  <c r="F515" i="33"/>
  <c r="L514" i="33"/>
  <c r="K514" i="33"/>
  <c r="J514" i="33"/>
  <c r="I514" i="33"/>
  <c r="H514" i="33"/>
  <c r="G514" i="33"/>
  <c r="F514" i="33"/>
  <c r="L513" i="33"/>
  <c r="L523" i="33" s="1"/>
  <c r="K513" i="33"/>
  <c r="K523" i="33" s="1"/>
  <c r="J513" i="33"/>
  <c r="J523" i="33" s="1"/>
  <c r="I513" i="33"/>
  <c r="I523" i="33" s="1"/>
  <c r="H513" i="33"/>
  <c r="H523" i="33" s="1"/>
  <c r="F513" i="33"/>
  <c r="K512" i="33"/>
  <c r="I512" i="33"/>
  <c r="F512" i="33"/>
  <c r="F523" i="33" s="1"/>
  <c r="F511" i="33"/>
  <c r="I496" i="33"/>
  <c r="I495" i="33"/>
  <c r="I494" i="33"/>
  <c r="I493" i="33"/>
  <c r="I492" i="33"/>
  <c r="B488" i="33"/>
  <c r="F485" i="33"/>
  <c r="L474" i="33"/>
  <c r="K474" i="33"/>
  <c r="J474" i="33"/>
  <c r="I474" i="33"/>
  <c r="H474" i="33"/>
  <c r="F474" i="33"/>
  <c r="L473" i="33"/>
  <c r="K473" i="33"/>
  <c r="J473" i="33"/>
  <c r="I473" i="33"/>
  <c r="H473" i="33"/>
  <c r="F473" i="33"/>
  <c r="L472" i="33"/>
  <c r="K472" i="33"/>
  <c r="J472" i="33"/>
  <c r="I472" i="33"/>
  <c r="H472" i="33"/>
  <c r="F472" i="33"/>
  <c r="L471" i="33"/>
  <c r="K471" i="33"/>
  <c r="J471" i="33"/>
  <c r="I471" i="33"/>
  <c r="H471" i="33"/>
  <c r="F471" i="33"/>
  <c r="L470" i="33"/>
  <c r="K470" i="33"/>
  <c r="J470" i="33"/>
  <c r="I470" i="33"/>
  <c r="H470" i="33"/>
  <c r="F470" i="33"/>
  <c r="L469" i="33"/>
  <c r="K469" i="33"/>
  <c r="J469" i="33"/>
  <c r="I469" i="33"/>
  <c r="H469" i="33"/>
  <c r="F469" i="33"/>
  <c r="L468" i="33"/>
  <c r="K468" i="33"/>
  <c r="J468" i="33"/>
  <c r="I468" i="33"/>
  <c r="H468" i="33"/>
  <c r="F468" i="33"/>
  <c r="L467" i="33"/>
  <c r="K467" i="33"/>
  <c r="J467" i="33"/>
  <c r="I467" i="33"/>
  <c r="H467" i="33"/>
  <c r="F467" i="33"/>
  <c r="L466" i="33"/>
  <c r="K466" i="33"/>
  <c r="J466" i="33"/>
  <c r="I466" i="33"/>
  <c r="H466" i="33"/>
  <c r="F466" i="33"/>
  <c r="L465" i="33"/>
  <c r="L475" i="33" s="1"/>
  <c r="K465" i="33"/>
  <c r="K475" i="33" s="1"/>
  <c r="J465" i="33"/>
  <c r="J475" i="33" s="1"/>
  <c r="I465" i="33"/>
  <c r="I475" i="33" s="1"/>
  <c r="H465" i="33"/>
  <c r="H475" i="33" s="1"/>
  <c r="F465" i="33"/>
  <c r="L464" i="33"/>
  <c r="K464" i="33"/>
  <c r="J464" i="33"/>
  <c r="I464" i="33"/>
  <c r="H464" i="33"/>
  <c r="F464" i="33"/>
  <c r="F475" i="33" s="1"/>
  <c r="F463" i="33"/>
  <c r="I448" i="33"/>
  <c r="I447" i="33"/>
  <c r="I446" i="33"/>
  <c r="I445" i="33"/>
  <c r="I444" i="33"/>
  <c r="B440" i="33"/>
  <c r="F437" i="33"/>
  <c r="L426" i="33"/>
  <c r="K426" i="33"/>
  <c r="J426" i="33"/>
  <c r="I426" i="33"/>
  <c r="H426" i="33"/>
  <c r="F426" i="33"/>
  <c r="L425" i="33"/>
  <c r="K425" i="33"/>
  <c r="J425" i="33"/>
  <c r="I425" i="33"/>
  <c r="H425" i="33"/>
  <c r="G425" i="33"/>
  <c r="F425" i="33"/>
  <c r="L424" i="33"/>
  <c r="K424" i="33"/>
  <c r="J424" i="33"/>
  <c r="I424" i="33"/>
  <c r="H424" i="33"/>
  <c r="G424" i="33"/>
  <c r="F424" i="33"/>
  <c r="L423" i="33"/>
  <c r="K423" i="33"/>
  <c r="J423" i="33"/>
  <c r="I423" i="33"/>
  <c r="H423" i="33"/>
  <c r="G423" i="33"/>
  <c r="F423" i="33"/>
  <c r="L422" i="33"/>
  <c r="K422" i="33"/>
  <c r="J422" i="33"/>
  <c r="I422" i="33"/>
  <c r="H422" i="33"/>
  <c r="F422" i="33"/>
  <c r="L421" i="33"/>
  <c r="K421" i="33"/>
  <c r="J421" i="33"/>
  <c r="I421" i="33"/>
  <c r="H421" i="33"/>
  <c r="F421" i="33"/>
  <c r="L420" i="33"/>
  <c r="K420" i="33"/>
  <c r="J420" i="33"/>
  <c r="I420" i="33"/>
  <c r="H420" i="33"/>
  <c r="G420" i="33"/>
  <c r="F420" i="33"/>
  <c r="L419" i="33"/>
  <c r="K419" i="33"/>
  <c r="J419" i="33"/>
  <c r="I419" i="33"/>
  <c r="H419" i="33"/>
  <c r="F419" i="33"/>
  <c r="L418" i="33"/>
  <c r="K418" i="33"/>
  <c r="J418" i="33"/>
  <c r="I418" i="33"/>
  <c r="H418" i="33"/>
  <c r="G418" i="33"/>
  <c r="F418" i="33"/>
  <c r="L417" i="33"/>
  <c r="L427" i="33" s="1"/>
  <c r="K417" i="33"/>
  <c r="K427" i="33" s="1"/>
  <c r="J417" i="33"/>
  <c r="J427" i="33" s="1"/>
  <c r="I417" i="33"/>
  <c r="I427" i="33" s="1"/>
  <c r="H417" i="33"/>
  <c r="H427" i="33" s="1"/>
  <c r="F417" i="33"/>
  <c r="L416" i="33"/>
  <c r="K416" i="33"/>
  <c r="J416" i="33"/>
  <c r="I416" i="33"/>
  <c r="H416" i="33"/>
  <c r="F416" i="33"/>
  <c r="F427" i="33" s="1"/>
  <c r="F415" i="33"/>
  <c r="I400" i="33"/>
  <c r="I399" i="33"/>
  <c r="I398" i="33"/>
  <c r="I397" i="33"/>
  <c r="I396" i="33"/>
  <c r="B392" i="33"/>
  <c r="F389" i="33"/>
  <c r="L378" i="33"/>
  <c r="K378" i="33"/>
  <c r="J378" i="33"/>
  <c r="I378" i="33"/>
  <c r="H378" i="33"/>
  <c r="G378" i="33"/>
  <c r="F378" i="33"/>
  <c r="L377" i="33"/>
  <c r="K377" i="33"/>
  <c r="J377" i="33"/>
  <c r="I377" i="33"/>
  <c r="H377" i="33"/>
  <c r="F377" i="33"/>
  <c r="L376" i="33"/>
  <c r="K376" i="33"/>
  <c r="J376" i="33"/>
  <c r="I376" i="33"/>
  <c r="H376" i="33"/>
  <c r="F376" i="33"/>
  <c r="L375" i="33"/>
  <c r="K375" i="33"/>
  <c r="J375" i="33"/>
  <c r="I375" i="33"/>
  <c r="H375" i="33"/>
  <c r="F375" i="33"/>
  <c r="L374" i="33"/>
  <c r="K374" i="33"/>
  <c r="J374" i="33"/>
  <c r="I374" i="33"/>
  <c r="H374" i="33"/>
  <c r="G374" i="33"/>
  <c r="F374" i="33"/>
  <c r="L373" i="33"/>
  <c r="K373" i="33"/>
  <c r="J373" i="33"/>
  <c r="I373" i="33"/>
  <c r="H373" i="33"/>
  <c r="F373" i="33"/>
  <c r="L372" i="33"/>
  <c r="K372" i="33"/>
  <c r="J372" i="33"/>
  <c r="I372" i="33"/>
  <c r="H372" i="33"/>
  <c r="F372" i="33"/>
  <c r="L371" i="33"/>
  <c r="K371" i="33"/>
  <c r="J371" i="33"/>
  <c r="I371" i="33"/>
  <c r="H371" i="33"/>
  <c r="F371" i="33"/>
  <c r="L370" i="33"/>
  <c r="K370" i="33"/>
  <c r="J370" i="33"/>
  <c r="I370" i="33"/>
  <c r="H370" i="33"/>
  <c r="F370" i="33"/>
  <c r="L369" i="33"/>
  <c r="L379" i="33" s="1"/>
  <c r="K369" i="33"/>
  <c r="K379" i="33" s="1"/>
  <c r="J369" i="33"/>
  <c r="J379" i="33" s="1"/>
  <c r="I369" i="33"/>
  <c r="I379" i="33" s="1"/>
  <c r="H369" i="33"/>
  <c r="H379" i="33" s="1"/>
  <c r="F369" i="33"/>
  <c r="L368" i="33"/>
  <c r="K368" i="33"/>
  <c r="J368" i="33"/>
  <c r="I368" i="33"/>
  <c r="H368" i="33"/>
  <c r="F368" i="33"/>
  <c r="F379" i="33" s="1"/>
  <c r="F367" i="33"/>
  <c r="I352" i="33"/>
  <c r="I351" i="33"/>
  <c r="I350" i="33"/>
  <c r="I349" i="33"/>
  <c r="I348" i="33"/>
  <c r="B344" i="33"/>
  <c r="F341" i="33"/>
  <c r="L330" i="33"/>
  <c r="K330" i="33"/>
  <c r="J330" i="33"/>
  <c r="I330" i="33"/>
  <c r="H330" i="33"/>
  <c r="F330" i="33"/>
  <c r="L329" i="33"/>
  <c r="K329" i="33"/>
  <c r="J329" i="33"/>
  <c r="I329" i="33"/>
  <c r="H329" i="33"/>
  <c r="G329" i="33"/>
  <c r="F329" i="33"/>
  <c r="L328" i="33"/>
  <c r="K328" i="33"/>
  <c r="J328" i="33"/>
  <c r="I328" i="33"/>
  <c r="H328" i="33"/>
  <c r="G328" i="33"/>
  <c r="F328" i="33"/>
  <c r="L327" i="33"/>
  <c r="K327" i="33"/>
  <c r="J327" i="33"/>
  <c r="I327" i="33"/>
  <c r="H327" i="33"/>
  <c r="G327" i="33"/>
  <c r="F327" i="33"/>
  <c r="L326" i="33"/>
  <c r="K326" i="33"/>
  <c r="J326" i="33"/>
  <c r="I326" i="33"/>
  <c r="H326" i="33"/>
  <c r="F326" i="33"/>
  <c r="L325" i="33"/>
  <c r="K325" i="33"/>
  <c r="J325" i="33"/>
  <c r="I325" i="33"/>
  <c r="H325" i="33"/>
  <c r="F325" i="33"/>
  <c r="L324" i="33"/>
  <c r="K324" i="33"/>
  <c r="J324" i="33"/>
  <c r="I324" i="33"/>
  <c r="H324" i="33"/>
  <c r="G324" i="33"/>
  <c r="F324" i="33"/>
  <c r="L323" i="33"/>
  <c r="K323" i="33"/>
  <c r="J323" i="33"/>
  <c r="I323" i="33"/>
  <c r="H323" i="33"/>
  <c r="F323" i="33"/>
  <c r="L322" i="33"/>
  <c r="K322" i="33"/>
  <c r="J322" i="33"/>
  <c r="I322" i="33"/>
  <c r="H322" i="33"/>
  <c r="G322" i="33"/>
  <c r="F322" i="33"/>
  <c r="L321" i="33"/>
  <c r="L331" i="33" s="1"/>
  <c r="K321" i="33"/>
  <c r="K331" i="33" s="1"/>
  <c r="J321" i="33"/>
  <c r="J331" i="33" s="1"/>
  <c r="I321" i="33"/>
  <c r="I331" i="33" s="1"/>
  <c r="H321" i="33"/>
  <c r="H331" i="33" s="1"/>
  <c r="F321" i="33"/>
  <c r="L320" i="33"/>
  <c r="K320" i="33"/>
  <c r="J320" i="33"/>
  <c r="I320" i="33"/>
  <c r="H320" i="33"/>
  <c r="F320" i="33"/>
  <c r="F331" i="33" s="1"/>
  <c r="F319" i="33"/>
  <c r="I304" i="33"/>
  <c r="I303" i="33"/>
  <c r="I302" i="33"/>
  <c r="I301" i="33"/>
  <c r="I300" i="33"/>
  <c r="B296" i="33"/>
  <c r="F293" i="33"/>
  <c r="L282" i="33"/>
  <c r="K282" i="33"/>
  <c r="J282" i="33"/>
  <c r="I282" i="33"/>
  <c r="H282" i="33"/>
  <c r="F282" i="33"/>
  <c r="L281" i="33"/>
  <c r="K281" i="33"/>
  <c r="J281" i="33"/>
  <c r="I281" i="33"/>
  <c r="H281" i="33"/>
  <c r="F281" i="33"/>
  <c r="L280" i="33"/>
  <c r="K280" i="33"/>
  <c r="J280" i="33"/>
  <c r="I280" i="33"/>
  <c r="H280" i="33"/>
  <c r="F280" i="33"/>
  <c r="L279" i="33"/>
  <c r="K279" i="33"/>
  <c r="J279" i="33"/>
  <c r="I279" i="33"/>
  <c r="H279" i="33"/>
  <c r="F279" i="33"/>
  <c r="L278" i="33"/>
  <c r="K278" i="33"/>
  <c r="J278" i="33"/>
  <c r="I278" i="33"/>
  <c r="H278" i="33"/>
  <c r="F278" i="33"/>
  <c r="L277" i="33"/>
  <c r="K277" i="33"/>
  <c r="J277" i="33"/>
  <c r="I277" i="33"/>
  <c r="H277" i="33"/>
  <c r="F277" i="33"/>
  <c r="L276" i="33"/>
  <c r="K276" i="33"/>
  <c r="J276" i="33"/>
  <c r="I276" i="33"/>
  <c r="H276" i="33"/>
  <c r="F276" i="33"/>
  <c r="L275" i="33"/>
  <c r="K275" i="33"/>
  <c r="J275" i="33"/>
  <c r="I275" i="33"/>
  <c r="H275" i="33"/>
  <c r="F275" i="33"/>
  <c r="L274" i="33"/>
  <c r="K274" i="33"/>
  <c r="J274" i="33"/>
  <c r="I274" i="33"/>
  <c r="H274" i="33"/>
  <c r="F274" i="33"/>
  <c r="L273" i="33"/>
  <c r="L283" i="33" s="1"/>
  <c r="K273" i="33"/>
  <c r="K283" i="33" s="1"/>
  <c r="J273" i="33"/>
  <c r="J283" i="33" s="1"/>
  <c r="I273" i="33"/>
  <c r="I283" i="33" s="1"/>
  <c r="H273" i="33"/>
  <c r="H283" i="33" s="1"/>
  <c r="F273" i="33"/>
  <c r="L272" i="33"/>
  <c r="K272" i="33"/>
  <c r="J272" i="33"/>
  <c r="I272" i="33"/>
  <c r="H272" i="33"/>
  <c r="F272" i="33"/>
  <c r="F283" i="33" s="1"/>
  <c r="F271" i="33"/>
  <c r="I256" i="33"/>
  <c r="I255" i="33"/>
  <c r="I254" i="33"/>
  <c r="I253" i="33"/>
  <c r="I252" i="33"/>
  <c r="B248" i="33"/>
  <c r="F245" i="33"/>
  <c r="L234" i="33"/>
  <c r="K234" i="33"/>
  <c r="J234" i="33"/>
  <c r="I234" i="33"/>
  <c r="H234" i="33"/>
  <c r="F234" i="33"/>
  <c r="L233" i="33"/>
  <c r="K233" i="33"/>
  <c r="J233" i="33"/>
  <c r="I233" i="33"/>
  <c r="H233" i="33"/>
  <c r="G233" i="33"/>
  <c r="F233" i="33"/>
  <c r="L232" i="33"/>
  <c r="K232" i="33"/>
  <c r="J232" i="33"/>
  <c r="I232" i="33"/>
  <c r="H232" i="33"/>
  <c r="G232" i="33"/>
  <c r="F232" i="33"/>
  <c r="L231" i="33"/>
  <c r="K231" i="33"/>
  <c r="J231" i="33"/>
  <c r="I231" i="33"/>
  <c r="H231" i="33"/>
  <c r="G231" i="33"/>
  <c r="F231" i="33"/>
  <c r="L230" i="33"/>
  <c r="K230" i="33"/>
  <c r="J230" i="33"/>
  <c r="I230" i="33"/>
  <c r="H230" i="33"/>
  <c r="F230" i="33"/>
  <c r="L229" i="33"/>
  <c r="K229" i="33"/>
  <c r="J229" i="33"/>
  <c r="I229" i="33"/>
  <c r="H229" i="33"/>
  <c r="F229" i="33"/>
  <c r="L228" i="33"/>
  <c r="K228" i="33"/>
  <c r="J228" i="33"/>
  <c r="I228" i="33"/>
  <c r="H228" i="33"/>
  <c r="G228" i="33"/>
  <c r="F228" i="33"/>
  <c r="L227" i="33"/>
  <c r="K227" i="33"/>
  <c r="J227" i="33"/>
  <c r="I227" i="33"/>
  <c r="H227" i="33"/>
  <c r="F227" i="33"/>
  <c r="L226" i="33"/>
  <c r="K226" i="33"/>
  <c r="J226" i="33"/>
  <c r="I226" i="33"/>
  <c r="H226" i="33"/>
  <c r="F226" i="33"/>
  <c r="L225" i="33"/>
  <c r="L235" i="33" s="1"/>
  <c r="K225" i="33"/>
  <c r="K235" i="33" s="1"/>
  <c r="J225" i="33"/>
  <c r="J235" i="33" s="1"/>
  <c r="I225" i="33"/>
  <c r="I235" i="33" s="1"/>
  <c r="H225" i="33"/>
  <c r="H235" i="33" s="1"/>
  <c r="F225" i="33"/>
  <c r="L224" i="33"/>
  <c r="K224" i="33"/>
  <c r="J224" i="33"/>
  <c r="I224" i="33"/>
  <c r="H224" i="33"/>
  <c r="F224" i="33"/>
  <c r="F235" i="33" s="1"/>
  <c r="F223" i="33"/>
  <c r="I208" i="33"/>
  <c r="I207" i="33"/>
  <c r="I206" i="33"/>
  <c r="I205" i="33"/>
  <c r="I204" i="33"/>
  <c r="B200" i="33"/>
  <c r="F198" i="33"/>
  <c r="L187" i="33"/>
  <c r="K187" i="33"/>
  <c r="J187" i="33"/>
  <c r="I187" i="33"/>
  <c r="H187" i="33"/>
  <c r="G187" i="33"/>
  <c r="F187" i="33"/>
  <c r="L186" i="33"/>
  <c r="K186" i="33"/>
  <c r="J186" i="33"/>
  <c r="I186" i="33"/>
  <c r="H186" i="33"/>
  <c r="F186" i="33"/>
  <c r="L185" i="33"/>
  <c r="K185" i="33"/>
  <c r="J185" i="33"/>
  <c r="I185" i="33"/>
  <c r="H185" i="33"/>
  <c r="F185" i="33"/>
  <c r="L184" i="33"/>
  <c r="K184" i="33"/>
  <c r="J184" i="33"/>
  <c r="I184" i="33"/>
  <c r="H184" i="33"/>
  <c r="F184" i="33"/>
  <c r="L183" i="33"/>
  <c r="K183" i="33"/>
  <c r="J183" i="33"/>
  <c r="I183" i="33"/>
  <c r="H183" i="33"/>
  <c r="G183" i="33"/>
  <c r="F183" i="33"/>
  <c r="L182" i="33"/>
  <c r="K182" i="33"/>
  <c r="J182" i="33"/>
  <c r="I182" i="33"/>
  <c r="H182" i="33"/>
  <c r="F182" i="33"/>
  <c r="L181" i="33"/>
  <c r="K181" i="33"/>
  <c r="J181" i="33"/>
  <c r="I181" i="33"/>
  <c r="H181" i="33"/>
  <c r="F181" i="33"/>
  <c r="L180" i="33"/>
  <c r="K180" i="33"/>
  <c r="J180" i="33"/>
  <c r="I180" i="33"/>
  <c r="H180" i="33"/>
  <c r="F180" i="33"/>
  <c r="L179" i="33"/>
  <c r="K179" i="33"/>
  <c r="J179" i="33"/>
  <c r="I179" i="33"/>
  <c r="H179" i="33"/>
  <c r="F179" i="33"/>
  <c r="L178" i="33"/>
  <c r="L188" i="33" s="1"/>
  <c r="K178" i="33"/>
  <c r="K188" i="33" s="1"/>
  <c r="J178" i="33"/>
  <c r="J188" i="33" s="1"/>
  <c r="I178" i="33"/>
  <c r="I188" i="33" s="1"/>
  <c r="H178" i="33"/>
  <c r="H188" i="33" s="1"/>
  <c r="F178" i="33"/>
  <c r="L177" i="33"/>
  <c r="K177" i="33"/>
  <c r="J177" i="33"/>
  <c r="I177" i="33"/>
  <c r="H177" i="33"/>
  <c r="F177" i="33"/>
  <c r="F188" i="33" s="1"/>
  <c r="F176" i="33"/>
  <c r="I161" i="33"/>
  <c r="I160" i="33"/>
  <c r="I159" i="33"/>
  <c r="I158" i="33"/>
  <c r="I157" i="33"/>
  <c r="B153" i="33"/>
  <c r="F151" i="33"/>
  <c r="L140" i="33"/>
  <c r="K140" i="33"/>
  <c r="J140" i="33"/>
  <c r="I140" i="33"/>
  <c r="H140" i="33"/>
  <c r="F140" i="33"/>
  <c r="L139" i="33"/>
  <c r="K139" i="33"/>
  <c r="J139" i="33"/>
  <c r="I139" i="33"/>
  <c r="H139" i="33"/>
  <c r="G139" i="33"/>
  <c r="F139" i="33"/>
  <c r="L138" i="33"/>
  <c r="K138" i="33"/>
  <c r="J138" i="33"/>
  <c r="I138" i="33"/>
  <c r="H138" i="33"/>
  <c r="G138" i="33"/>
  <c r="F138" i="33"/>
  <c r="L137" i="33"/>
  <c r="K137" i="33"/>
  <c r="J137" i="33"/>
  <c r="I137" i="33"/>
  <c r="H137" i="33"/>
  <c r="G137" i="33"/>
  <c r="F137" i="33"/>
  <c r="L136" i="33"/>
  <c r="K136" i="33"/>
  <c r="J136" i="33"/>
  <c r="I136" i="33"/>
  <c r="H136" i="33"/>
  <c r="F136" i="33"/>
  <c r="L135" i="33"/>
  <c r="K135" i="33"/>
  <c r="J135" i="33"/>
  <c r="I135" i="33"/>
  <c r="H135" i="33"/>
  <c r="F135" i="33"/>
  <c r="L134" i="33"/>
  <c r="K134" i="33"/>
  <c r="J134" i="33"/>
  <c r="I134" i="33"/>
  <c r="H134" i="33"/>
  <c r="G134" i="33"/>
  <c r="F134" i="33"/>
  <c r="L133" i="33"/>
  <c r="K133" i="33"/>
  <c r="J133" i="33"/>
  <c r="I133" i="33"/>
  <c r="H133" i="33"/>
  <c r="F133" i="33"/>
  <c r="L132" i="33"/>
  <c r="K132" i="33"/>
  <c r="J132" i="33"/>
  <c r="I132" i="33"/>
  <c r="H132" i="33"/>
  <c r="F132" i="33"/>
  <c r="L131" i="33"/>
  <c r="L141" i="33" s="1"/>
  <c r="K131" i="33"/>
  <c r="K141" i="33" s="1"/>
  <c r="J131" i="33"/>
  <c r="J141" i="33" s="1"/>
  <c r="I131" i="33"/>
  <c r="I141" i="33" s="1"/>
  <c r="H131" i="33"/>
  <c r="H141" i="33" s="1"/>
  <c r="F131" i="33"/>
  <c r="L130" i="33"/>
  <c r="K130" i="33"/>
  <c r="J130" i="33"/>
  <c r="I130" i="33"/>
  <c r="H130" i="33"/>
  <c r="F130" i="33"/>
  <c r="F141" i="33" s="1"/>
  <c r="F129" i="33"/>
  <c r="I114" i="33"/>
  <c r="I113" i="33"/>
  <c r="I112" i="33"/>
  <c r="I111" i="33"/>
  <c r="I110" i="33"/>
  <c r="B106" i="33"/>
  <c r="F103" i="33"/>
  <c r="F102" i="33"/>
  <c r="F101" i="33"/>
  <c r="F100" i="33"/>
  <c r="F99" i="33"/>
  <c r="F98" i="33"/>
  <c r="F97" i="33"/>
  <c r="F96" i="33"/>
  <c r="F95" i="33"/>
  <c r="F94" i="33"/>
  <c r="F93" i="33"/>
  <c r="L92" i="33"/>
  <c r="K92" i="33"/>
  <c r="J92" i="33"/>
  <c r="I92" i="33"/>
  <c r="H92" i="33"/>
  <c r="F92" i="33"/>
  <c r="F90" i="33"/>
  <c r="F89" i="33"/>
  <c r="F88" i="33"/>
  <c r="F87" i="33"/>
  <c r="F86" i="33"/>
  <c r="F85" i="33"/>
  <c r="F84" i="33"/>
  <c r="F83" i="33"/>
  <c r="F82" i="33"/>
  <c r="F81" i="33"/>
  <c r="F80" i="33"/>
  <c r="L79" i="33"/>
  <c r="K79" i="33"/>
  <c r="J79" i="33"/>
  <c r="I79" i="33"/>
  <c r="H79" i="33"/>
  <c r="F79" i="33"/>
  <c r="F74" i="33"/>
  <c r="F73" i="33"/>
  <c r="F72" i="33"/>
  <c r="F71" i="33"/>
  <c r="F70" i="33"/>
  <c r="F69" i="33"/>
  <c r="F68" i="33"/>
  <c r="F67" i="33"/>
  <c r="F66" i="33"/>
  <c r="F65" i="33"/>
  <c r="F62" i="33"/>
  <c r="F75" i="33" s="1"/>
  <c r="F59" i="33"/>
  <c r="F58" i="33"/>
  <c r="F57" i="33"/>
  <c r="F56" i="33"/>
  <c r="F55" i="33"/>
  <c r="F54" i="33"/>
  <c r="F53" i="33"/>
  <c r="F52" i="33"/>
  <c r="F51" i="33"/>
  <c r="F50" i="33"/>
  <c r="F49" i="33"/>
  <c r="F46" i="33"/>
  <c r="B2" i="33"/>
  <c r="B1" i="33"/>
  <c r="H10" i="21" s="1"/>
  <c r="B2" i="47"/>
  <c r="B1" i="47"/>
  <c r="H9" i="21" s="1"/>
  <c r="D46" i="50"/>
  <c r="D45" i="50"/>
  <c r="D44" i="50"/>
  <c r="D43" i="50"/>
  <c r="D42" i="50"/>
  <c r="D41" i="50"/>
  <c r="D40" i="50"/>
  <c r="D39" i="50"/>
  <c r="D38" i="50"/>
  <c r="D37" i="50"/>
  <c r="D34" i="50"/>
  <c r="C11" i="50"/>
  <c r="D34" i="21"/>
  <c r="D11" i="21"/>
  <c r="D8" i="21"/>
  <c r="B2" i="21"/>
  <c r="G12" i="20"/>
  <c r="C9" i="20"/>
  <c r="M161" i="37" l="1"/>
  <c r="M168" i="37" s="1"/>
  <c r="L84" i="15"/>
  <c r="L92" i="15" s="1"/>
  <c r="N168" i="61"/>
  <c r="N161" i="61" s="1"/>
  <c r="J159" i="44"/>
  <c r="J166" i="44" s="1"/>
  <c r="M7" i="17"/>
  <c r="M8" i="17" s="1"/>
  <c r="M10" i="17" s="1"/>
  <c r="M6" i="17" s="1"/>
  <c r="K7" i="17"/>
  <c r="K8" i="17" s="1"/>
  <c r="K10" i="17" s="1"/>
  <c r="K6" i="17" s="1"/>
  <c r="M7" i="16"/>
  <c r="M8" i="16" s="1"/>
  <c r="M10" i="16" s="1"/>
  <c r="M6" i="16" s="1"/>
  <c r="K7" i="16"/>
  <c r="K8" i="16" s="1"/>
  <c r="K10" i="16" s="1"/>
  <c r="K6" i="16" s="1"/>
  <c r="M7" i="15"/>
  <c r="M8" i="15" s="1"/>
  <c r="M10" i="15" s="1"/>
  <c r="M6" i="15" s="1"/>
  <c r="K7" i="15"/>
  <c r="K8" i="15" s="1"/>
  <c r="K10" i="15" s="1"/>
  <c r="K6" i="15" s="1"/>
  <c r="M7" i="63"/>
  <c r="M8" i="63" s="1"/>
  <c r="M10" i="63" s="1"/>
  <c r="M6" i="63" s="1"/>
  <c r="K7" i="63"/>
  <c r="K8" i="63" s="1"/>
  <c r="K10" i="63" s="1"/>
  <c r="K6" i="63" s="1"/>
  <c r="N7" i="46"/>
  <c r="N8" i="46" s="1"/>
  <c r="N10" i="46" s="1"/>
  <c r="N6" i="46" s="1"/>
  <c r="L7" i="46"/>
  <c r="L8" i="46" s="1"/>
  <c r="L10" i="46" s="1"/>
  <c r="L6" i="46" s="1"/>
  <c r="J7" i="46"/>
  <c r="J8" i="46" s="1"/>
  <c r="J10" i="46" s="1"/>
  <c r="J6" i="46" s="1"/>
  <c r="M7" i="45"/>
  <c r="M8" i="45" s="1"/>
  <c r="M10" i="45" s="1"/>
  <c r="M6" i="45" s="1"/>
  <c r="K7" i="45"/>
  <c r="K8" i="45" s="1"/>
  <c r="K10" i="45" s="1"/>
  <c r="K6" i="45" s="1"/>
  <c r="M7" i="44"/>
  <c r="M8" i="44" s="1"/>
  <c r="M10" i="44" s="1"/>
  <c r="M6" i="44" s="1"/>
  <c r="K7" i="44"/>
  <c r="K8" i="44" s="1"/>
  <c r="K10" i="44" s="1"/>
  <c r="K6" i="44" s="1"/>
  <c r="M7" i="43"/>
  <c r="M8" i="43" s="1"/>
  <c r="M10" i="43" s="1"/>
  <c r="M6" i="43" s="1"/>
  <c r="K7" i="43"/>
  <c r="K8" i="43" s="1"/>
  <c r="K10" i="43" s="1"/>
  <c r="K6" i="43" s="1"/>
  <c r="N7" i="42"/>
  <c r="N8" i="42" s="1"/>
  <c r="N10" i="42" s="1"/>
  <c r="N6" i="42" s="1"/>
  <c r="L7" i="42"/>
  <c r="L8" i="42" s="1"/>
  <c r="L10" i="42" s="1"/>
  <c r="L6" i="42" s="1"/>
  <c r="J7" i="42"/>
  <c r="J8" i="42" s="1"/>
  <c r="J10" i="42" s="1"/>
  <c r="J6" i="42" s="1"/>
  <c r="L7" i="17"/>
  <c r="L8" i="17" s="1"/>
  <c r="L10" i="17" s="1"/>
  <c r="L6" i="17" s="1"/>
  <c r="L7" i="16"/>
  <c r="L8" i="16" s="1"/>
  <c r="L10" i="16" s="1"/>
  <c r="L6" i="16" s="1"/>
  <c r="N7" i="15"/>
  <c r="N8" i="15" s="1"/>
  <c r="N10" i="15" s="1"/>
  <c r="N6" i="15" s="1"/>
  <c r="J7" i="15"/>
  <c r="J8" i="15" s="1"/>
  <c r="J10" i="15" s="1"/>
  <c r="J6" i="15" s="1"/>
  <c r="L7" i="63"/>
  <c r="L8" i="63" s="1"/>
  <c r="L10" i="63" s="1"/>
  <c r="L6" i="63" s="1"/>
  <c r="K7" i="46"/>
  <c r="K8" i="46" s="1"/>
  <c r="K10" i="46" s="1"/>
  <c r="K6" i="46" s="1"/>
  <c r="N7" i="45"/>
  <c r="N8" i="45" s="1"/>
  <c r="N10" i="45" s="1"/>
  <c r="N6" i="45" s="1"/>
  <c r="J7" i="45"/>
  <c r="J8" i="45" s="1"/>
  <c r="J10" i="45" s="1"/>
  <c r="J6" i="45" s="1"/>
  <c r="N7" i="44"/>
  <c r="N8" i="44" s="1"/>
  <c r="N10" i="44" s="1"/>
  <c r="N6" i="44" s="1"/>
  <c r="J7" i="44"/>
  <c r="J8" i="44" s="1"/>
  <c r="J10" i="44" s="1"/>
  <c r="J6" i="44" s="1"/>
  <c r="L7" i="43"/>
  <c r="L8" i="43" s="1"/>
  <c r="L10" i="43" s="1"/>
  <c r="L6" i="43" s="1"/>
  <c r="M7" i="42"/>
  <c r="M8" i="42" s="1"/>
  <c r="M10" i="42" s="1"/>
  <c r="M6" i="42" s="1"/>
  <c r="N7" i="41"/>
  <c r="N8" i="41" s="1"/>
  <c r="N10" i="41" s="1"/>
  <c r="N6" i="41" s="1"/>
  <c r="L7" i="41"/>
  <c r="L8" i="41" s="1"/>
  <c r="L10" i="41" s="1"/>
  <c r="L6" i="41" s="1"/>
  <c r="J7" i="41"/>
  <c r="J8" i="41" s="1"/>
  <c r="J10" i="41" s="1"/>
  <c r="J6" i="41" s="1"/>
  <c r="M7" i="40"/>
  <c r="M8" i="40" s="1"/>
  <c r="M10" i="40" s="1"/>
  <c r="M6" i="40" s="1"/>
  <c r="K7" i="40"/>
  <c r="K8" i="40" s="1"/>
  <c r="K10" i="40" s="1"/>
  <c r="K6" i="40" s="1"/>
  <c r="N7" i="38"/>
  <c r="N8" i="38" s="1"/>
  <c r="N10" i="38" s="1"/>
  <c r="N6" i="38" s="1"/>
  <c r="L7" i="38"/>
  <c r="L8" i="38" s="1"/>
  <c r="L10" i="38" s="1"/>
  <c r="L6" i="38" s="1"/>
  <c r="J7" i="38"/>
  <c r="J8" i="38" s="1"/>
  <c r="J10" i="38" s="1"/>
  <c r="J6" i="38" s="1"/>
  <c r="L7" i="15"/>
  <c r="L8" i="15" s="1"/>
  <c r="L10" i="15" s="1"/>
  <c r="L6" i="15" s="1"/>
  <c r="L7" i="45"/>
  <c r="L8" i="45" s="1"/>
  <c r="L10" i="45" s="1"/>
  <c r="L6" i="45" s="1"/>
  <c r="L7" i="44"/>
  <c r="L8" i="44" s="1"/>
  <c r="L10" i="44" s="1"/>
  <c r="L6" i="44" s="1"/>
  <c r="K7" i="42"/>
  <c r="K8" i="42" s="1"/>
  <c r="K10" i="42" s="1"/>
  <c r="K6" i="42" s="1"/>
  <c r="M7" i="41"/>
  <c r="M8" i="41" s="1"/>
  <c r="M10" i="41" s="1"/>
  <c r="M6" i="41" s="1"/>
  <c r="K7" i="41"/>
  <c r="K8" i="41" s="1"/>
  <c r="K10" i="41" s="1"/>
  <c r="K6" i="41" s="1"/>
  <c r="N7" i="40"/>
  <c r="N8" i="40" s="1"/>
  <c r="N10" i="40" s="1"/>
  <c r="N6" i="40" s="1"/>
  <c r="L7" i="40"/>
  <c r="L8" i="40" s="1"/>
  <c r="L10" i="40" s="1"/>
  <c r="L6" i="40" s="1"/>
  <c r="J7" i="40"/>
  <c r="J8" i="40" s="1"/>
  <c r="J10" i="40" s="1"/>
  <c r="J6" i="40" s="1"/>
  <c r="M7" i="38"/>
  <c r="M8" i="38" s="1"/>
  <c r="M10" i="38" s="1"/>
  <c r="M6" i="38" s="1"/>
  <c r="K7" i="38"/>
  <c r="K8" i="38" s="1"/>
  <c r="K10" i="38" s="1"/>
  <c r="K6" i="38" s="1"/>
  <c r="N7" i="37"/>
  <c r="N8" i="37" s="1"/>
  <c r="N10" i="37" s="1"/>
  <c r="N6" i="37" s="1"/>
  <c r="L7" i="37"/>
  <c r="L8" i="37" s="1"/>
  <c r="L10" i="37" s="1"/>
  <c r="L6" i="37" s="1"/>
  <c r="J7" i="37"/>
  <c r="J8" i="37" s="1"/>
  <c r="J10" i="37" s="1"/>
  <c r="J6" i="37" s="1"/>
  <c r="N7" i="14"/>
  <c r="N8" i="14" s="1"/>
  <c r="N10" i="14" s="1"/>
  <c r="N6" i="14" s="1"/>
  <c r="L7" i="14"/>
  <c r="L8" i="14" s="1"/>
  <c r="L10" i="14" s="1"/>
  <c r="L6" i="14" s="1"/>
  <c r="J7" i="14"/>
  <c r="J8" i="14" s="1"/>
  <c r="J10" i="14" s="1"/>
  <c r="J6" i="14" s="1"/>
  <c r="M7" i="61"/>
  <c r="M8" i="61" s="1"/>
  <c r="M10" i="61" s="1"/>
  <c r="M6" i="61" s="1"/>
  <c r="K7" i="61"/>
  <c r="K8" i="61" s="1"/>
  <c r="K10" i="61" s="1"/>
  <c r="K6" i="61" s="1"/>
  <c r="N7" i="60"/>
  <c r="N8" i="60" s="1"/>
  <c r="N10" i="60" s="1"/>
  <c r="N6" i="60" s="1"/>
  <c r="L7" i="60"/>
  <c r="L8" i="60" s="1"/>
  <c r="L10" i="60" s="1"/>
  <c r="L6" i="60" s="1"/>
  <c r="J7" i="60"/>
  <c r="J8" i="60" s="1"/>
  <c r="J10" i="60" s="1"/>
  <c r="J6" i="60" s="1"/>
  <c r="N7" i="59"/>
  <c r="N8" i="59" s="1"/>
  <c r="N10" i="59" s="1"/>
  <c r="N6" i="59" s="1"/>
  <c r="L7" i="59"/>
  <c r="L8" i="59" s="1"/>
  <c r="L10" i="59" s="1"/>
  <c r="L6" i="59" s="1"/>
  <c r="J7" i="59"/>
  <c r="J8" i="59" s="1"/>
  <c r="J10" i="59" s="1"/>
  <c r="J6" i="59" s="1"/>
  <c r="N7" i="58"/>
  <c r="N8" i="58" s="1"/>
  <c r="N10" i="58" s="1"/>
  <c r="N6" i="58" s="1"/>
  <c r="L7" i="58"/>
  <c r="L8" i="58" s="1"/>
  <c r="L10" i="58" s="1"/>
  <c r="L6" i="58" s="1"/>
  <c r="J7" i="58"/>
  <c r="J8" i="58" s="1"/>
  <c r="J10" i="58" s="1"/>
  <c r="J6" i="58" s="1"/>
  <c r="N7" i="57"/>
  <c r="N8" i="57" s="1"/>
  <c r="N10" i="57" s="1"/>
  <c r="N6" i="57" s="1"/>
  <c r="L7" i="57"/>
  <c r="L8" i="57" s="1"/>
  <c r="L10" i="57" s="1"/>
  <c r="L6" i="57" s="1"/>
  <c r="J7" i="57"/>
  <c r="J8" i="57" s="1"/>
  <c r="J10" i="57" s="1"/>
  <c r="J6" i="57" s="1"/>
  <c r="M7" i="56"/>
  <c r="M8" i="56" s="1"/>
  <c r="M10" i="56" s="1"/>
  <c r="M6" i="56" s="1"/>
  <c r="K7" i="56"/>
  <c r="K8" i="56" s="1"/>
  <c r="K10" i="56" s="1"/>
  <c r="K6" i="56" s="1"/>
  <c r="N7" i="55"/>
  <c r="N8" i="55" s="1"/>
  <c r="N10" i="55" s="1"/>
  <c r="N6" i="55" s="1"/>
  <c r="L7" i="55"/>
  <c r="L8" i="55" s="1"/>
  <c r="L10" i="55" s="1"/>
  <c r="L6" i="55" s="1"/>
  <c r="J7" i="55"/>
  <c r="J8" i="55" s="1"/>
  <c r="J10" i="55" s="1"/>
  <c r="J6" i="55" s="1"/>
  <c r="N7" i="54"/>
  <c r="N8" i="54" s="1"/>
  <c r="N10" i="54" s="1"/>
  <c r="N6" i="54" s="1"/>
  <c r="L7" i="54"/>
  <c r="L8" i="54" s="1"/>
  <c r="L10" i="54" s="1"/>
  <c r="L6" i="54" s="1"/>
  <c r="J7" i="54"/>
  <c r="J8" i="54" s="1"/>
  <c r="J10" i="54" s="1"/>
  <c r="J6" i="54" s="1"/>
  <c r="N7" i="53"/>
  <c r="N8" i="53" s="1"/>
  <c r="N10" i="53" s="1"/>
  <c r="N6" i="53" s="1"/>
  <c r="L7" i="53"/>
  <c r="L8" i="53" s="1"/>
  <c r="L10" i="53" s="1"/>
  <c r="L6" i="53" s="1"/>
  <c r="J7" i="53"/>
  <c r="J8" i="53" s="1"/>
  <c r="J10" i="53" s="1"/>
  <c r="J6" i="53" s="1"/>
  <c r="N7" i="52"/>
  <c r="N8" i="52" s="1"/>
  <c r="N10" i="52" s="1"/>
  <c r="N6" i="52" s="1"/>
  <c r="L7" i="52"/>
  <c r="L8" i="52" s="1"/>
  <c r="L10" i="52" s="1"/>
  <c r="L6" i="52" s="1"/>
  <c r="J7" i="52"/>
  <c r="J8" i="52" s="1"/>
  <c r="J10" i="52" s="1"/>
  <c r="J6" i="52" s="1"/>
  <c r="M7" i="62"/>
  <c r="M8" i="62" s="1"/>
  <c r="M10" i="62" s="1"/>
  <c r="M6" i="62" s="1"/>
  <c r="K7" i="62"/>
  <c r="K8" i="62" s="1"/>
  <c r="K10" i="62" s="1"/>
  <c r="K6" i="62" s="1"/>
  <c r="H13" i="10"/>
  <c r="K7" i="37"/>
  <c r="K8" i="37" s="1"/>
  <c r="K10" i="37" s="1"/>
  <c r="K6" i="37" s="1"/>
  <c r="M7" i="14"/>
  <c r="M8" i="14" s="1"/>
  <c r="M10" i="14" s="1"/>
  <c r="M6" i="14" s="1"/>
  <c r="K7" i="14"/>
  <c r="K8" i="14" s="1"/>
  <c r="K10" i="14" s="1"/>
  <c r="K6" i="14" s="1"/>
  <c r="N7" i="61"/>
  <c r="N8" i="61" s="1"/>
  <c r="N10" i="61" s="1"/>
  <c r="N6" i="61" s="1"/>
  <c r="L7" i="61"/>
  <c r="L8" i="61" s="1"/>
  <c r="L10" i="61" s="1"/>
  <c r="L6" i="61" s="1"/>
  <c r="J7" i="61"/>
  <c r="J8" i="61" s="1"/>
  <c r="J10" i="61" s="1"/>
  <c r="J6" i="61" s="1"/>
  <c r="M7" i="60"/>
  <c r="M8" i="60" s="1"/>
  <c r="M10" i="60" s="1"/>
  <c r="M6" i="60" s="1"/>
  <c r="K7" i="60"/>
  <c r="K8" i="60" s="1"/>
  <c r="K10" i="60" s="1"/>
  <c r="K6" i="60" s="1"/>
  <c r="M7" i="59"/>
  <c r="M8" i="59" s="1"/>
  <c r="M10" i="59" s="1"/>
  <c r="M6" i="59" s="1"/>
  <c r="K7" i="59"/>
  <c r="K8" i="59" s="1"/>
  <c r="K10" i="59" s="1"/>
  <c r="K6" i="59" s="1"/>
  <c r="M7" i="58"/>
  <c r="M8" i="58" s="1"/>
  <c r="M10" i="58" s="1"/>
  <c r="M6" i="58" s="1"/>
  <c r="K7" i="58"/>
  <c r="K8" i="58" s="1"/>
  <c r="K10" i="58" s="1"/>
  <c r="K6" i="58" s="1"/>
  <c r="M7" i="57"/>
  <c r="M8" i="57" s="1"/>
  <c r="M10" i="57" s="1"/>
  <c r="M6" i="57" s="1"/>
  <c r="K7" i="57"/>
  <c r="K8" i="57" s="1"/>
  <c r="K10" i="57" s="1"/>
  <c r="K6" i="57" s="1"/>
  <c r="N7" i="56"/>
  <c r="N8" i="56" s="1"/>
  <c r="N10" i="56" s="1"/>
  <c r="N6" i="56" s="1"/>
  <c r="L7" i="56"/>
  <c r="L8" i="56" s="1"/>
  <c r="L10" i="56" s="1"/>
  <c r="L6" i="56" s="1"/>
  <c r="J7" i="56"/>
  <c r="J8" i="56" s="1"/>
  <c r="J10" i="56" s="1"/>
  <c r="J6" i="56" s="1"/>
  <c r="M7" i="55"/>
  <c r="M8" i="55" s="1"/>
  <c r="M10" i="55" s="1"/>
  <c r="M6" i="55" s="1"/>
  <c r="K7" i="55"/>
  <c r="K8" i="55" s="1"/>
  <c r="K10" i="55" s="1"/>
  <c r="K6" i="55" s="1"/>
  <c r="M7" i="54"/>
  <c r="M8" i="54" s="1"/>
  <c r="M10" i="54" s="1"/>
  <c r="M6" i="54" s="1"/>
  <c r="K7" i="54"/>
  <c r="K8" i="54" s="1"/>
  <c r="K10" i="54" s="1"/>
  <c r="K6" i="54" s="1"/>
  <c r="M7" i="53"/>
  <c r="M8" i="53" s="1"/>
  <c r="M10" i="53" s="1"/>
  <c r="M6" i="53" s="1"/>
  <c r="K7" i="53"/>
  <c r="K8" i="53" s="1"/>
  <c r="K10" i="53" s="1"/>
  <c r="K6" i="53" s="1"/>
  <c r="M7" i="52"/>
  <c r="M8" i="52" s="1"/>
  <c r="M10" i="52" s="1"/>
  <c r="M6" i="52" s="1"/>
  <c r="K7" i="52"/>
  <c r="K8" i="52" s="1"/>
  <c r="K10" i="52" s="1"/>
  <c r="K6" i="52" s="1"/>
  <c r="N7" i="62"/>
  <c r="N8" i="62" s="1"/>
  <c r="N10" i="62" s="1"/>
  <c r="N6" i="62" s="1"/>
  <c r="L7" i="62"/>
  <c r="L8" i="62" s="1"/>
  <c r="L10" i="62" s="1"/>
  <c r="L6" i="62" s="1"/>
  <c r="J7" i="62"/>
  <c r="J8" i="62" s="1"/>
  <c r="J10" i="62" s="1"/>
  <c r="J6" i="62" s="1"/>
  <c r="K187" i="19"/>
  <c r="K264" i="19" s="1"/>
  <c r="J108" i="52"/>
  <c r="K497" i="19"/>
  <c r="K574" i="19" s="1"/>
  <c r="L108" i="52"/>
  <c r="K807" i="19"/>
  <c r="K884" i="19" s="1"/>
  <c r="N108" i="52"/>
  <c r="U250" i="19"/>
  <c r="U560" i="19"/>
  <c r="U870" i="19"/>
  <c r="M7" i="37"/>
  <c r="M8" i="37" s="1"/>
  <c r="M10" i="37" s="1"/>
  <c r="M6" i="37" s="1"/>
  <c r="K28" i="19"/>
  <c r="I104" i="52"/>
  <c r="U405" i="19"/>
  <c r="U715" i="19"/>
  <c r="H512" i="33"/>
  <c r="J512" i="33"/>
  <c r="L512" i="33"/>
  <c r="I560" i="33"/>
  <c r="K560" i="33"/>
  <c r="I20" i="62"/>
  <c r="H400" i="19"/>
  <c r="H710" i="19"/>
  <c r="H246" i="19"/>
  <c r="H556" i="19"/>
  <c r="H866" i="19"/>
  <c r="I22" i="62"/>
  <c r="H402" i="19"/>
  <c r="H712" i="19"/>
  <c r="H248" i="19"/>
  <c r="H558" i="19"/>
  <c r="H868" i="19"/>
  <c r="H94" i="19"/>
  <c r="K25" i="62"/>
  <c r="M25" i="62"/>
  <c r="I26" i="62"/>
  <c r="H407" i="19"/>
  <c r="H717" i="19"/>
  <c r="H253" i="19"/>
  <c r="H563" i="19"/>
  <c r="H873" i="19"/>
  <c r="I28" i="62"/>
  <c r="H409" i="19"/>
  <c r="H719" i="19"/>
  <c r="J31" i="62"/>
  <c r="L31" i="62"/>
  <c r="N31" i="62"/>
  <c r="H259" i="19"/>
  <c r="H569" i="19"/>
  <c r="H879" i="19"/>
  <c r="I33" i="62"/>
  <c r="H415" i="19"/>
  <c r="H725" i="19"/>
  <c r="J37" i="62"/>
  <c r="L37" i="62"/>
  <c r="N37" i="62"/>
  <c r="H266" i="19"/>
  <c r="H576" i="19"/>
  <c r="H886" i="19"/>
  <c r="I39" i="62"/>
  <c r="H422" i="19"/>
  <c r="H732" i="19"/>
  <c r="H268" i="19"/>
  <c r="H578" i="19"/>
  <c r="H888" i="19"/>
  <c r="H114" i="19"/>
  <c r="H115" i="19"/>
  <c r="I43" i="62"/>
  <c r="K43" i="62"/>
  <c r="M43" i="62"/>
  <c r="I44" i="62"/>
  <c r="H428" i="19"/>
  <c r="H738" i="19"/>
  <c r="H274" i="19"/>
  <c r="H584" i="19"/>
  <c r="H894" i="19"/>
  <c r="I46" i="62"/>
  <c r="H430" i="19"/>
  <c r="H740" i="19"/>
  <c r="J49" i="62"/>
  <c r="L49" i="62"/>
  <c r="N49" i="62"/>
  <c r="J92" i="62"/>
  <c r="L92" i="62"/>
  <c r="N92" i="62"/>
  <c r="I93" i="62"/>
  <c r="K93" i="62"/>
  <c r="M93" i="62"/>
  <c r="J94" i="62"/>
  <c r="L94" i="62"/>
  <c r="N94" i="62"/>
  <c r="I95" i="62"/>
  <c r="K95" i="62"/>
  <c r="M95" i="62"/>
  <c r="K98" i="62"/>
  <c r="M98" i="62"/>
  <c r="J99" i="62"/>
  <c r="L99" i="62"/>
  <c r="N99" i="62"/>
  <c r="K100" i="62"/>
  <c r="M100" i="62"/>
  <c r="I102" i="62"/>
  <c r="J104" i="62"/>
  <c r="L104" i="62"/>
  <c r="N104" i="62"/>
  <c r="K105" i="62"/>
  <c r="M105" i="62"/>
  <c r="I107" i="62"/>
  <c r="I110" i="62"/>
  <c r="K110" i="62"/>
  <c r="M110" i="62"/>
  <c r="J111" i="62"/>
  <c r="L111" i="62"/>
  <c r="N111" i="62"/>
  <c r="I112" i="62"/>
  <c r="K112" i="62"/>
  <c r="M112" i="62"/>
  <c r="I114" i="62"/>
  <c r="J116" i="62"/>
  <c r="L116" i="62"/>
  <c r="N116" i="62"/>
  <c r="I117" i="62"/>
  <c r="K117" i="62"/>
  <c r="M117" i="62"/>
  <c r="J118" i="62"/>
  <c r="L118" i="62"/>
  <c r="N118" i="62"/>
  <c r="I119" i="62"/>
  <c r="I122" i="62"/>
  <c r="I124" i="62"/>
  <c r="I126" i="62"/>
  <c r="J127" i="62"/>
  <c r="H385" i="33" s="1"/>
  <c r="L127" i="62"/>
  <c r="J385" i="33" s="1"/>
  <c r="N127" i="62"/>
  <c r="L385" i="33" s="1"/>
  <c r="I129" i="62"/>
  <c r="I131" i="62"/>
  <c r="K133" i="62"/>
  <c r="I433" i="33" s="1"/>
  <c r="M133" i="62"/>
  <c r="K433" i="33" s="1"/>
  <c r="K428" i="33" s="1"/>
  <c r="I134" i="62"/>
  <c r="I136" i="62"/>
  <c r="I138" i="62"/>
  <c r="J139" i="62"/>
  <c r="H481" i="33" s="1"/>
  <c r="H476" i="33" s="1"/>
  <c r="L139" i="62"/>
  <c r="J481" i="33" s="1"/>
  <c r="N139" i="62"/>
  <c r="L481" i="33" s="1"/>
  <c r="L476" i="33" s="1"/>
  <c r="I141" i="62"/>
  <c r="I143" i="62"/>
  <c r="K145" i="62"/>
  <c r="I529" i="33" s="1"/>
  <c r="M145" i="62"/>
  <c r="K529" i="33" s="1"/>
  <c r="K524" i="33" s="1"/>
  <c r="I146" i="62"/>
  <c r="I148" i="62"/>
  <c r="I150" i="62"/>
  <c r="J151" i="62"/>
  <c r="H577" i="33" s="1"/>
  <c r="H572" i="33" s="1"/>
  <c r="L151" i="62"/>
  <c r="J577" i="33" s="1"/>
  <c r="N151" i="62"/>
  <c r="L577" i="33" s="1"/>
  <c r="L572" i="33" s="1"/>
  <c r="J101" i="63"/>
  <c r="J168" i="63" s="1"/>
  <c r="K168" i="19"/>
  <c r="J69" i="16"/>
  <c r="J135" i="16" s="1"/>
  <c r="K478" i="19"/>
  <c r="L101" i="63"/>
  <c r="L168" i="63" s="1"/>
  <c r="L69" i="16"/>
  <c r="L135" i="16" s="1"/>
  <c r="K788" i="19"/>
  <c r="N101" i="63"/>
  <c r="N69" i="16"/>
  <c r="K169" i="19"/>
  <c r="J102" i="63"/>
  <c r="J169" i="63" s="1"/>
  <c r="J70" i="16"/>
  <c r="J136" i="16" s="1"/>
  <c r="K479" i="19"/>
  <c r="L102" i="63"/>
  <c r="L169" i="63" s="1"/>
  <c r="L70" i="16"/>
  <c r="L136" i="16" s="1"/>
  <c r="K789" i="19"/>
  <c r="N102" i="63"/>
  <c r="N169" i="63" s="1"/>
  <c r="N70" i="16"/>
  <c r="N136" i="16" s="1"/>
  <c r="J103" i="63"/>
  <c r="J170" i="63" s="1"/>
  <c r="K170" i="19"/>
  <c r="J71" i="16"/>
  <c r="J137" i="16" s="1"/>
  <c r="K480" i="19"/>
  <c r="L103" i="63"/>
  <c r="L170" i="63" s="1"/>
  <c r="L71" i="16"/>
  <c r="L137" i="16" s="1"/>
  <c r="K790" i="19"/>
  <c r="N103" i="63"/>
  <c r="N170" i="63" s="1"/>
  <c r="N71" i="16"/>
  <c r="N137" i="16" s="1"/>
  <c r="K171" i="19"/>
  <c r="J104" i="63"/>
  <c r="J171" i="63" s="1"/>
  <c r="J72" i="16"/>
  <c r="J138" i="16" s="1"/>
  <c r="K481" i="19"/>
  <c r="L104" i="63"/>
  <c r="L171" i="63" s="1"/>
  <c r="L72" i="16"/>
  <c r="L138" i="16" s="1"/>
  <c r="K791" i="19"/>
  <c r="N104" i="63"/>
  <c r="N171" i="63" s="1"/>
  <c r="N72" i="16"/>
  <c r="N138" i="16" s="1"/>
  <c r="I25" i="52"/>
  <c r="K25" i="52"/>
  <c r="M25" i="52"/>
  <c r="J75" i="16"/>
  <c r="J141" i="16" s="1"/>
  <c r="K175" i="19"/>
  <c r="J107" i="63"/>
  <c r="J174" i="63" s="1"/>
  <c r="K485" i="19"/>
  <c r="L75" i="16"/>
  <c r="L141" i="16" s="1"/>
  <c r="L107" i="63"/>
  <c r="L174" i="63" s="1"/>
  <c r="K795" i="19"/>
  <c r="N75" i="16"/>
  <c r="N107" i="63"/>
  <c r="N174" i="63" s="1"/>
  <c r="K176" i="19"/>
  <c r="J76" i="16"/>
  <c r="J108" i="63"/>
  <c r="J175" i="63" s="1"/>
  <c r="K486" i="19"/>
  <c r="L76" i="16"/>
  <c r="L142" i="16" s="1"/>
  <c r="L108" i="63"/>
  <c r="L175" i="63" s="1"/>
  <c r="K796" i="19"/>
  <c r="N76" i="16"/>
  <c r="N142" i="16" s="1"/>
  <c r="N108" i="63"/>
  <c r="N175" i="63" s="1"/>
  <c r="J77" i="16"/>
  <c r="J143" i="16" s="1"/>
  <c r="J109" i="63"/>
  <c r="J176" i="63" s="1"/>
  <c r="K177" i="19"/>
  <c r="K487" i="19"/>
  <c r="L77" i="16"/>
  <c r="L143" i="16" s="1"/>
  <c r="L109" i="63"/>
  <c r="L176" i="63" s="1"/>
  <c r="K797" i="19"/>
  <c r="N77" i="16"/>
  <c r="N143" i="16" s="1"/>
  <c r="N109" i="63"/>
  <c r="N176" i="63" s="1"/>
  <c r="K24" i="19"/>
  <c r="I111" i="63"/>
  <c r="I178" i="63" s="1"/>
  <c r="I79" i="16"/>
  <c r="I145" i="16" s="1"/>
  <c r="J31" i="52"/>
  <c r="L31" i="52"/>
  <c r="N31" i="52"/>
  <c r="I32" i="52"/>
  <c r="K337" i="19"/>
  <c r="K81" i="16"/>
  <c r="K147" i="16" s="1"/>
  <c r="K113" i="63"/>
  <c r="K180" i="63" s="1"/>
  <c r="K647" i="19"/>
  <c r="M81" i="16"/>
  <c r="M147" i="16" s="1"/>
  <c r="M113" i="63"/>
  <c r="M180" i="63" s="1"/>
  <c r="K338" i="19"/>
  <c r="K82" i="16"/>
  <c r="K148" i="16" s="1"/>
  <c r="K114" i="63"/>
  <c r="K181" i="63" s="1"/>
  <c r="K648" i="19"/>
  <c r="M82" i="16"/>
  <c r="M148" i="16" s="1"/>
  <c r="M114" i="63"/>
  <c r="M181" i="63" s="1"/>
  <c r="K29" i="19"/>
  <c r="I83" i="16"/>
  <c r="I149" i="16" s="1"/>
  <c r="I115" i="63"/>
  <c r="I182" i="63" s="1"/>
  <c r="K31" i="19"/>
  <c r="I85" i="16"/>
  <c r="I151" i="16" s="1"/>
  <c r="I117" i="63"/>
  <c r="I184" i="63" s="1"/>
  <c r="I38" i="52"/>
  <c r="K119" i="63"/>
  <c r="K186" i="63" s="1"/>
  <c r="K344" i="19"/>
  <c r="K87" i="16"/>
  <c r="K153" i="16" s="1"/>
  <c r="K654" i="19"/>
  <c r="M119" i="63"/>
  <c r="M186" i="63" s="1"/>
  <c r="M87" i="16"/>
  <c r="M153" i="16" s="1"/>
  <c r="I39" i="52"/>
  <c r="K345" i="19"/>
  <c r="K120" i="63"/>
  <c r="K187" i="63" s="1"/>
  <c r="K88" i="16"/>
  <c r="K154" i="16" s="1"/>
  <c r="K655" i="19"/>
  <c r="M120" i="63"/>
  <c r="M187" i="63" s="1"/>
  <c r="M88" i="16"/>
  <c r="M154" i="16" s="1"/>
  <c r="I40" i="52"/>
  <c r="K346" i="19"/>
  <c r="K121" i="63"/>
  <c r="K188" i="63" s="1"/>
  <c r="K89" i="16"/>
  <c r="K155" i="16" s="1"/>
  <c r="K656" i="19"/>
  <c r="M121" i="63"/>
  <c r="M188" i="63" s="1"/>
  <c r="M89" i="16"/>
  <c r="M155" i="16" s="1"/>
  <c r="I122" i="63"/>
  <c r="I189" i="63" s="1"/>
  <c r="K37" i="19"/>
  <c r="I90" i="16"/>
  <c r="I156" i="16" s="1"/>
  <c r="K43" i="52"/>
  <c r="M43" i="52"/>
  <c r="J125" i="63"/>
  <c r="J192" i="63" s="1"/>
  <c r="K196" i="19"/>
  <c r="J93" i="16"/>
  <c r="J159" i="16" s="1"/>
  <c r="K506" i="19"/>
  <c r="L125" i="63"/>
  <c r="L192" i="63" s="1"/>
  <c r="L93" i="16"/>
  <c r="L159" i="16" s="1"/>
  <c r="K816" i="19"/>
  <c r="N125" i="63"/>
  <c r="N192" i="63" s="1"/>
  <c r="N93" i="16"/>
  <c r="N159" i="16" s="1"/>
  <c r="K197" i="19"/>
  <c r="J126" i="63"/>
  <c r="J193" i="63" s="1"/>
  <c r="J94" i="16"/>
  <c r="J160" i="16" s="1"/>
  <c r="K507" i="19"/>
  <c r="L126" i="63"/>
  <c r="L193" i="63" s="1"/>
  <c r="L94" i="16"/>
  <c r="L160" i="16" s="1"/>
  <c r="K817" i="19"/>
  <c r="N126" i="63"/>
  <c r="N193" i="63" s="1"/>
  <c r="N94" i="16"/>
  <c r="N160" i="16" s="1"/>
  <c r="J127" i="63"/>
  <c r="J194" i="63" s="1"/>
  <c r="K198" i="19"/>
  <c r="J95" i="16"/>
  <c r="J161" i="16" s="1"/>
  <c r="K508" i="19"/>
  <c r="L127" i="63"/>
  <c r="L194" i="63" s="1"/>
  <c r="L95" i="16"/>
  <c r="L161" i="16" s="1"/>
  <c r="K818" i="19"/>
  <c r="N127" i="63"/>
  <c r="N194" i="63" s="1"/>
  <c r="N95" i="16"/>
  <c r="N161" i="16" s="1"/>
  <c r="K45" i="19"/>
  <c r="I97" i="16"/>
  <c r="I163" i="16" s="1"/>
  <c r="I129" i="63"/>
  <c r="I196" i="63" s="1"/>
  <c r="J49" i="52"/>
  <c r="L49" i="52"/>
  <c r="N49" i="52"/>
  <c r="K48" i="19"/>
  <c r="I131" i="63"/>
  <c r="I198" i="63" s="1"/>
  <c r="K50" i="19"/>
  <c r="I133" i="63"/>
  <c r="I200" i="63" s="1"/>
  <c r="I101" i="16"/>
  <c r="I167" i="16" s="1"/>
  <c r="K52" i="19"/>
  <c r="I135" i="63"/>
  <c r="I202" i="63" s="1"/>
  <c r="I103" i="16"/>
  <c r="I169" i="16" s="1"/>
  <c r="J136" i="63"/>
  <c r="K208" i="19"/>
  <c r="K285" i="19" s="1"/>
  <c r="K518" i="19"/>
  <c r="K595" i="19" s="1"/>
  <c r="L136" i="63"/>
  <c r="K828" i="19"/>
  <c r="K905" i="19" s="1"/>
  <c r="N136" i="63"/>
  <c r="K55" i="19"/>
  <c r="I137" i="63"/>
  <c r="I204" i="63" s="1"/>
  <c r="K57" i="19"/>
  <c r="I107" i="16"/>
  <c r="I173" i="16" s="1"/>
  <c r="I139" i="63"/>
  <c r="I206" i="63" s="1"/>
  <c r="K59" i="19"/>
  <c r="I109" i="16"/>
  <c r="I175" i="16" s="1"/>
  <c r="I141" i="63"/>
  <c r="I208" i="63" s="1"/>
  <c r="J142" i="63"/>
  <c r="K215" i="19"/>
  <c r="K292" i="19" s="1"/>
  <c r="K525" i="19"/>
  <c r="K602" i="19" s="1"/>
  <c r="L142" i="63"/>
  <c r="K835" i="19"/>
  <c r="K912" i="19" s="1"/>
  <c r="N142" i="63"/>
  <c r="K62" i="19"/>
  <c r="I143" i="63"/>
  <c r="I210" i="63" s="1"/>
  <c r="K64" i="19"/>
  <c r="I145" i="63"/>
  <c r="I212" i="63" s="1"/>
  <c r="I113" i="16"/>
  <c r="I179" i="16" s="1"/>
  <c r="K66" i="19"/>
  <c r="I147" i="63"/>
  <c r="I214" i="63" s="1"/>
  <c r="I115" i="16"/>
  <c r="I181" i="16" s="1"/>
  <c r="K222" i="19"/>
  <c r="K299" i="19" s="1"/>
  <c r="J148" i="63"/>
  <c r="K532" i="19"/>
  <c r="K609" i="19" s="1"/>
  <c r="L148" i="63"/>
  <c r="K842" i="19"/>
  <c r="K919" i="19" s="1"/>
  <c r="N148" i="63"/>
  <c r="K69" i="19"/>
  <c r="I149" i="63"/>
  <c r="I216" i="63" s="1"/>
  <c r="K71" i="19"/>
  <c r="I119" i="16"/>
  <c r="I185" i="16" s="1"/>
  <c r="I151" i="63"/>
  <c r="I218" i="63" s="1"/>
  <c r="K73" i="19"/>
  <c r="I121" i="16"/>
  <c r="I187" i="16" s="1"/>
  <c r="I153" i="63"/>
  <c r="I220" i="63" s="1"/>
  <c r="J154" i="63"/>
  <c r="K229" i="19"/>
  <c r="K306" i="19" s="1"/>
  <c r="K539" i="19"/>
  <c r="K616" i="19" s="1"/>
  <c r="L154" i="63"/>
  <c r="K849" i="19"/>
  <c r="K926" i="19" s="1"/>
  <c r="N154" i="63"/>
  <c r="K76" i="19"/>
  <c r="I155" i="63"/>
  <c r="I222" i="63" s="1"/>
  <c r="K78" i="19"/>
  <c r="I157" i="63"/>
  <c r="I224" i="63" s="1"/>
  <c r="I125" i="16"/>
  <c r="I191" i="16" s="1"/>
  <c r="K80" i="19"/>
  <c r="I159" i="63"/>
  <c r="I226" i="63" s="1"/>
  <c r="I127" i="16"/>
  <c r="I193" i="16" s="1"/>
  <c r="J160" i="63"/>
  <c r="K236" i="19"/>
  <c r="K313" i="19" s="1"/>
  <c r="K546" i="19"/>
  <c r="K623" i="19" s="1"/>
  <c r="L160" i="63"/>
  <c r="K856" i="19"/>
  <c r="K933" i="19" s="1"/>
  <c r="N160" i="63"/>
  <c r="J97" i="52"/>
  <c r="L97" i="52"/>
  <c r="N97" i="52"/>
  <c r="J98" i="52"/>
  <c r="L98" i="52"/>
  <c r="N98" i="52"/>
  <c r="J99" i="52"/>
  <c r="L99" i="52"/>
  <c r="N99" i="52"/>
  <c r="K103" i="52"/>
  <c r="M103" i="52"/>
  <c r="K104" i="52"/>
  <c r="M104" i="52"/>
  <c r="I105" i="52"/>
  <c r="I107" i="52"/>
  <c r="I119" i="52"/>
  <c r="J126" i="52"/>
  <c r="L126" i="52"/>
  <c r="N126" i="52"/>
  <c r="I127" i="52"/>
  <c r="I129" i="52"/>
  <c r="I131" i="52"/>
  <c r="J138" i="52"/>
  <c r="L138" i="52"/>
  <c r="N138" i="52"/>
  <c r="I139" i="52"/>
  <c r="I141" i="52"/>
  <c r="I143" i="52"/>
  <c r="J150" i="52"/>
  <c r="L150" i="52"/>
  <c r="N150" i="52"/>
  <c r="I25" i="53"/>
  <c r="K25" i="53"/>
  <c r="M25" i="53"/>
  <c r="J31" i="53"/>
  <c r="L31" i="53"/>
  <c r="N31" i="53"/>
  <c r="I32" i="53"/>
  <c r="I33" i="53"/>
  <c r="J37" i="53"/>
  <c r="J118" i="63" s="1"/>
  <c r="L37" i="53"/>
  <c r="N37" i="53"/>
  <c r="N86" i="16" s="1"/>
  <c r="I38" i="53"/>
  <c r="I39" i="53"/>
  <c r="I40" i="53"/>
  <c r="K43" i="53"/>
  <c r="M43" i="53"/>
  <c r="J49" i="53"/>
  <c r="L49" i="53"/>
  <c r="N49" i="53"/>
  <c r="I91" i="53"/>
  <c r="K91" i="53"/>
  <c r="M91" i="53"/>
  <c r="I92" i="53"/>
  <c r="K92" i="53"/>
  <c r="M92" i="53"/>
  <c r="I93" i="53"/>
  <c r="K93" i="53"/>
  <c r="M93" i="53"/>
  <c r="I94" i="53"/>
  <c r="K94" i="53"/>
  <c r="M94" i="53"/>
  <c r="I95" i="53"/>
  <c r="J97" i="53"/>
  <c r="L97" i="53"/>
  <c r="N97" i="53"/>
  <c r="J98" i="53"/>
  <c r="L98" i="53"/>
  <c r="N98" i="53"/>
  <c r="J99" i="53"/>
  <c r="L99" i="53"/>
  <c r="N99" i="53"/>
  <c r="K103" i="53"/>
  <c r="M103" i="53"/>
  <c r="K104" i="53"/>
  <c r="M104" i="53"/>
  <c r="I105" i="53"/>
  <c r="I106" i="53"/>
  <c r="I107" i="53"/>
  <c r="K108" i="53"/>
  <c r="M108" i="53"/>
  <c r="J109" i="53"/>
  <c r="L109" i="53"/>
  <c r="N109" i="53"/>
  <c r="J110" i="53"/>
  <c r="L110" i="53"/>
  <c r="N110" i="53"/>
  <c r="J111" i="53"/>
  <c r="L111" i="53"/>
  <c r="N111" i="53"/>
  <c r="I115" i="53"/>
  <c r="K115" i="53"/>
  <c r="M115" i="53"/>
  <c r="I116" i="53"/>
  <c r="K116" i="53"/>
  <c r="M116" i="53"/>
  <c r="I117" i="53"/>
  <c r="K117" i="53"/>
  <c r="M117" i="53"/>
  <c r="I118" i="53"/>
  <c r="I119" i="53"/>
  <c r="J126" i="53"/>
  <c r="L126" i="53"/>
  <c r="N126" i="53"/>
  <c r="I127" i="53"/>
  <c r="I128" i="53"/>
  <c r="I129" i="53"/>
  <c r="I130" i="53"/>
  <c r="I131" i="53"/>
  <c r="K132" i="53"/>
  <c r="M132" i="53"/>
  <c r="J138" i="53"/>
  <c r="L138" i="53"/>
  <c r="N138" i="53"/>
  <c r="I139" i="53"/>
  <c r="I140" i="53"/>
  <c r="I141" i="53"/>
  <c r="I142" i="53"/>
  <c r="I143" i="53"/>
  <c r="K144" i="53"/>
  <c r="M144" i="53"/>
  <c r="J150" i="53"/>
  <c r="L150" i="53"/>
  <c r="N150" i="53"/>
  <c r="I25" i="54"/>
  <c r="K25" i="54"/>
  <c r="M25" i="54"/>
  <c r="J31" i="54"/>
  <c r="L31" i="54"/>
  <c r="N31" i="54"/>
  <c r="I32" i="54"/>
  <c r="I33" i="54"/>
  <c r="J37" i="54"/>
  <c r="L37" i="54"/>
  <c r="N37" i="54"/>
  <c r="I38" i="54"/>
  <c r="I39" i="54"/>
  <c r="I40" i="54"/>
  <c r="K43" i="54"/>
  <c r="M43" i="54"/>
  <c r="J49" i="54"/>
  <c r="L49" i="54"/>
  <c r="N49" i="54"/>
  <c r="I91" i="54"/>
  <c r="K91" i="54"/>
  <c r="M91" i="54"/>
  <c r="I92" i="54"/>
  <c r="K92" i="54"/>
  <c r="M92" i="54"/>
  <c r="I93" i="54"/>
  <c r="K93" i="54"/>
  <c r="M93" i="54"/>
  <c r="I94" i="54"/>
  <c r="K94" i="54"/>
  <c r="M94" i="54"/>
  <c r="I95" i="54"/>
  <c r="J97" i="54"/>
  <c r="L97" i="54"/>
  <c r="N97" i="54"/>
  <c r="J98" i="54"/>
  <c r="L98" i="54"/>
  <c r="N98" i="54"/>
  <c r="J99" i="54"/>
  <c r="L99" i="54"/>
  <c r="N99" i="54"/>
  <c r="K103" i="54"/>
  <c r="M103" i="54"/>
  <c r="K104" i="54"/>
  <c r="M104" i="54"/>
  <c r="I105" i="54"/>
  <c r="I106" i="54"/>
  <c r="I107" i="54"/>
  <c r="J109" i="54"/>
  <c r="L109" i="54"/>
  <c r="N109" i="54"/>
  <c r="J110" i="54"/>
  <c r="L110" i="54"/>
  <c r="N110" i="54"/>
  <c r="J111" i="54"/>
  <c r="L111" i="54"/>
  <c r="N111" i="54"/>
  <c r="I115" i="54"/>
  <c r="K115" i="54"/>
  <c r="M115" i="54"/>
  <c r="I116" i="54"/>
  <c r="K116" i="54"/>
  <c r="M116" i="54"/>
  <c r="I117" i="54"/>
  <c r="K117" i="54"/>
  <c r="M117" i="54"/>
  <c r="I118" i="54"/>
  <c r="I119" i="54"/>
  <c r="J126" i="54"/>
  <c r="L126" i="54"/>
  <c r="N126" i="54"/>
  <c r="I127" i="54"/>
  <c r="I128" i="54"/>
  <c r="I129" i="54"/>
  <c r="I130" i="54"/>
  <c r="I131" i="54"/>
  <c r="K132" i="54"/>
  <c r="M132" i="54"/>
  <c r="J138" i="54"/>
  <c r="L138" i="54"/>
  <c r="N138" i="54"/>
  <c r="I139" i="54"/>
  <c r="I140" i="54"/>
  <c r="I141" i="54"/>
  <c r="I142" i="54"/>
  <c r="I143" i="54"/>
  <c r="K144" i="54"/>
  <c r="M144" i="54"/>
  <c r="J150" i="54"/>
  <c r="L150" i="54"/>
  <c r="N150" i="54"/>
  <c r="K25" i="55"/>
  <c r="M25" i="55"/>
  <c r="J31" i="55"/>
  <c r="L31" i="55"/>
  <c r="N31" i="55"/>
  <c r="I43" i="55"/>
  <c r="K43" i="55"/>
  <c r="M43" i="55"/>
  <c r="J49" i="55"/>
  <c r="L49" i="55"/>
  <c r="N49" i="55"/>
  <c r="K91" i="55"/>
  <c r="M91" i="55"/>
  <c r="K92" i="55"/>
  <c r="M92" i="55"/>
  <c r="K93" i="55"/>
  <c r="M93" i="55"/>
  <c r="K94" i="55"/>
  <c r="M94" i="55"/>
  <c r="I95" i="55"/>
  <c r="J97" i="55"/>
  <c r="L97" i="55"/>
  <c r="N97" i="55"/>
  <c r="J98" i="55"/>
  <c r="L98" i="55"/>
  <c r="N98" i="55"/>
  <c r="J99" i="55"/>
  <c r="L99" i="55"/>
  <c r="N99" i="55"/>
  <c r="I103" i="55"/>
  <c r="K103" i="55"/>
  <c r="M103" i="55"/>
  <c r="I104" i="55"/>
  <c r="K104" i="55"/>
  <c r="M104" i="55"/>
  <c r="I105" i="55"/>
  <c r="I106" i="55"/>
  <c r="I107" i="55"/>
  <c r="J109" i="55"/>
  <c r="L109" i="55"/>
  <c r="N109" i="55"/>
  <c r="J110" i="55"/>
  <c r="L110" i="55"/>
  <c r="N110" i="55"/>
  <c r="J111" i="55"/>
  <c r="L111" i="55"/>
  <c r="N111" i="55"/>
  <c r="K115" i="55"/>
  <c r="M115" i="55"/>
  <c r="K116" i="55"/>
  <c r="M116" i="55"/>
  <c r="K117" i="55"/>
  <c r="M117" i="55"/>
  <c r="I118" i="55"/>
  <c r="I119" i="55"/>
  <c r="J126" i="55"/>
  <c r="L126" i="55"/>
  <c r="N126" i="55"/>
  <c r="I127" i="55"/>
  <c r="I128" i="55"/>
  <c r="I129" i="55"/>
  <c r="I130" i="55"/>
  <c r="I131" i="55"/>
  <c r="K132" i="55"/>
  <c r="M132" i="55"/>
  <c r="J138" i="55"/>
  <c r="L138" i="55"/>
  <c r="N138" i="55"/>
  <c r="I139" i="55"/>
  <c r="I140" i="55"/>
  <c r="I141" i="55"/>
  <c r="I142" i="55"/>
  <c r="I143" i="55"/>
  <c r="K144" i="55"/>
  <c r="M144" i="55"/>
  <c r="J150" i="55"/>
  <c r="L150" i="55"/>
  <c r="N150" i="55"/>
  <c r="I20" i="56"/>
  <c r="I21" i="56"/>
  <c r="I22" i="56"/>
  <c r="I23" i="56"/>
  <c r="J25" i="56"/>
  <c r="L25" i="56"/>
  <c r="N25" i="56"/>
  <c r="I26" i="56"/>
  <c r="I27" i="56"/>
  <c r="I28" i="56"/>
  <c r="K31" i="56"/>
  <c r="M31" i="56"/>
  <c r="I37" i="56"/>
  <c r="K37" i="56"/>
  <c r="M37" i="56"/>
  <c r="J43" i="56"/>
  <c r="L43" i="56"/>
  <c r="N43" i="56"/>
  <c r="I44" i="56"/>
  <c r="I45" i="56"/>
  <c r="I46" i="56"/>
  <c r="K49" i="56"/>
  <c r="M49" i="56"/>
  <c r="I55" i="56"/>
  <c r="I61" i="56"/>
  <c r="I67" i="56"/>
  <c r="I73" i="56"/>
  <c r="I79" i="56"/>
  <c r="H81" i="56"/>
  <c r="J91" i="56"/>
  <c r="L91" i="56"/>
  <c r="N91" i="56"/>
  <c r="J92" i="56"/>
  <c r="L92" i="56"/>
  <c r="N92" i="56"/>
  <c r="J93" i="56"/>
  <c r="L93" i="56"/>
  <c r="N93" i="56"/>
  <c r="J94" i="56"/>
  <c r="L94" i="56"/>
  <c r="N94" i="56"/>
  <c r="K97" i="56"/>
  <c r="M97" i="56"/>
  <c r="K98" i="56"/>
  <c r="M98" i="56"/>
  <c r="K99" i="56"/>
  <c r="M99" i="56"/>
  <c r="I100" i="56"/>
  <c r="I101" i="56"/>
  <c r="J103" i="56"/>
  <c r="L103" i="56"/>
  <c r="N103" i="56"/>
  <c r="J104" i="56"/>
  <c r="L104" i="56"/>
  <c r="N104" i="56"/>
  <c r="J108" i="56"/>
  <c r="L108" i="56"/>
  <c r="N108" i="56"/>
  <c r="I109" i="56"/>
  <c r="K109" i="56"/>
  <c r="M109" i="56"/>
  <c r="I110" i="56"/>
  <c r="K110" i="56"/>
  <c r="M110" i="56"/>
  <c r="I111" i="56"/>
  <c r="K111" i="56"/>
  <c r="M111" i="56"/>
  <c r="I112" i="56"/>
  <c r="I113" i="56"/>
  <c r="J115" i="56"/>
  <c r="L115" i="56"/>
  <c r="N115" i="56"/>
  <c r="J116" i="56"/>
  <c r="L116" i="56"/>
  <c r="N116" i="56"/>
  <c r="J117" i="56"/>
  <c r="L117" i="56"/>
  <c r="N117" i="56"/>
  <c r="I121" i="56"/>
  <c r="I122" i="56"/>
  <c r="I123" i="56"/>
  <c r="I124" i="56"/>
  <c r="I125" i="56"/>
  <c r="K126" i="56"/>
  <c r="M126" i="56"/>
  <c r="J132" i="56"/>
  <c r="L132" i="56"/>
  <c r="N132" i="56"/>
  <c r="I133" i="56"/>
  <c r="I134" i="56"/>
  <c r="I135" i="56"/>
  <c r="I136" i="56"/>
  <c r="I137" i="56"/>
  <c r="K138" i="56"/>
  <c r="M138" i="56"/>
  <c r="J144" i="56"/>
  <c r="L144" i="56"/>
  <c r="N144" i="56"/>
  <c r="I145" i="56"/>
  <c r="I146" i="56"/>
  <c r="I147" i="56"/>
  <c r="I148" i="56"/>
  <c r="I149" i="56"/>
  <c r="K150" i="56"/>
  <c r="M150" i="56"/>
  <c r="K25" i="57"/>
  <c r="M25" i="57"/>
  <c r="J31" i="57"/>
  <c r="L31" i="57"/>
  <c r="N31" i="57"/>
  <c r="J37" i="57"/>
  <c r="L37" i="57"/>
  <c r="N37" i="57"/>
  <c r="I43" i="57"/>
  <c r="K43" i="57"/>
  <c r="M43" i="57"/>
  <c r="J49" i="57"/>
  <c r="L49" i="57"/>
  <c r="N49" i="57"/>
  <c r="K91" i="57"/>
  <c r="M91" i="57"/>
  <c r="K92" i="57"/>
  <c r="M92" i="57"/>
  <c r="K93" i="57"/>
  <c r="M93" i="57"/>
  <c r="K94" i="57"/>
  <c r="M94" i="57"/>
  <c r="I95" i="57"/>
  <c r="J97" i="57"/>
  <c r="L97" i="57"/>
  <c r="N97" i="57"/>
  <c r="J98" i="57"/>
  <c r="L98" i="57"/>
  <c r="N98" i="57"/>
  <c r="J99" i="57"/>
  <c r="L99" i="57"/>
  <c r="N99" i="57"/>
  <c r="I103" i="57"/>
  <c r="K103" i="57"/>
  <c r="M103" i="57"/>
  <c r="I104" i="57"/>
  <c r="K104" i="57"/>
  <c r="M104" i="57"/>
  <c r="I105" i="57"/>
  <c r="I106" i="57"/>
  <c r="I107" i="57"/>
  <c r="J109" i="57"/>
  <c r="L109" i="57"/>
  <c r="N109" i="57"/>
  <c r="J110" i="57"/>
  <c r="L110" i="57"/>
  <c r="N110" i="57"/>
  <c r="J111" i="57"/>
  <c r="L111" i="57"/>
  <c r="N111" i="57"/>
  <c r="K115" i="57"/>
  <c r="M115" i="57"/>
  <c r="K116" i="57"/>
  <c r="M116" i="57"/>
  <c r="K117" i="57"/>
  <c r="M117" i="57"/>
  <c r="I118" i="57"/>
  <c r="I119" i="57"/>
  <c r="J126" i="57"/>
  <c r="L126" i="57"/>
  <c r="N126" i="57"/>
  <c r="I127" i="57"/>
  <c r="I128" i="57"/>
  <c r="I129" i="57"/>
  <c r="I130" i="57"/>
  <c r="I131" i="57"/>
  <c r="K132" i="57"/>
  <c r="M132" i="57"/>
  <c r="J138" i="57"/>
  <c r="L138" i="57"/>
  <c r="N138" i="57"/>
  <c r="I139" i="57"/>
  <c r="I140" i="57"/>
  <c r="I141" i="57"/>
  <c r="I142" i="57"/>
  <c r="I143" i="57"/>
  <c r="K144" i="57"/>
  <c r="M144" i="57"/>
  <c r="J150" i="57"/>
  <c r="L150" i="57"/>
  <c r="N150" i="57"/>
  <c r="Q405" i="19"/>
  <c r="Q715" i="19"/>
  <c r="J31" i="58"/>
  <c r="L31" i="58"/>
  <c r="N31" i="58"/>
  <c r="I43" i="58"/>
  <c r="K43" i="58"/>
  <c r="M43" i="58"/>
  <c r="J49" i="58"/>
  <c r="L49" i="58"/>
  <c r="N49" i="58"/>
  <c r="K91" i="58"/>
  <c r="M91" i="58"/>
  <c r="K92" i="58"/>
  <c r="M92" i="58"/>
  <c r="K93" i="58"/>
  <c r="M93" i="58"/>
  <c r="K94" i="58"/>
  <c r="M94" i="58"/>
  <c r="I95" i="58"/>
  <c r="K96" i="58"/>
  <c r="M96" i="58"/>
  <c r="J97" i="58"/>
  <c r="L97" i="58"/>
  <c r="N97" i="58"/>
  <c r="J98" i="58"/>
  <c r="L98" i="58"/>
  <c r="N98" i="58"/>
  <c r="J99" i="58"/>
  <c r="L99" i="58"/>
  <c r="N99" i="58"/>
  <c r="I103" i="58"/>
  <c r="K103" i="58"/>
  <c r="M103" i="58"/>
  <c r="I104" i="58"/>
  <c r="K104" i="58"/>
  <c r="M104" i="58"/>
  <c r="I105" i="58"/>
  <c r="I106" i="58"/>
  <c r="I107" i="58"/>
  <c r="J109" i="58"/>
  <c r="L109" i="58"/>
  <c r="N109" i="58"/>
  <c r="J110" i="58"/>
  <c r="L110" i="58"/>
  <c r="N110" i="58"/>
  <c r="J111" i="58"/>
  <c r="L111" i="58"/>
  <c r="N111" i="58"/>
  <c r="K115" i="58"/>
  <c r="M115" i="58"/>
  <c r="K116" i="58"/>
  <c r="M116" i="58"/>
  <c r="K117" i="58"/>
  <c r="M117" i="58"/>
  <c r="I118" i="58"/>
  <c r="I119" i="58"/>
  <c r="J126" i="58"/>
  <c r="L126" i="58"/>
  <c r="N126" i="58"/>
  <c r="I127" i="58"/>
  <c r="I128" i="58"/>
  <c r="I129" i="58"/>
  <c r="I130" i="58"/>
  <c r="I131" i="58"/>
  <c r="K132" i="58"/>
  <c r="M132" i="58"/>
  <c r="J138" i="58"/>
  <c r="L138" i="58"/>
  <c r="N138" i="58"/>
  <c r="I139" i="58"/>
  <c r="I140" i="58"/>
  <c r="I141" i="58"/>
  <c r="I142" i="58"/>
  <c r="I143" i="58"/>
  <c r="K144" i="58"/>
  <c r="M144" i="58"/>
  <c r="J150" i="58"/>
  <c r="L150" i="58"/>
  <c r="N150" i="58"/>
  <c r="R405" i="19"/>
  <c r="R715" i="19"/>
  <c r="J31" i="59"/>
  <c r="L31" i="59"/>
  <c r="N31" i="59"/>
  <c r="I43" i="59"/>
  <c r="K43" i="59"/>
  <c r="M43" i="59"/>
  <c r="J49" i="59"/>
  <c r="L49" i="59"/>
  <c r="N49" i="59"/>
  <c r="K91" i="59"/>
  <c r="M91" i="59"/>
  <c r="K92" i="59"/>
  <c r="M92" i="59"/>
  <c r="K93" i="59"/>
  <c r="M93" i="59"/>
  <c r="K94" i="59"/>
  <c r="M94" i="59"/>
  <c r="I95" i="59"/>
  <c r="K96" i="59"/>
  <c r="M96" i="59"/>
  <c r="J97" i="59"/>
  <c r="L97" i="59"/>
  <c r="N97" i="59"/>
  <c r="J98" i="59"/>
  <c r="L98" i="59"/>
  <c r="N98" i="59"/>
  <c r="J99" i="59"/>
  <c r="L99" i="59"/>
  <c r="N99" i="59"/>
  <c r="I103" i="59"/>
  <c r="K103" i="59"/>
  <c r="M103" i="59"/>
  <c r="I104" i="59"/>
  <c r="K104" i="59"/>
  <c r="M104" i="59"/>
  <c r="I105" i="59"/>
  <c r="I106" i="59"/>
  <c r="I107" i="59"/>
  <c r="J109" i="59"/>
  <c r="L109" i="59"/>
  <c r="N109" i="59"/>
  <c r="J110" i="59"/>
  <c r="L110" i="59"/>
  <c r="N110" i="59"/>
  <c r="J111" i="59"/>
  <c r="L111" i="59"/>
  <c r="N111" i="59"/>
  <c r="K115" i="59"/>
  <c r="M115" i="59"/>
  <c r="K116" i="59"/>
  <c r="M116" i="59"/>
  <c r="K117" i="59"/>
  <c r="M117" i="59"/>
  <c r="I118" i="59"/>
  <c r="I119" i="59"/>
  <c r="J126" i="59"/>
  <c r="L126" i="59"/>
  <c r="N126" i="59"/>
  <c r="I127" i="59"/>
  <c r="I128" i="59"/>
  <c r="I129" i="59"/>
  <c r="I130" i="59"/>
  <c r="I131" i="59"/>
  <c r="K132" i="59"/>
  <c r="M132" i="59"/>
  <c r="J138" i="59"/>
  <c r="L138" i="59"/>
  <c r="N138" i="59"/>
  <c r="I139" i="59"/>
  <c r="I140" i="59"/>
  <c r="I141" i="59"/>
  <c r="I142" i="59"/>
  <c r="I143" i="59"/>
  <c r="K144" i="59"/>
  <c r="M144" i="59"/>
  <c r="J150" i="59"/>
  <c r="L150" i="59"/>
  <c r="N150" i="59"/>
  <c r="I25" i="60"/>
  <c r="S405" i="19"/>
  <c r="S392" i="19"/>
  <c r="S469" i="19" s="1"/>
  <c r="S715" i="19"/>
  <c r="S702" i="19"/>
  <c r="S779" i="19" s="1"/>
  <c r="I31" i="60"/>
  <c r="I37" i="60"/>
  <c r="I43" i="60"/>
  <c r="I49" i="60"/>
  <c r="I55" i="60"/>
  <c r="I61" i="60"/>
  <c r="I67" i="60"/>
  <c r="I73" i="60"/>
  <c r="I79" i="60"/>
  <c r="H81" i="60"/>
  <c r="J81" i="60"/>
  <c r="L81" i="60"/>
  <c r="N81" i="60"/>
  <c r="J96" i="60"/>
  <c r="L96" i="60"/>
  <c r="N96" i="60"/>
  <c r="I97" i="60"/>
  <c r="I98" i="60"/>
  <c r="I99" i="60"/>
  <c r="I100" i="60"/>
  <c r="I101" i="60"/>
  <c r="K102" i="60"/>
  <c r="M102" i="60"/>
  <c r="J108" i="60"/>
  <c r="L108" i="60"/>
  <c r="N108" i="60"/>
  <c r="I109" i="60"/>
  <c r="I110" i="60"/>
  <c r="I111" i="60"/>
  <c r="I112" i="60"/>
  <c r="I113" i="60"/>
  <c r="K114" i="60"/>
  <c r="M114" i="60"/>
  <c r="J120" i="60"/>
  <c r="L120" i="60"/>
  <c r="N120" i="60"/>
  <c r="I121" i="60"/>
  <c r="I122" i="60"/>
  <c r="I123" i="60"/>
  <c r="I124" i="60"/>
  <c r="I125" i="60"/>
  <c r="K126" i="60"/>
  <c r="M126" i="60"/>
  <c r="J132" i="60"/>
  <c r="L132" i="60"/>
  <c r="N132" i="60"/>
  <c r="I133" i="60"/>
  <c r="I134" i="60"/>
  <c r="I135" i="60"/>
  <c r="I136" i="60"/>
  <c r="I137" i="60"/>
  <c r="K138" i="60"/>
  <c r="M138" i="60"/>
  <c r="J144" i="60"/>
  <c r="L144" i="60"/>
  <c r="N144" i="60"/>
  <c r="I145" i="60"/>
  <c r="I146" i="60"/>
  <c r="I147" i="60"/>
  <c r="I148" i="60"/>
  <c r="I149" i="60"/>
  <c r="K150" i="60"/>
  <c r="M150" i="60"/>
  <c r="T237" i="19"/>
  <c r="T314" i="19" s="1"/>
  <c r="T250" i="19"/>
  <c r="T560" i="19"/>
  <c r="T547" i="19"/>
  <c r="T624" i="19" s="1"/>
  <c r="T870" i="19"/>
  <c r="T857" i="19"/>
  <c r="T934" i="19" s="1"/>
  <c r="K81" i="61"/>
  <c r="M81" i="61"/>
  <c r="I91" i="61"/>
  <c r="I92" i="61"/>
  <c r="I93" i="61"/>
  <c r="I94" i="61"/>
  <c r="I95" i="61"/>
  <c r="K96" i="61"/>
  <c r="M96" i="61"/>
  <c r="J102" i="61"/>
  <c r="L102" i="61"/>
  <c r="N102" i="61"/>
  <c r="I103" i="61"/>
  <c r="I104" i="61"/>
  <c r="I105" i="61"/>
  <c r="I106" i="61"/>
  <c r="I107" i="61"/>
  <c r="K108" i="61"/>
  <c r="M108" i="61"/>
  <c r="J114" i="61"/>
  <c r="L114" i="61"/>
  <c r="N114" i="61"/>
  <c r="I115" i="61"/>
  <c r="I116" i="61"/>
  <c r="I117" i="61"/>
  <c r="I118" i="61"/>
  <c r="I119" i="61"/>
  <c r="K120" i="61"/>
  <c r="M120" i="61"/>
  <c r="J126" i="61"/>
  <c r="L126" i="61"/>
  <c r="N126" i="61"/>
  <c r="I127" i="61"/>
  <c r="I128" i="61"/>
  <c r="I129" i="61"/>
  <c r="I130" i="61"/>
  <c r="I131" i="61"/>
  <c r="K132" i="61"/>
  <c r="M132" i="61"/>
  <c r="J138" i="61"/>
  <c r="L138" i="61"/>
  <c r="N138" i="61"/>
  <c r="I139" i="61"/>
  <c r="I140" i="61"/>
  <c r="I141" i="61"/>
  <c r="I142" i="61"/>
  <c r="I143" i="61"/>
  <c r="K144" i="61"/>
  <c r="M144" i="61"/>
  <c r="J150" i="61"/>
  <c r="L150" i="61"/>
  <c r="N150" i="61"/>
  <c r="I25" i="14"/>
  <c r="I31" i="14"/>
  <c r="I37" i="14"/>
  <c r="I43" i="14"/>
  <c r="I49" i="14"/>
  <c r="I55" i="14"/>
  <c r="I61" i="14"/>
  <c r="I67" i="14"/>
  <c r="I73" i="14"/>
  <c r="I79" i="14"/>
  <c r="H81" i="14"/>
  <c r="J81" i="14"/>
  <c r="L81" i="14"/>
  <c r="N81" i="14"/>
  <c r="U172" i="19"/>
  <c r="U249" i="19" s="1"/>
  <c r="J73" i="16"/>
  <c r="J139" i="16" s="1"/>
  <c r="U482" i="19"/>
  <c r="L73" i="16"/>
  <c r="L139" i="16" s="1"/>
  <c r="U792" i="19"/>
  <c r="N73" i="16"/>
  <c r="N139" i="16" s="1"/>
  <c r="U330" i="19"/>
  <c r="U407" i="19" s="1"/>
  <c r="K102" i="14"/>
  <c r="U335" i="19" s="1"/>
  <c r="U412" i="19" s="1"/>
  <c r="U640" i="19"/>
  <c r="U717" i="19" s="1"/>
  <c r="M102" i="14"/>
  <c r="U645" i="19" s="1"/>
  <c r="U722" i="19" s="1"/>
  <c r="U333" i="19"/>
  <c r="K78" i="16"/>
  <c r="K144" i="16" s="1"/>
  <c r="J79" i="16"/>
  <c r="J145" i="16" s="1"/>
  <c r="U179" i="19"/>
  <c r="U256" i="19" s="1"/>
  <c r="U489" i="19"/>
  <c r="L79" i="16"/>
  <c r="L145" i="16" s="1"/>
  <c r="U799" i="19"/>
  <c r="N79" i="16"/>
  <c r="N145" i="16" s="1"/>
  <c r="L102" i="14"/>
  <c r="U490" i="19" s="1"/>
  <c r="U567" i="19" s="1"/>
  <c r="U192" i="19"/>
  <c r="J90" i="16"/>
  <c r="J156" i="16" s="1"/>
  <c r="U502" i="19"/>
  <c r="U579" i="19" s="1"/>
  <c r="L90" i="16"/>
  <c r="L156" i="16" s="1"/>
  <c r="U812" i="19"/>
  <c r="U889" i="19" s="1"/>
  <c r="N90" i="16"/>
  <c r="N156" i="16" s="1"/>
  <c r="J114" i="14"/>
  <c r="U194" i="19" s="1"/>
  <c r="U271" i="19" s="1"/>
  <c r="N114" i="14"/>
  <c r="U814" i="19" s="1"/>
  <c r="U891" i="19" s="1"/>
  <c r="U354" i="19"/>
  <c r="K96" i="16"/>
  <c r="K162" i="16" s="1"/>
  <c r="U664" i="19"/>
  <c r="M96" i="16"/>
  <c r="M162" i="16" s="1"/>
  <c r="U355" i="19"/>
  <c r="U432" i="19" s="1"/>
  <c r="K97" i="16"/>
  <c r="K163" i="16" s="1"/>
  <c r="U665" i="19"/>
  <c r="U742" i="19" s="1"/>
  <c r="M97" i="16"/>
  <c r="M163" i="16" s="1"/>
  <c r="M120" i="14"/>
  <c r="U666" i="19" s="1"/>
  <c r="U743" i="19" s="1"/>
  <c r="J99" i="16"/>
  <c r="J165" i="16" s="1"/>
  <c r="U203" i="19"/>
  <c r="U280" i="19" s="1"/>
  <c r="U513" i="19"/>
  <c r="L99" i="16"/>
  <c r="L165" i="16" s="1"/>
  <c r="U823" i="19"/>
  <c r="N99" i="16"/>
  <c r="N165" i="16" s="1"/>
  <c r="J101" i="16"/>
  <c r="J167" i="16" s="1"/>
  <c r="U205" i="19"/>
  <c r="U282" i="19" s="1"/>
  <c r="U515" i="19"/>
  <c r="L101" i="16"/>
  <c r="L167" i="16" s="1"/>
  <c r="U825" i="19"/>
  <c r="N101" i="16"/>
  <c r="N167" i="16" s="1"/>
  <c r="J103" i="16"/>
  <c r="J169" i="16" s="1"/>
  <c r="U207" i="19"/>
  <c r="U284" i="19" s="1"/>
  <c r="U517" i="19"/>
  <c r="L103" i="16"/>
  <c r="L169" i="16" s="1"/>
  <c r="U827" i="19"/>
  <c r="N103" i="16"/>
  <c r="N169" i="16" s="1"/>
  <c r="L126" i="14"/>
  <c r="U518" i="19" s="1"/>
  <c r="U595" i="19" s="1"/>
  <c r="U218" i="19"/>
  <c r="J112" i="16"/>
  <c r="J178" i="16" s="1"/>
  <c r="U528" i="19"/>
  <c r="U605" i="19" s="1"/>
  <c r="L112" i="16"/>
  <c r="L178" i="16" s="1"/>
  <c r="U838" i="19"/>
  <c r="U915" i="19" s="1"/>
  <c r="N112" i="16"/>
  <c r="N178" i="16" s="1"/>
  <c r="U220" i="19"/>
  <c r="J114" i="16"/>
  <c r="J180" i="16" s="1"/>
  <c r="U530" i="19"/>
  <c r="U607" i="19" s="1"/>
  <c r="L114" i="16"/>
  <c r="L180" i="16" s="1"/>
  <c r="U840" i="19"/>
  <c r="U917" i="19" s="1"/>
  <c r="N114" i="16"/>
  <c r="N180" i="16" s="1"/>
  <c r="J138" i="14"/>
  <c r="U222" i="19" s="1"/>
  <c r="U299" i="19" s="1"/>
  <c r="N138" i="14"/>
  <c r="U842" i="19" s="1"/>
  <c r="U919" i="19" s="1"/>
  <c r="U379" i="19"/>
  <c r="U456" i="19" s="1"/>
  <c r="K117" i="16"/>
  <c r="K183" i="16" s="1"/>
  <c r="U689" i="19"/>
  <c r="U766" i="19" s="1"/>
  <c r="M117" i="16"/>
  <c r="M183" i="16" s="1"/>
  <c r="U380" i="19"/>
  <c r="K118" i="16"/>
  <c r="K184" i="16" s="1"/>
  <c r="U690" i="19"/>
  <c r="M118" i="16"/>
  <c r="M184" i="16" s="1"/>
  <c r="U381" i="19"/>
  <c r="U458" i="19" s="1"/>
  <c r="K119" i="16"/>
  <c r="K185" i="16" s="1"/>
  <c r="U691" i="19"/>
  <c r="U768" i="19" s="1"/>
  <c r="M119" i="16"/>
  <c r="M185" i="16" s="1"/>
  <c r="U382" i="19"/>
  <c r="K120" i="16"/>
  <c r="K186" i="16" s="1"/>
  <c r="U692" i="19"/>
  <c r="M120" i="16"/>
  <c r="M186" i="16" s="1"/>
  <c r="U383" i="19"/>
  <c r="U460" i="19" s="1"/>
  <c r="K121" i="16"/>
  <c r="K187" i="16" s="1"/>
  <c r="U693" i="19"/>
  <c r="U770" i="19" s="1"/>
  <c r="M121" i="16"/>
  <c r="M187" i="16" s="1"/>
  <c r="M144" i="14"/>
  <c r="U694" i="19" s="1"/>
  <c r="U771" i="19" s="1"/>
  <c r="J123" i="16"/>
  <c r="J189" i="16" s="1"/>
  <c r="U231" i="19"/>
  <c r="U308" i="19" s="1"/>
  <c r="U541" i="19"/>
  <c r="L123" i="16"/>
  <c r="L189" i="16" s="1"/>
  <c r="U851" i="19"/>
  <c r="N123" i="16"/>
  <c r="N189" i="16" s="1"/>
  <c r="J125" i="16"/>
  <c r="J191" i="16" s="1"/>
  <c r="U233" i="19"/>
  <c r="U310" i="19" s="1"/>
  <c r="U543" i="19"/>
  <c r="L125" i="16"/>
  <c r="L191" i="16" s="1"/>
  <c r="U853" i="19"/>
  <c r="N125" i="16"/>
  <c r="N191" i="16" s="1"/>
  <c r="J127" i="16"/>
  <c r="J193" i="16" s="1"/>
  <c r="U235" i="19"/>
  <c r="U312" i="19" s="1"/>
  <c r="U545" i="19"/>
  <c r="L127" i="16"/>
  <c r="L193" i="16" s="1"/>
  <c r="U855" i="19"/>
  <c r="N127" i="16"/>
  <c r="N193" i="16" s="1"/>
  <c r="L150" i="14"/>
  <c r="U546" i="19" s="1"/>
  <c r="U623" i="19" s="1"/>
  <c r="I25" i="37"/>
  <c r="K96" i="37"/>
  <c r="V328" i="19" s="1"/>
  <c r="K81" i="37"/>
  <c r="M96" i="37"/>
  <c r="V638" i="19" s="1"/>
  <c r="M81" i="37"/>
  <c r="I31" i="37"/>
  <c r="I37" i="37"/>
  <c r="W250" i="19"/>
  <c r="W560" i="19"/>
  <c r="W870" i="19"/>
  <c r="X405" i="19"/>
  <c r="X715" i="19"/>
  <c r="Y250" i="19"/>
  <c r="Y560" i="19"/>
  <c r="Y870" i="19"/>
  <c r="AA95" i="19"/>
  <c r="AB95" i="19"/>
  <c r="AC95" i="19"/>
  <c r="AC405" i="19"/>
  <c r="M7" i="46"/>
  <c r="M8" i="46" s="1"/>
  <c r="M10" i="46" s="1"/>
  <c r="M6" i="46" s="1"/>
  <c r="J7" i="63"/>
  <c r="J8" i="63" s="1"/>
  <c r="J10" i="63" s="1"/>
  <c r="J6" i="63" s="1"/>
  <c r="N7" i="63"/>
  <c r="N8" i="63" s="1"/>
  <c r="N10" i="63" s="1"/>
  <c r="N6" i="63" s="1"/>
  <c r="J7" i="16"/>
  <c r="J8" i="16" s="1"/>
  <c r="J10" i="16" s="1"/>
  <c r="J6" i="16" s="1"/>
  <c r="N7" i="16"/>
  <c r="N8" i="16" s="1"/>
  <c r="N10" i="16" s="1"/>
  <c r="N6" i="16" s="1"/>
  <c r="B781" i="19"/>
  <c r="E42" i="7" s="1"/>
  <c r="B471" i="19"/>
  <c r="E40" i="7" s="1"/>
  <c r="B626" i="19"/>
  <c r="E41" i="7" s="1"/>
  <c r="B316" i="19"/>
  <c r="E39" i="7" s="1"/>
  <c r="E37" i="7"/>
  <c r="B161" i="19"/>
  <c r="E38" i="7" s="1"/>
  <c r="H245" i="19"/>
  <c r="H555" i="19"/>
  <c r="H865" i="19"/>
  <c r="H91" i="19"/>
  <c r="H401" i="19"/>
  <c r="H711" i="19"/>
  <c r="H247" i="19"/>
  <c r="H557" i="19"/>
  <c r="H867" i="19"/>
  <c r="H93" i="19"/>
  <c r="H403" i="19"/>
  <c r="H713" i="19"/>
  <c r="J25" i="62"/>
  <c r="L25" i="62"/>
  <c r="N25" i="62"/>
  <c r="H252" i="19"/>
  <c r="H562" i="19"/>
  <c r="H872" i="19"/>
  <c r="H98" i="19"/>
  <c r="H408" i="19"/>
  <c r="H718" i="19"/>
  <c r="H254" i="19"/>
  <c r="H564" i="19"/>
  <c r="H874" i="19"/>
  <c r="H100" i="19"/>
  <c r="H101" i="19"/>
  <c r="K31" i="62"/>
  <c r="M31" i="62"/>
  <c r="H104" i="19"/>
  <c r="H414" i="19"/>
  <c r="H724" i="19"/>
  <c r="H260" i="19"/>
  <c r="H570" i="19"/>
  <c r="H880" i="19"/>
  <c r="H106" i="19"/>
  <c r="H107" i="19"/>
  <c r="H108" i="19"/>
  <c r="I37" i="62"/>
  <c r="K37" i="62"/>
  <c r="M37" i="62"/>
  <c r="H111" i="19"/>
  <c r="H421" i="19"/>
  <c r="H731" i="19"/>
  <c r="H267" i="19"/>
  <c r="H577" i="19"/>
  <c r="H887" i="19"/>
  <c r="H113" i="19"/>
  <c r="H423" i="19"/>
  <c r="H733" i="19"/>
  <c r="J43" i="62"/>
  <c r="L43" i="62"/>
  <c r="N43" i="62"/>
  <c r="H273" i="19"/>
  <c r="H583" i="19"/>
  <c r="H893" i="19"/>
  <c r="H119" i="19"/>
  <c r="H429" i="19"/>
  <c r="H739" i="19"/>
  <c r="H275" i="19"/>
  <c r="H585" i="19"/>
  <c r="H895" i="19"/>
  <c r="H121" i="19"/>
  <c r="H122" i="19"/>
  <c r="K49" i="62"/>
  <c r="M49" i="62"/>
  <c r="H125" i="19"/>
  <c r="H126" i="19"/>
  <c r="H127" i="19"/>
  <c r="H128" i="19"/>
  <c r="H129" i="19"/>
  <c r="I55" i="62"/>
  <c r="H132" i="19"/>
  <c r="H133" i="19"/>
  <c r="H134" i="19"/>
  <c r="H135" i="19"/>
  <c r="H136" i="19"/>
  <c r="I61" i="62"/>
  <c r="H139" i="19"/>
  <c r="H140" i="19"/>
  <c r="H141" i="19"/>
  <c r="H142" i="19"/>
  <c r="H143" i="19"/>
  <c r="I67" i="62"/>
  <c r="H146" i="19"/>
  <c r="H147" i="19"/>
  <c r="H148" i="19"/>
  <c r="H149" i="19"/>
  <c r="H150" i="19"/>
  <c r="I73" i="62"/>
  <c r="H153" i="19"/>
  <c r="H154" i="19"/>
  <c r="H155" i="19"/>
  <c r="H156" i="19"/>
  <c r="H157" i="19"/>
  <c r="I79" i="62"/>
  <c r="K92" i="62"/>
  <c r="M92" i="62"/>
  <c r="J93" i="62"/>
  <c r="L93" i="62"/>
  <c r="K170" i="62" s="1"/>
  <c r="K163" i="62" s="1"/>
  <c r="N93" i="62"/>
  <c r="K94" i="62"/>
  <c r="M94" i="62"/>
  <c r="J95" i="62"/>
  <c r="L95" i="62"/>
  <c r="N95" i="62"/>
  <c r="I96" i="62"/>
  <c r="J98" i="62"/>
  <c r="L98" i="62"/>
  <c r="N98" i="62"/>
  <c r="I99" i="62"/>
  <c r="K99" i="62"/>
  <c r="M99" i="62"/>
  <c r="J100" i="62"/>
  <c r="L100" i="62"/>
  <c r="N100" i="62"/>
  <c r="I101" i="62"/>
  <c r="I104" i="62"/>
  <c r="K104" i="62"/>
  <c r="M104" i="62"/>
  <c r="J105" i="62"/>
  <c r="L105" i="62"/>
  <c r="N105" i="62"/>
  <c r="I106" i="62"/>
  <c r="I108" i="62"/>
  <c r="J110" i="62"/>
  <c r="L110" i="62"/>
  <c r="N110" i="62"/>
  <c r="K111" i="62"/>
  <c r="M111" i="62"/>
  <c r="J112" i="62"/>
  <c r="L112" i="62"/>
  <c r="N112" i="62"/>
  <c r="I113" i="62"/>
  <c r="K116" i="62"/>
  <c r="M116" i="62"/>
  <c r="J117" i="62"/>
  <c r="L117" i="62"/>
  <c r="N117" i="62"/>
  <c r="K118" i="62"/>
  <c r="M118" i="62"/>
  <c r="I120" i="62"/>
  <c r="I123" i="62"/>
  <c r="I125" i="62"/>
  <c r="K127" i="62"/>
  <c r="I385" i="33" s="1"/>
  <c r="M127" i="62"/>
  <c r="K385" i="33" s="1"/>
  <c r="K380" i="33" s="1"/>
  <c r="I128" i="62"/>
  <c r="I130" i="62"/>
  <c r="I132" i="62"/>
  <c r="J133" i="62"/>
  <c r="H433" i="33" s="1"/>
  <c r="L133" i="62"/>
  <c r="J433" i="33" s="1"/>
  <c r="N133" i="62"/>
  <c r="L433" i="33" s="1"/>
  <c r="I135" i="62"/>
  <c r="I137" i="62"/>
  <c r="K139" i="62"/>
  <c r="I481" i="33" s="1"/>
  <c r="M139" i="62"/>
  <c r="K481" i="33" s="1"/>
  <c r="I140" i="62"/>
  <c r="I142" i="62"/>
  <c r="I144" i="62"/>
  <c r="J145" i="62"/>
  <c r="H529" i="33" s="1"/>
  <c r="L145" i="62"/>
  <c r="J529" i="33" s="1"/>
  <c r="N145" i="62"/>
  <c r="L529" i="33" s="1"/>
  <c r="I147" i="62"/>
  <c r="I149" i="62"/>
  <c r="K151" i="62"/>
  <c r="I577" i="33" s="1"/>
  <c r="M151" i="62"/>
  <c r="K577" i="33" s="1"/>
  <c r="K13" i="19"/>
  <c r="K323" i="19"/>
  <c r="K69" i="16"/>
  <c r="K135" i="16" s="1"/>
  <c r="K101" i="63"/>
  <c r="K168" i="63" s="1"/>
  <c r="K633" i="19"/>
  <c r="M69" i="16"/>
  <c r="M135" i="16" s="1"/>
  <c r="M101" i="63"/>
  <c r="M168" i="63" s="1"/>
  <c r="K14" i="19"/>
  <c r="K324" i="19"/>
  <c r="K70" i="16"/>
  <c r="K136" i="16" s="1"/>
  <c r="K102" i="63"/>
  <c r="K169" i="63" s="1"/>
  <c r="K634" i="19"/>
  <c r="M70" i="16"/>
  <c r="M136" i="16" s="1"/>
  <c r="M102" i="63"/>
  <c r="M169" i="63" s="1"/>
  <c r="K15" i="19"/>
  <c r="K71" i="16"/>
  <c r="K137" i="16" s="1"/>
  <c r="K325" i="19"/>
  <c r="K103" i="63"/>
  <c r="K170" i="63" s="1"/>
  <c r="K635" i="19"/>
  <c r="M71" i="16"/>
  <c r="M137" i="16" s="1"/>
  <c r="M103" i="63"/>
  <c r="M170" i="63" s="1"/>
  <c r="K16" i="19"/>
  <c r="K326" i="19"/>
  <c r="K72" i="16"/>
  <c r="K138" i="16" s="1"/>
  <c r="K104" i="63"/>
  <c r="K171" i="63" s="1"/>
  <c r="K636" i="19"/>
  <c r="M72" i="16"/>
  <c r="M138" i="16" s="1"/>
  <c r="M104" i="63"/>
  <c r="M171" i="63" s="1"/>
  <c r="K17" i="19"/>
  <c r="I73" i="16"/>
  <c r="I139" i="16" s="1"/>
  <c r="I105" i="63"/>
  <c r="I172" i="63" s="1"/>
  <c r="K173" i="19"/>
  <c r="K483" i="19"/>
  <c r="K793" i="19"/>
  <c r="K20" i="19"/>
  <c r="K330" i="19"/>
  <c r="K107" i="63"/>
  <c r="K174" i="63" s="1"/>
  <c r="K75" i="16"/>
  <c r="K141" i="16" s="1"/>
  <c r="K640" i="19"/>
  <c r="M107" i="63"/>
  <c r="M174" i="63" s="1"/>
  <c r="M75" i="16"/>
  <c r="M141" i="16" s="1"/>
  <c r="K21" i="19"/>
  <c r="K331" i="19"/>
  <c r="K108" i="63"/>
  <c r="K175" i="63" s="1"/>
  <c r="K76" i="16"/>
  <c r="K142" i="16" s="1"/>
  <c r="K641" i="19"/>
  <c r="M108" i="63"/>
  <c r="M175" i="63" s="1"/>
  <c r="M76" i="16"/>
  <c r="M142" i="16" s="1"/>
  <c r="K22" i="19"/>
  <c r="K109" i="63"/>
  <c r="K176" i="63" s="1"/>
  <c r="K332" i="19"/>
  <c r="K77" i="16"/>
  <c r="K143" i="16" s="1"/>
  <c r="K642" i="19"/>
  <c r="M109" i="63"/>
  <c r="M176" i="63" s="1"/>
  <c r="M77" i="16"/>
  <c r="M143" i="16" s="1"/>
  <c r="I110" i="63"/>
  <c r="I177" i="63" s="1"/>
  <c r="K23" i="19"/>
  <c r="I78" i="16"/>
  <c r="I144" i="16" s="1"/>
  <c r="I31" i="52"/>
  <c r="K31" i="52"/>
  <c r="M31" i="52"/>
  <c r="J113" i="63"/>
  <c r="J180" i="63" s="1"/>
  <c r="K182" i="19"/>
  <c r="J81" i="16"/>
  <c r="J147" i="16" s="1"/>
  <c r="K492" i="19"/>
  <c r="L113" i="63"/>
  <c r="L180" i="63" s="1"/>
  <c r="L81" i="16"/>
  <c r="L147" i="16" s="1"/>
  <c r="K802" i="19"/>
  <c r="N113" i="63"/>
  <c r="N180" i="63" s="1"/>
  <c r="N81" i="16"/>
  <c r="N147" i="16" s="1"/>
  <c r="K183" i="19"/>
  <c r="J114" i="63"/>
  <c r="J181" i="63" s="1"/>
  <c r="J82" i="16"/>
  <c r="J148" i="16" s="1"/>
  <c r="L114" i="63"/>
  <c r="L181" i="63" s="1"/>
  <c r="K493" i="19"/>
  <c r="L82" i="16"/>
  <c r="L148" i="16" s="1"/>
  <c r="K803" i="19"/>
  <c r="N114" i="63"/>
  <c r="N181" i="63" s="1"/>
  <c r="N82" i="16"/>
  <c r="N148" i="16" s="1"/>
  <c r="I84" i="16"/>
  <c r="I150" i="16" s="1"/>
  <c r="K30" i="19"/>
  <c r="I116" i="63"/>
  <c r="I183" i="63" s="1"/>
  <c r="K342" i="19"/>
  <c r="K419" i="19" s="1"/>
  <c r="K652" i="19"/>
  <c r="K729" i="19" s="1"/>
  <c r="J87" i="16"/>
  <c r="J153" i="16" s="1"/>
  <c r="K189" i="19"/>
  <c r="J119" i="63"/>
  <c r="J186" i="63" s="1"/>
  <c r="K499" i="19"/>
  <c r="L87" i="16"/>
  <c r="L153" i="16" s="1"/>
  <c r="L119" i="63"/>
  <c r="L186" i="63" s="1"/>
  <c r="K809" i="19"/>
  <c r="N87" i="16"/>
  <c r="N153" i="16" s="1"/>
  <c r="N119" i="63"/>
  <c r="N186" i="63" s="1"/>
  <c r="K190" i="19"/>
  <c r="J88" i="16"/>
  <c r="J154" i="16" s="1"/>
  <c r="J120" i="63"/>
  <c r="J187" i="63" s="1"/>
  <c r="K500" i="19"/>
  <c r="L88" i="16"/>
  <c r="L154" i="16" s="1"/>
  <c r="L120" i="63"/>
  <c r="L187" i="63" s="1"/>
  <c r="K810" i="19"/>
  <c r="N88" i="16"/>
  <c r="N154" i="16" s="1"/>
  <c r="N120" i="63"/>
  <c r="N187" i="63" s="1"/>
  <c r="J89" i="16"/>
  <c r="J155" i="16" s="1"/>
  <c r="K191" i="19"/>
  <c r="J121" i="63"/>
  <c r="J188" i="63" s="1"/>
  <c r="K501" i="19"/>
  <c r="L89" i="16"/>
  <c r="L155" i="16" s="1"/>
  <c r="L121" i="63"/>
  <c r="L188" i="63" s="1"/>
  <c r="K811" i="19"/>
  <c r="N89" i="16"/>
  <c r="N155" i="16" s="1"/>
  <c r="N121" i="63"/>
  <c r="N188" i="63" s="1"/>
  <c r="K38" i="19"/>
  <c r="I123" i="63"/>
  <c r="I190" i="63" s="1"/>
  <c r="I91" i="16"/>
  <c r="I157" i="16" s="1"/>
  <c r="J43" i="52"/>
  <c r="L43" i="52"/>
  <c r="N43" i="52"/>
  <c r="K41" i="19"/>
  <c r="K93" i="16"/>
  <c r="K159" i="16" s="1"/>
  <c r="K351" i="19"/>
  <c r="K125" i="63"/>
  <c r="K192" i="63" s="1"/>
  <c r="M93" i="16"/>
  <c r="M159" i="16" s="1"/>
  <c r="M125" i="63"/>
  <c r="M192" i="63" s="1"/>
  <c r="K661" i="19"/>
  <c r="K42" i="19"/>
  <c r="K352" i="19"/>
  <c r="K94" i="16"/>
  <c r="K160" i="16" s="1"/>
  <c r="K126" i="63"/>
  <c r="K193" i="63" s="1"/>
  <c r="K662" i="19"/>
  <c r="M94" i="16"/>
  <c r="M160" i="16" s="1"/>
  <c r="M126" i="63"/>
  <c r="M193" i="63" s="1"/>
  <c r="K43" i="19"/>
  <c r="K353" i="19"/>
  <c r="K95" i="16"/>
  <c r="K161" i="16" s="1"/>
  <c r="K127" i="63"/>
  <c r="K194" i="63" s="1"/>
  <c r="K663" i="19"/>
  <c r="M95" i="16"/>
  <c r="M161" i="16" s="1"/>
  <c r="M127" i="63"/>
  <c r="M194" i="63" s="1"/>
  <c r="I96" i="16"/>
  <c r="I162" i="16" s="1"/>
  <c r="K44" i="19"/>
  <c r="I128" i="63"/>
  <c r="I195" i="63" s="1"/>
  <c r="I49" i="52"/>
  <c r="K49" i="52"/>
  <c r="M49" i="52"/>
  <c r="I132" i="63"/>
  <c r="I199" i="63" s="1"/>
  <c r="K49" i="19"/>
  <c r="I134" i="63"/>
  <c r="I201" i="63" s="1"/>
  <c r="K51" i="19"/>
  <c r="I102" i="16"/>
  <c r="I168" i="16" s="1"/>
  <c r="I55" i="52"/>
  <c r="K363" i="19"/>
  <c r="K440" i="19" s="1"/>
  <c r="K136" i="63"/>
  <c r="K673" i="19"/>
  <c r="K750" i="19" s="1"/>
  <c r="M136" i="63"/>
  <c r="I138" i="63"/>
  <c r="I205" i="63" s="1"/>
  <c r="K56" i="19"/>
  <c r="I108" i="16"/>
  <c r="I174" i="16" s="1"/>
  <c r="K58" i="19"/>
  <c r="I140" i="63"/>
  <c r="I207" i="63" s="1"/>
  <c r="I61" i="52"/>
  <c r="K370" i="19"/>
  <c r="K447" i="19" s="1"/>
  <c r="K142" i="63"/>
  <c r="K680" i="19"/>
  <c r="K757" i="19" s="1"/>
  <c r="M142" i="63"/>
  <c r="I144" i="63"/>
  <c r="I211" i="63" s="1"/>
  <c r="K63" i="19"/>
  <c r="I112" i="16"/>
  <c r="I178" i="16" s="1"/>
  <c r="I146" i="63"/>
  <c r="I213" i="63" s="1"/>
  <c r="K65" i="19"/>
  <c r="I114" i="16"/>
  <c r="I180" i="16" s="1"/>
  <c r="I67" i="52"/>
  <c r="K377" i="19"/>
  <c r="K454" i="19" s="1"/>
  <c r="K148" i="63"/>
  <c r="K687" i="19"/>
  <c r="K764" i="19" s="1"/>
  <c r="M148" i="63"/>
  <c r="K70" i="19"/>
  <c r="I150" i="63"/>
  <c r="I217" i="63" s="1"/>
  <c r="I120" i="16"/>
  <c r="I186" i="16" s="1"/>
  <c r="K72" i="19"/>
  <c r="I152" i="63"/>
  <c r="I219" i="63" s="1"/>
  <c r="I73" i="52"/>
  <c r="K154" i="63"/>
  <c r="K384" i="19"/>
  <c r="K461" i="19" s="1"/>
  <c r="K694" i="19"/>
  <c r="K771" i="19" s="1"/>
  <c r="M154" i="63"/>
  <c r="I156" i="63"/>
  <c r="I223" i="63" s="1"/>
  <c r="K77" i="19"/>
  <c r="I158" i="63"/>
  <c r="I225" i="63" s="1"/>
  <c r="K79" i="19"/>
  <c r="I126" i="16"/>
  <c r="I192" i="16" s="1"/>
  <c r="I79" i="52"/>
  <c r="K391" i="19"/>
  <c r="K468" i="19" s="1"/>
  <c r="K160" i="63"/>
  <c r="K701" i="19"/>
  <c r="K778" i="19" s="1"/>
  <c r="M160" i="63"/>
  <c r="H81" i="52"/>
  <c r="J81" i="52"/>
  <c r="L81" i="52"/>
  <c r="N81" i="52"/>
  <c r="J91" i="52"/>
  <c r="L91" i="52"/>
  <c r="L168" i="52" s="1"/>
  <c r="L161" i="52" s="1"/>
  <c r="N91" i="52"/>
  <c r="J92" i="52"/>
  <c r="L92" i="52"/>
  <c r="N92" i="52"/>
  <c r="J93" i="52"/>
  <c r="L93" i="52"/>
  <c r="N93" i="52"/>
  <c r="J94" i="52"/>
  <c r="L94" i="52"/>
  <c r="N94" i="52"/>
  <c r="J96" i="52"/>
  <c r="L96" i="52"/>
  <c r="N96" i="52"/>
  <c r="I97" i="52"/>
  <c r="K97" i="52"/>
  <c r="M97" i="52"/>
  <c r="I98" i="52"/>
  <c r="K98" i="52"/>
  <c r="M98" i="52"/>
  <c r="I99" i="52"/>
  <c r="K99" i="52"/>
  <c r="M99" i="52"/>
  <c r="I100" i="52"/>
  <c r="I101" i="52"/>
  <c r="J103" i="52"/>
  <c r="L103" i="52"/>
  <c r="N103" i="52"/>
  <c r="J104" i="52"/>
  <c r="L104" i="52"/>
  <c r="N104" i="52"/>
  <c r="K109" i="52"/>
  <c r="M109" i="52"/>
  <c r="K110" i="52"/>
  <c r="M110" i="52"/>
  <c r="K111" i="52"/>
  <c r="M111" i="52"/>
  <c r="I112" i="52"/>
  <c r="I113" i="52"/>
  <c r="J115" i="52"/>
  <c r="L115" i="52"/>
  <c r="N115" i="52"/>
  <c r="J116" i="52"/>
  <c r="L116" i="52"/>
  <c r="N116" i="52"/>
  <c r="J117" i="52"/>
  <c r="L117" i="52"/>
  <c r="N117" i="52"/>
  <c r="I121" i="52"/>
  <c r="I122" i="52"/>
  <c r="I123" i="52"/>
  <c r="I124" i="52"/>
  <c r="I125" i="52"/>
  <c r="K126" i="52"/>
  <c r="M126" i="52"/>
  <c r="J132" i="52"/>
  <c r="L132" i="52"/>
  <c r="N132" i="52"/>
  <c r="I133" i="52"/>
  <c r="I134" i="52"/>
  <c r="I135" i="52"/>
  <c r="I136" i="52"/>
  <c r="I137" i="52"/>
  <c r="K138" i="52"/>
  <c r="M138" i="52"/>
  <c r="J144" i="52"/>
  <c r="L144" i="52"/>
  <c r="N144" i="52"/>
  <c r="I145" i="52"/>
  <c r="I146" i="52"/>
  <c r="I147" i="52"/>
  <c r="I148" i="52"/>
  <c r="I149" i="52"/>
  <c r="K150" i="52"/>
  <c r="M150" i="52"/>
  <c r="L250" i="19"/>
  <c r="L560" i="19"/>
  <c r="L870" i="19"/>
  <c r="I31" i="53"/>
  <c r="K31" i="53"/>
  <c r="M31" i="53"/>
  <c r="J43" i="53"/>
  <c r="L43" i="53"/>
  <c r="N43" i="53"/>
  <c r="I49" i="53"/>
  <c r="K49" i="53"/>
  <c r="M49" i="53"/>
  <c r="I55" i="53"/>
  <c r="I61" i="53"/>
  <c r="I67" i="53"/>
  <c r="I73" i="53"/>
  <c r="I79" i="53"/>
  <c r="H81" i="53"/>
  <c r="J81" i="53"/>
  <c r="L81" i="53"/>
  <c r="N81" i="53"/>
  <c r="J91" i="53"/>
  <c r="L91" i="53"/>
  <c r="L168" i="53" s="1"/>
  <c r="L161" i="53" s="1"/>
  <c r="N91" i="53"/>
  <c r="J92" i="53"/>
  <c r="L92" i="53"/>
  <c r="N92" i="53"/>
  <c r="J93" i="53"/>
  <c r="L93" i="53"/>
  <c r="N93" i="53"/>
  <c r="J94" i="53"/>
  <c r="L94" i="53"/>
  <c r="N94" i="53"/>
  <c r="J96" i="53"/>
  <c r="L96" i="53"/>
  <c r="N96" i="53"/>
  <c r="I97" i="53"/>
  <c r="K97" i="53"/>
  <c r="M97" i="53"/>
  <c r="I98" i="53"/>
  <c r="K98" i="53"/>
  <c r="M98" i="53"/>
  <c r="I99" i="53"/>
  <c r="K99" i="53"/>
  <c r="M99" i="53"/>
  <c r="I100" i="53"/>
  <c r="I101" i="53"/>
  <c r="J103" i="53"/>
  <c r="L103" i="53"/>
  <c r="N103" i="53"/>
  <c r="J104" i="53"/>
  <c r="L104" i="53"/>
  <c r="N104" i="53"/>
  <c r="K109" i="53"/>
  <c r="M109" i="53"/>
  <c r="K110" i="53"/>
  <c r="M110" i="53"/>
  <c r="K111" i="53"/>
  <c r="M111" i="53"/>
  <c r="I112" i="53"/>
  <c r="I113" i="53"/>
  <c r="J115" i="53"/>
  <c r="L115" i="53"/>
  <c r="N115" i="53"/>
  <c r="J116" i="53"/>
  <c r="L116" i="53"/>
  <c r="N116" i="53"/>
  <c r="J117" i="53"/>
  <c r="L117" i="53"/>
  <c r="N117" i="53"/>
  <c r="I121" i="53"/>
  <c r="I122" i="53"/>
  <c r="I123" i="53"/>
  <c r="I124" i="53"/>
  <c r="I125" i="53"/>
  <c r="K126" i="53"/>
  <c r="M126" i="53"/>
  <c r="J132" i="53"/>
  <c r="L132" i="53"/>
  <c r="N132" i="53"/>
  <c r="I133" i="53"/>
  <c r="I134" i="53"/>
  <c r="I135" i="53"/>
  <c r="I136" i="53"/>
  <c r="I137" i="53"/>
  <c r="K138" i="53"/>
  <c r="M138" i="53"/>
  <c r="J144" i="53"/>
  <c r="L144" i="53"/>
  <c r="N144" i="53"/>
  <c r="I145" i="53"/>
  <c r="I146" i="53"/>
  <c r="I147" i="53"/>
  <c r="I148" i="53"/>
  <c r="I149" i="53"/>
  <c r="K150" i="53"/>
  <c r="M150" i="53"/>
  <c r="J25" i="54"/>
  <c r="L25" i="54"/>
  <c r="N25" i="54"/>
  <c r="N106" i="63" s="1"/>
  <c r="I31" i="54"/>
  <c r="K31" i="54"/>
  <c r="M31" i="54"/>
  <c r="K37" i="54"/>
  <c r="K86" i="16" s="1"/>
  <c r="M37" i="54"/>
  <c r="J43" i="54"/>
  <c r="L43" i="54"/>
  <c r="N43" i="54"/>
  <c r="I49" i="54"/>
  <c r="K49" i="54"/>
  <c r="M49" i="54"/>
  <c r="I55" i="54"/>
  <c r="I61" i="54"/>
  <c r="I67" i="54"/>
  <c r="I73" i="54"/>
  <c r="I79" i="54"/>
  <c r="H81" i="54"/>
  <c r="J91" i="54"/>
  <c r="L91" i="54"/>
  <c r="N91" i="54"/>
  <c r="J92" i="54"/>
  <c r="L92" i="54"/>
  <c r="N92" i="54"/>
  <c r="J93" i="54"/>
  <c r="L93" i="54"/>
  <c r="N93" i="54"/>
  <c r="J94" i="54"/>
  <c r="L94" i="54"/>
  <c r="N94" i="54"/>
  <c r="I97" i="54"/>
  <c r="K97" i="54"/>
  <c r="M97" i="54"/>
  <c r="I98" i="54"/>
  <c r="K98" i="54"/>
  <c r="M98" i="54"/>
  <c r="I99" i="54"/>
  <c r="K99" i="54"/>
  <c r="M99" i="54"/>
  <c r="I100" i="54"/>
  <c r="I101" i="54"/>
  <c r="J103" i="54"/>
  <c r="L103" i="54"/>
  <c r="N103" i="54"/>
  <c r="J104" i="54"/>
  <c r="L104" i="54"/>
  <c r="L167" i="54" s="1"/>
  <c r="L160" i="54" s="1"/>
  <c r="N104" i="54"/>
  <c r="K109" i="54"/>
  <c r="M109" i="54"/>
  <c r="K110" i="54"/>
  <c r="M110" i="54"/>
  <c r="K111" i="54"/>
  <c r="M111" i="54"/>
  <c r="I112" i="54"/>
  <c r="I113" i="54"/>
  <c r="J115" i="54"/>
  <c r="L115" i="54"/>
  <c r="N115" i="54"/>
  <c r="J116" i="54"/>
  <c r="L116" i="54"/>
  <c r="L166" i="54" s="1"/>
  <c r="L159" i="54" s="1"/>
  <c r="N116" i="54"/>
  <c r="J117" i="54"/>
  <c r="L117" i="54"/>
  <c r="N117" i="54"/>
  <c r="I121" i="54"/>
  <c r="I122" i="54"/>
  <c r="I123" i="54"/>
  <c r="I124" i="54"/>
  <c r="I125" i="54"/>
  <c r="K126" i="54"/>
  <c r="M126" i="54"/>
  <c r="J132" i="54"/>
  <c r="L132" i="54"/>
  <c r="N132" i="54"/>
  <c r="I133" i="54"/>
  <c r="I134" i="54"/>
  <c r="I135" i="54"/>
  <c r="I136" i="54"/>
  <c r="I137" i="54"/>
  <c r="K138" i="54"/>
  <c r="M138" i="54"/>
  <c r="J144" i="54"/>
  <c r="L144" i="54"/>
  <c r="N144" i="54"/>
  <c r="I145" i="54"/>
  <c r="I146" i="54"/>
  <c r="I147" i="54"/>
  <c r="I148" i="54"/>
  <c r="I149" i="54"/>
  <c r="K150" i="54"/>
  <c r="M150" i="54"/>
  <c r="I20" i="55"/>
  <c r="I101" i="63" s="1"/>
  <c r="I21" i="55"/>
  <c r="I22" i="55"/>
  <c r="I103" i="63" s="1"/>
  <c r="I170" i="63" s="1"/>
  <c r="I23" i="55"/>
  <c r="J25" i="55"/>
  <c r="L25" i="55"/>
  <c r="N25" i="55"/>
  <c r="I26" i="55"/>
  <c r="I27" i="55"/>
  <c r="I28" i="55"/>
  <c r="K31" i="55"/>
  <c r="M31" i="55"/>
  <c r="I37" i="55"/>
  <c r="K37" i="55"/>
  <c r="M37" i="55"/>
  <c r="J43" i="55"/>
  <c r="L43" i="55"/>
  <c r="N43" i="55"/>
  <c r="I44" i="55"/>
  <c r="I93" i="16" s="1"/>
  <c r="I159" i="16" s="1"/>
  <c r="I45" i="55"/>
  <c r="I46" i="55"/>
  <c r="I95" i="16" s="1"/>
  <c r="I161" i="16" s="1"/>
  <c r="K49" i="55"/>
  <c r="M49" i="55"/>
  <c r="I55" i="55"/>
  <c r="I61" i="55"/>
  <c r="I67" i="55"/>
  <c r="I73" i="55"/>
  <c r="I79" i="55"/>
  <c r="H81" i="55"/>
  <c r="K168" i="55"/>
  <c r="K161" i="55" s="1"/>
  <c r="J91" i="55"/>
  <c r="L91" i="55"/>
  <c r="L168" i="55" s="1"/>
  <c r="L161" i="55" s="1"/>
  <c r="N91" i="55"/>
  <c r="J92" i="55"/>
  <c r="L92" i="55"/>
  <c r="N92" i="55"/>
  <c r="J93" i="55"/>
  <c r="L93" i="55"/>
  <c r="N93" i="55"/>
  <c r="J94" i="55"/>
  <c r="L94" i="55"/>
  <c r="N94" i="55"/>
  <c r="K97" i="55"/>
  <c r="M97" i="55"/>
  <c r="K98" i="55"/>
  <c r="M98" i="55"/>
  <c r="K99" i="55"/>
  <c r="M99" i="55"/>
  <c r="I100" i="55"/>
  <c r="I101" i="55"/>
  <c r="J103" i="55"/>
  <c r="L103" i="55"/>
  <c r="N103" i="55"/>
  <c r="J104" i="55"/>
  <c r="L104" i="55"/>
  <c r="L167" i="55" s="1"/>
  <c r="L160" i="55" s="1"/>
  <c r="N104" i="55"/>
  <c r="J108" i="55"/>
  <c r="L108" i="55"/>
  <c r="N108" i="55"/>
  <c r="I109" i="55"/>
  <c r="K109" i="55"/>
  <c r="M109" i="55"/>
  <c r="I110" i="55"/>
  <c r="K110" i="55"/>
  <c r="M110" i="55"/>
  <c r="I111" i="55"/>
  <c r="K111" i="55"/>
  <c r="M111" i="55"/>
  <c r="I112" i="55"/>
  <c r="I113" i="55"/>
  <c r="J115" i="55"/>
  <c r="L115" i="55"/>
  <c r="N115" i="55"/>
  <c r="J116" i="55"/>
  <c r="L116" i="55"/>
  <c r="N116" i="55"/>
  <c r="J117" i="55"/>
  <c r="L117" i="55"/>
  <c r="N117" i="55"/>
  <c r="I121" i="55"/>
  <c r="I122" i="55"/>
  <c r="I123" i="55"/>
  <c r="I124" i="55"/>
  <c r="I125" i="55"/>
  <c r="K126" i="55"/>
  <c r="M126" i="55"/>
  <c r="J132" i="55"/>
  <c r="L132" i="55"/>
  <c r="N132" i="55"/>
  <c r="I133" i="55"/>
  <c r="I134" i="55"/>
  <c r="I135" i="55"/>
  <c r="I136" i="55"/>
  <c r="I137" i="55"/>
  <c r="K138" i="55"/>
  <c r="M138" i="55"/>
  <c r="J144" i="55"/>
  <c r="L144" i="55"/>
  <c r="N144" i="55"/>
  <c r="I145" i="55"/>
  <c r="I146" i="55"/>
  <c r="I147" i="55"/>
  <c r="I148" i="55"/>
  <c r="I149" i="55"/>
  <c r="K150" i="55"/>
  <c r="M150" i="55"/>
  <c r="O405" i="19"/>
  <c r="O715" i="19"/>
  <c r="J31" i="56"/>
  <c r="L31" i="56"/>
  <c r="N31" i="56"/>
  <c r="I43" i="56"/>
  <c r="K43" i="56"/>
  <c r="M43" i="56"/>
  <c r="J49" i="56"/>
  <c r="L49" i="56"/>
  <c r="N49" i="56"/>
  <c r="K81" i="56"/>
  <c r="K91" i="56"/>
  <c r="K168" i="56" s="1"/>
  <c r="K161" i="56" s="1"/>
  <c r="M91" i="56"/>
  <c r="K92" i="56"/>
  <c r="M92" i="56"/>
  <c r="K93" i="56"/>
  <c r="M93" i="56"/>
  <c r="K94" i="56"/>
  <c r="M94" i="56"/>
  <c r="I95" i="56"/>
  <c r="K96" i="56"/>
  <c r="M96" i="56"/>
  <c r="J97" i="56"/>
  <c r="L97" i="56"/>
  <c r="N97" i="56"/>
  <c r="J98" i="56"/>
  <c r="L98" i="56"/>
  <c r="N98" i="56"/>
  <c r="J99" i="56"/>
  <c r="L99" i="56"/>
  <c r="N99" i="56"/>
  <c r="I103" i="56"/>
  <c r="K103" i="56"/>
  <c r="M103" i="56"/>
  <c r="I104" i="56"/>
  <c r="K104" i="56"/>
  <c r="M104" i="56"/>
  <c r="I105" i="56"/>
  <c r="I106" i="56"/>
  <c r="I107" i="56"/>
  <c r="J109" i="56"/>
  <c r="L109" i="56"/>
  <c r="L167" i="56" s="1"/>
  <c r="L160" i="56" s="1"/>
  <c r="N109" i="56"/>
  <c r="J110" i="56"/>
  <c r="L110" i="56"/>
  <c r="N110" i="56"/>
  <c r="J111" i="56"/>
  <c r="L111" i="56"/>
  <c r="N111" i="56"/>
  <c r="K115" i="56"/>
  <c r="M115" i="56"/>
  <c r="K116" i="56"/>
  <c r="M116" i="56"/>
  <c r="K117" i="56"/>
  <c r="M117" i="56"/>
  <c r="I118" i="56"/>
  <c r="I119" i="56"/>
  <c r="J126" i="56"/>
  <c r="L126" i="56"/>
  <c r="N126" i="56"/>
  <c r="I127" i="56"/>
  <c r="I128" i="56"/>
  <c r="I129" i="56"/>
  <c r="I130" i="56"/>
  <c r="I131" i="56"/>
  <c r="K132" i="56"/>
  <c r="M132" i="56"/>
  <c r="J138" i="56"/>
  <c r="L138" i="56"/>
  <c r="N138" i="56"/>
  <c r="I139" i="56"/>
  <c r="I140" i="56"/>
  <c r="I141" i="56"/>
  <c r="I142" i="56"/>
  <c r="I143" i="56"/>
  <c r="K144" i="56"/>
  <c r="M144" i="56"/>
  <c r="J150" i="56"/>
  <c r="L150" i="56"/>
  <c r="N150" i="56"/>
  <c r="M168" i="56"/>
  <c r="M161" i="56" s="1"/>
  <c r="I20" i="57"/>
  <c r="I21" i="57"/>
  <c r="I22" i="57"/>
  <c r="I23" i="57"/>
  <c r="J25" i="57"/>
  <c r="L25" i="57"/>
  <c r="N25" i="57"/>
  <c r="I26" i="57"/>
  <c r="I27" i="57"/>
  <c r="I28" i="57"/>
  <c r="K31" i="57"/>
  <c r="M31" i="57"/>
  <c r="I37" i="57"/>
  <c r="K37" i="57"/>
  <c r="M37" i="57"/>
  <c r="J43" i="57"/>
  <c r="L43" i="57"/>
  <c r="N43" i="57"/>
  <c r="I44" i="57"/>
  <c r="I45" i="57"/>
  <c r="I46" i="57"/>
  <c r="K49" i="57"/>
  <c r="M49" i="57"/>
  <c r="I55" i="57"/>
  <c r="I61" i="57"/>
  <c r="I67" i="57"/>
  <c r="I73" i="57"/>
  <c r="I79" i="57"/>
  <c r="H81" i="57"/>
  <c r="J91" i="57"/>
  <c r="L91" i="57"/>
  <c r="N91" i="57"/>
  <c r="J92" i="57"/>
  <c r="L92" i="57"/>
  <c r="N92" i="57"/>
  <c r="J93" i="57"/>
  <c r="L93" i="57"/>
  <c r="N93" i="57"/>
  <c r="J94" i="57"/>
  <c r="L94" i="57"/>
  <c r="N94" i="57"/>
  <c r="K97" i="57"/>
  <c r="M97" i="57"/>
  <c r="K98" i="57"/>
  <c r="K167" i="57" s="1"/>
  <c r="K160" i="57" s="1"/>
  <c r="M98" i="57"/>
  <c r="K99" i="57"/>
  <c r="M99" i="57"/>
  <c r="I100" i="57"/>
  <c r="I101" i="57"/>
  <c r="J103" i="57"/>
  <c r="L103" i="57"/>
  <c r="N103" i="57"/>
  <c r="J104" i="57"/>
  <c r="L104" i="57"/>
  <c r="N104" i="57"/>
  <c r="I109" i="57"/>
  <c r="K109" i="57"/>
  <c r="M109" i="57"/>
  <c r="I110" i="57"/>
  <c r="K110" i="57"/>
  <c r="M110" i="57"/>
  <c r="I111" i="57"/>
  <c r="K111" i="57"/>
  <c r="M111" i="57"/>
  <c r="I112" i="57"/>
  <c r="I113" i="57"/>
  <c r="J115" i="57"/>
  <c r="L115" i="57"/>
  <c r="N115" i="57"/>
  <c r="J116" i="57"/>
  <c r="L116" i="57"/>
  <c r="N116" i="57"/>
  <c r="J117" i="57"/>
  <c r="L117" i="57"/>
  <c r="N117" i="57"/>
  <c r="I121" i="57"/>
  <c r="I122" i="57"/>
  <c r="I123" i="57"/>
  <c r="I124" i="57"/>
  <c r="I125" i="57"/>
  <c r="K126" i="57"/>
  <c r="M126" i="57"/>
  <c r="J132" i="57"/>
  <c r="L132" i="57"/>
  <c r="N132" i="57"/>
  <c r="I133" i="57"/>
  <c r="I134" i="57"/>
  <c r="I135" i="57"/>
  <c r="I136" i="57"/>
  <c r="I137" i="57"/>
  <c r="K138" i="57"/>
  <c r="M138" i="57"/>
  <c r="J144" i="57"/>
  <c r="L144" i="57"/>
  <c r="N144" i="57"/>
  <c r="I145" i="57"/>
  <c r="I146" i="57"/>
  <c r="I147" i="57"/>
  <c r="I148" i="57"/>
  <c r="I149" i="57"/>
  <c r="K150" i="57"/>
  <c r="M150" i="57"/>
  <c r="I20" i="58"/>
  <c r="I21" i="58"/>
  <c r="I22" i="58"/>
  <c r="I23" i="58"/>
  <c r="J25" i="58"/>
  <c r="L25" i="58"/>
  <c r="N25" i="58"/>
  <c r="I26" i="58"/>
  <c r="I27" i="58"/>
  <c r="I28" i="58"/>
  <c r="K31" i="58"/>
  <c r="K81" i="58" s="1"/>
  <c r="M31" i="58"/>
  <c r="I37" i="58"/>
  <c r="K37" i="58"/>
  <c r="M37" i="58"/>
  <c r="J43" i="58"/>
  <c r="L43" i="58"/>
  <c r="N43" i="58"/>
  <c r="I44" i="58"/>
  <c r="I45" i="58"/>
  <c r="I46" i="58"/>
  <c r="K49" i="58"/>
  <c r="M49" i="58"/>
  <c r="I55" i="58"/>
  <c r="I61" i="58"/>
  <c r="I67" i="58"/>
  <c r="I73" i="58"/>
  <c r="I79" i="58"/>
  <c r="H81" i="58"/>
  <c r="J91" i="58"/>
  <c r="L91" i="58"/>
  <c r="N91" i="58"/>
  <c r="J92" i="58"/>
  <c r="L92" i="58"/>
  <c r="N92" i="58"/>
  <c r="J93" i="58"/>
  <c r="L93" i="58"/>
  <c r="N93" i="58"/>
  <c r="J94" i="58"/>
  <c r="L94" i="58"/>
  <c r="N94" i="58"/>
  <c r="K97" i="58"/>
  <c r="M97" i="58"/>
  <c r="K98" i="58"/>
  <c r="M98" i="58"/>
  <c r="K99" i="58"/>
  <c r="M99" i="58"/>
  <c r="I100" i="58"/>
  <c r="I101" i="58"/>
  <c r="J103" i="58"/>
  <c r="L103" i="58"/>
  <c r="N103" i="58"/>
  <c r="J104" i="58"/>
  <c r="L104" i="58"/>
  <c r="N104" i="58"/>
  <c r="J108" i="58"/>
  <c r="L108" i="58"/>
  <c r="N108" i="58"/>
  <c r="I109" i="58"/>
  <c r="K109" i="58"/>
  <c r="M109" i="58"/>
  <c r="I110" i="58"/>
  <c r="K110" i="58"/>
  <c r="M110" i="58"/>
  <c r="I111" i="58"/>
  <c r="K111" i="58"/>
  <c r="M111" i="58"/>
  <c r="I112" i="58"/>
  <c r="I113" i="58"/>
  <c r="J115" i="58"/>
  <c r="L115" i="58"/>
  <c r="N115" i="58"/>
  <c r="J116" i="58"/>
  <c r="L116" i="58"/>
  <c r="N116" i="58"/>
  <c r="J117" i="58"/>
  <c r="L117" i="58"/>
  <c r="N117" i="58"/>
  <c r="I121" i="58"/>
  <c r="I122" i="58"/>
  <c r="I123" i="58"/>
  <c r="I124" i="58"/>
  <c r="I125" i="58"/>
  <c r="K126" i="58"/>
  <c r="M126" i="58"/>
  <c r="J132" i="58"/>
  <c r="L132" i="58"/>
  <c r="N132" i="58"/>
  <c r="I133" i="58"/>
  <c r="I134" i="58"/>
  <c r="I135" i="58"/>
  <c r="I136" i="58"/>
  <c r="I137" i="58"/>
  <c r="K138" i="58"/>
  <c r="M138" i="58"/>
  <c r="J144" i="58"/>
  <c r="L144" i="58"/>
  <c r="N144" i="58"/>
  <c r="I145" i="58"/>
  <c r="I146" i="58"/>
  <c r="I147" i="58"/>
  <c r="I148" i="58"/>
  <c r="I149" i="58"/>
  <c r="K150" i="58"/>
  <c r="M150" i="58"/>
  <c r="I20" i="59"/>
  <c r="I21" i="59"/>
  <c r="I22" i="59"/>
  <c r="I23" i="59"/>
  <c r="J25" i="59"/>
  <c r="L25" i="59"/>
  <c r="N25" i="59"/>
  <c r="I26" i="59"/>
  <c r="I27" i="59"/>
  <c r="I28" i="59"/>
  <c r="K31" i="59"/>
  <c r="M31" i="59"/>
  <c r="I37" i="59"/>
  <c r="K37" i="59"/>
  <c r="M37" i="59"/>
  <c r="J43" i="59"/>
  <c r="L43" i="59"/>
  <c r="N43" i="59"/>
  <c r="I44" i="59"/>
  <c r="I45" i="59"/>
  <c r="I46" i="59"/>
  <c r="K49" i="59"/>
  <c r="M49" i="59"/>
  <c r="I55" i="59"/>
  <c r="I61" i="59"/>
  <c r="I67" i="59"/>
  <c r="I73" i="59"/>
  <c r="I79" i="59"/>
  <c r="H81" i="59"/>
  <c r="J91" i="59"/>
  <c r="L91" i="59"/>
  <c r="N91" i="59"/>
  <c r="J92" i="59"/>
  <c r="L92" i="59"/>
  <c r="N92" i="59"/>
  <c r="J93" i="59"/>
  <c r="L93" i="59"/>
  <c r="N93" i="59"/>
  <c r="J94" i="59"/>
  <c r="L94" i="59"/>
  <c r="N94" i="59"/>
  <c r="K97" i="59"/>
  <c r="M97" i="59"/>
  <c r="K98" i="59"/>
  <c r="M98" i="59"/>
  <c r="K99" i="59"/>
  <c r="M99" i="59"/>
  <c r="I100" i="59"/>
  <c r="I101" i="59"/>
  <c r="J103" i="59"/>
  <c r="L103" i="59"/>
  <c r="N103" i="59"/>
  <c r="J104" i="59"/>
  <c r="L104" i="59"/>
  <c r="N104" i="59"/>
  <c r="J108" i="59"/>
  <c r="L108" i="59"/>
  <c r="N108" i="59"/>
  <c r="I109" i="59"/>
  <c r="K109" i="59"/>
  <c r="M109" i="59"/>
  <c r="I110" i="59"/>
  <c r="K110" i="59"/>
  <c r="M110" i="59"/>
  <c r="I111" i="59"/>
  <c r="K111" i="59"/>
  <c r="M111" i="59"/>
  <c r="I112" i="59"/>
  <c r="I113" i="59"/>
  <c r="J115" i="59"/>
  <c r="L115" i="59"/>
  <c r="N115" i="59"/>
  <c r="J116" i="59"/>
  <c r="L116" i="59"/>
  <c r="N116" i="59"/>
  <c r="J117" i="59"/>
  <c r="L117" i="59"/>
  <c r="N117" i="59"/>
  <c r="I121" i="59"/>
  <c r="I122" i="59"/>
  <c r="I123" i="59"/>
  <c r="I124" i="59"/>
  <c r="I125" i="59"/>
  <c r="K126" i="59"/>
  <c r="M126" i="59"/>
  <c r="J132" i="59"/>
  <c r="L132" i="59"/>
  <c r="N132" i="59"/>
  <c r="I133" i="59"/>
  <c r="I134" i="59"/>
  <c r="I135" i="59"/>
  <c r="I136" i="59"/>
  <c r="I137" i="59"/>
  <c r="K138" i="59"/>
  <c r="M138" i="59"/>
  <c r="J144" i="59"/>
  <c r="L144" i="59"/>
  <c r="N144" i="59"/>
  <c r="I145" i="59"/>
  <c r="I146" i="59"/>
  <c r="I147" i="59"/>
  <c r="I148" i="59"/>
  <c r="I149" i="59"/>
  <c r="K150" i="59"/>
  <c r="M150" i="59"/>
  <c r="S250" i="19"/>
  <c r="S237" i="19"/>
  <c r="S314" i="19" s="1"/>
  <c r="S547" i="19"/>
  <c r="S624" i="19" s="1"/>
  <c r="S560" i="19"/>
  <c r="S857" i="19"/>
  <c r="S934" i="19" s="1"/>
  <c r="S870" i="19"/>
  <c r="K81" i="60"/>
  <c r="M81" i="60"/>
  <c r="I91" i="60"/>
  <c r="I92" i="60"/>
  <c r="I93" i="60"/>
  <c r="I94" i="60"/>
  <c r="I95" i="60"/>
  <c r="K96" i="60"/>
  <c r="M96" i="60"/>
  <c r="J102" i="60"/>
  <c r="L102" i="60"/>
  <c r="N102" i="60"/>
  <c r="I103" i="60"/>
  <c r="I104" i="60"/>
  <c r="I105" i="60"/>
  <c r="I106" i="60"/>
  <c r="I107" i="60"/>
  <c r="K108" i="60"/>
  <c r="M108" i="60"/>
  <c r="J114" i="60"/>
  <c r="L114" i="60"/>
  <c r="N114" i="60"/>
  <c r="I115" i="60"/>
  <c r="I116" i="60"/>
  <c r="I117" i="60"/>
  <c r="I118" i="60"/>
  <c r="I119" i="60"/>
  <c r="K120" i="60"/>
  <c r="M120" i="60"/>
  <c r="J126" i="60"/>
  <c r="L126" i="60"/>
  <c r="N126" i="60"/>
  <c r="I127" i="60"/>
  <c r="I128" i="60"/>
  <c r="I129" i="60"/>
  <c r="I130" i="60"/>
  <c r="I131" i="60"/>
  <c r="K132" i="60"/>
  <c r="M132" i="60"/>
  <c r="J138" i="60"/>
  <c r="L138" i="60"/>
  <c r="N138" i="60"/>
  <c r="I139" i="60"/>
  <c r="I140" i="60"/>
  <c r="I141" i="60"/>
  <c r="I142" i="60"/>
  <c r="I143" i="60"/>
  <c r="K144" i="60"/>
  <c r="M144" i="60"/>
  <c r="J150" i="60"/>
  <c r="L150" i="60"/>
  <c r="N150" i="60"/>
  <c r="I25" i="61"/>
  <c r="T392" i="19"/>
  <c r="T469" i="19" s="1"/>
  <c r="T405" i="19"/>
  <c r="T702" i="19"/>
  <c r="T779" i="19" s="1"/>
  <c r="T715" i="19"/>
  <c r="I31" i="61"/>
  <c r="I37" i="61"/>
  <c r="I43" i="61"/>
  <c r="I49" i="61"/>
  <c r="I55" i="61"/>
  <c r="I61" i="61"/>
  <c r="I67" i="61"/>
  <c r="I73" i="61"/>
  <c r="I79" i="61"/>
  <c r="H81" i="61"/>
  <c r="J81" i="61"/>
  <c r="L81" i="61"/>
  <c r="N81" i="61"/>
  <c r="J96" i="61"/>
  <c r="L96" i="61"/>
  <c r="N96" i="61"/>
  <c r="I97" i="61"/>
  <c r="I98" i="61"/>
  <c r="I99" i="61"/>
  <c r="I100" i="61"/>
  <c r="I101" i="61"/>
  <c r="K102" i="61"/>
  <c r="M102" i="61"/>
  <c r="J108" i="61"/>
  <c r="L108" i="61"/>
  <c r="N108" i="61"/>
  <c r="I109" i="61"/>
  <c r="I110" i="61"/>
  <c r="I111" i="61"/>
  <c r="I112" i="61"/>
  <c r="I113" i="61"/>
  <c r="K114" i="61"/>
  <c r="M114" i="61"/>
  <c r="J120" i="61"/>
  <c r="L120" i="61"/>
  <c r="N120" i="61"/>
  <c r="I121" i="61"/>
  <c r="I122" i="61"/>
  <c r="I123" i="61"/>
  <c r="I124" i="61"/>
  <c r="I125" i="61"/>
  <c r="K126" i="61"/>
  <c r="M126" i="61"/>
  <c r="J132" i="61"/>
  <c r="L132" i="61"/>
  <c r="N132" i="61"/>
  <c r="I133" i="61"/>
  <c r="I134" i="61"/>
  <c r="I135" i="61"/>
  <c r="I136" i="61"/>
  <c r="I137" i="61"/>
  <c r="K138" i="61"/>
  <c r="M138" i="61"/>
  <c r="J144" i="61"/>
  <c r="L144" i="61"/>
  <c r="N144" i="61"/>
  <c r="I145" i="61"/>
  <c r="I146" i="61"/>
  <c r="I147" i="61"/>
  <c r="I148" i="61"/>
  <c r="I149" i="61"/>
  <c r="K150" i="61"/>
  <c r="M150" i="61"/>
  <c r="K81" i="14"/>
  <c r="M81" i="14"/>
  <c r="K73" i="16"/>
  <c r="K139" i="16" s="1"/>
  <c r="U327" i="19"/>
  <c r="U404" i="19" s="1"/>
  <c r="M73" i="16"/>
  <c r="M139" i="16" s="1"/>
  <c r="U637" i="19"/>
  <c r="U714" i="19" s="1"/>
  <c r="U178" i="19"/>
  <c r="J78" i="16"/>
  <c r="J144" i="16" s="1"/>
  <c r="U488" i="19"/>
  <c r="U565" i="19" s="1"/>
  <c r="L78" i="16"/>
  <c r="L144" i="16" s="1"/>
  <c r="U798" i="19"/>
  <c r="U875" i="19" s="1"/>
  <c r="N78" i="16"/>
  <c r="N144" i="16" s="1"/>
  <c r="J102" i="14"/>
  <c r="U180" i="19" s="1"/>
  <c r="U257" i="19" s="1"/>
  <c r="N102" i="14"/>
  <c r="U800" i="19" s="1"/>
  <c r="U877" i="19" s="1"/>
  <c r="U339" i="19"/>
  <c r="U416" i="19" s="1"/>
  <c r="K83" i="16"/>
  <c r="K149" i="16" s="1"/>
  <c r="U649" i="19"/>
  <c r="U726" i="19" s="1"/>
  <c r="M83" i="16"/>
  <c r="M149" i="16" s="1"/>
  <c r="U340" i="19"/>
  <c r="K84" i="16"/>
  <c r="K150" i="16" s="1"/>
  <c r="U650" i="19"/>
  <c r="M84" i="16"/>
  <c r="M150" i="16" s="1"/>
  <c r="U341" i="19"/>
  <c r="U418" i="19" s="1"/>
  <c r="K85" i="16"/>
  <c r="K151" i="16" s="1"/>
  <c r="U651" i="19"/>
  <c r="U728" i="19" s="1"/>
  <c r="M85" i="16"/>
  <c r="M151" i="16" s="1"/>
  <c r="M108" i="14"/>
  <c r="U652" i="19" s="1"/>
  <c r="U729" i="19" s="1"/>
  <c r="J91" i="16"/>
  <c r="J157" i="16" s="1"/>
  <c r="U193" i="19"/>
  <c r="U270" i="19" s="1"/>
  <c r="U503" i="19"/>
  <c r="L91" i="16"/>
  <c r="L157" i="16" s="1"/>
  <c r="U813" i="19"/>
  <c r="N91" i="16"/>
  <c r="N157" i="16" s="1"/>
  <c r="L114" i="14"/>
  <c r="U504" i="19" s="1"/>
  <c r="U581" i="19" s="1"/>
  <c r="K120" i="14"/>
  <c r="U356" i="19" s="1"/>
  <c r="U433" i="19" s="1"/>
  <c r="U204" i="19"/>
  <c r="J100" i="16"/>
  <c r="J166" i="16" s="1"/>
  <c r="U514" i="19"/>
  <c r="U591" i="19" s="1"/>
  <c r="L100" i="16"/>
  <c r="L166" i="16" s="1"/>
  <c r="U824" i="19"/>
  <c r="U901" i="19" s="1"/>
  <c r="N100" i="16"/>
  <c r="N166" i="16" s="1"/>
  <c r="U206" i="19"/>
  <c r="J102" i="16"/>
  <c r="J168" i="16" s="1"/>
  <c r="U516" i="19"/>
  <c r="U593" i="19" s="1"/>
  <c r="L102" i="16"/>
  <c r="L168" i="16" s="1"/>
  <c r="U826" i="19"/>
  <c r="U903" i="19" s="1"/>
  <c r="N102" i="16"/>
  <c r="N168" i="16" s="1"/>
  <c r="J126" i="14"/>
  <c r="U208" i="19" s="1"/>
  <c r="U285" i="19" s="1"/>
  <c r="N126" i="14"/>
  <c r="U828" i="19" s="1"/>
  <c r="U905" i="19" s="1"/>
  <c r="U365" i="19"/>
  <c r="U442" i="19" s="1"/>
  <c r="K105" i="16"/>
  <c r="K171" i="16" s="1"/>
  <c r="U675" i="19"/>
  <c r="U752" i="19" s="1"/>
  <c r="M105" i="16"/>
  <c r="M171" i="16" s="1"/>
  <c r="U366" i="19"/>
  <c r="K106" i="16"/>
  <c r="K172" i="16" s="1"/>
  <c r="U676" i="19"/>
  <c r="M106" i="16"/>
  <c r="M172" i="16" s="1"/>
  <c r="U367" i="19"/>
  <c r="U444" i="19" s="1"/>
  <c r="K107" i="16"/>
  <c r="K173" i="16" s="1"/>
  <c r="U677" i="19"/>
  <c r="U754" i="19" s="1"/>
  <c r="M107" i="16"/>
  <c r="M173" i="16" s="1"/>
  <c r="U368" i="19"/>
  <c r="K108" i="16"/>
  <c r="K174" i="16" s="1"/>
  <c r="U678" i="19"/>
  <c r="M108" i="16"/>
  <c r="M174" i="16" s="1"/>
  <c r="U369" i="19"/>
  <c r="U446" i="19" s="1"/>
  <c r="K109" i="16"/>
  <c r="K175" i="16" s="1"/>
  <c r="U679" i="19"/>
  <c r="U756" i="19" s="1"/>
  <c r="M109" i="16"/>
  <c r="M175" i="16" s="1"/>
  <c r="M132" i="14"/>
  <c r="U680" i="19" s="1"/>
  <c r="U757" i="19" s="1"/>
  <c r="J111" i="16"/>
  <c r="J177" i="16" s="1"/>
  <c r="U217" i="19"/>
  <c r="U294" i="19" s="1"/>
  <c r="U527" i="19"/>
  <c r="L111" i="16"/>
  <c r="L177" i="16" s="1"/>
  <c r="U837" i="19"/>
  <c r="N111" i="16"/>
  <c r="N177" i="16" s="1"/>
  <c r="J113" i="16"/>
  <c r="J179" i="16" s="1"/>
  <c r="U219" i="19"/>
  <c r="U296" i="19" s="1"/>
  <c r="U529" i="19"/>
  <c r="L113" i="16"/>
  <c r="L179" i="16" s="1"/>
  <c r="U839" i="19"/>
  <c r="N113" i="16"/>
  <c r="N179" i="16" s="1"/>
  <c r="J115" i="16"/>
  <c r="J181" i="16" s="1"/>
  <c r="U221" i="19"/>
  <c r="U298" i="19" s="1"/>
  <c r="U531" i="19"/>
  <c r="L115" i="16"/>
  <c r="L181" i="16" s="1"/>
  <c r="U841" i="19"/>
  <c r="N115" i="16"/>
  <c r="N181" i="16" s="1"/>
  <c r="L138" i="14"/>
  <c r="U532" i="19" s="1"/>
  <c r="U609" i="19" s="1"/>
  <c r="K144" i="14"/>
  <c r="U384" i="19" s="1"/>
  <c r="U461" i="19" s="1"/>
  <c r="U232" i="19"/>
  <c r="J124" i="16"/>
  <c r="J190" i="16" s="1"/>
  <c r="U542" i="19"/>
  <c r="U619" i="19" s="1"/>
  <c r="L124" i="16"/>
  <c r="L190" i="16" s="1"/>
  <c r="U852" i="19"/>
  <c r="U929" i="19" s="1"/>
  <c r="N124" i="16"/>
  <c r="N190" i="16" s="1"/>
  <c r="U234" i="19"/>
  <c r="J126" i="16"/>
  <c r="J192" i="16" s="1"/>
  <c r="U544" i="19"/>
  <c r="U621" i="19" s="1"/>
  <c r="L126" i="16"/>
  <c r="L192" i="16" s="1"/>
  <c r="U854" i="19"/>
  <c r="U931" i="19" s="1"/>
  <c r="N126" i="16"/>
  <c r="N192" i="16" s="1"/>
  <c r="J150" i="14"/>
  <c r="U236" i="19" s="1"/>
  <c r="U313" i="19" s="1"/>
  <c r="N150" i="14"/>
  <c r="U856" i="19" s="1"/>
  <c r="U933" i="19" s="1"/>
  <c r="I96" i="40"/>
  <c r="X18" i="19" s="1"/>
  <c r="X560" i="19"/>
  <c r="Y405" i="19"/>
  <c r="J7" i="43"/>
  <c r="J8" i="43" s="1"/>
  <c r="J10" i="43" s="1"/>
  <c r="J6" i="43" s="1"/>
  <c r="N7" i="43"/>
  <c r="N8" i="43" s="1"/>
  <c r="N10" i="43" s="1"/>
  <c r="N6" i="43" s="1"/>
  <c r="AC715" i="19"/>
  <c r="J7" i="17"/>
  <c r="J8" i="17" s="1"/>
  <c r="J10" i="17" s="1"/>
  <c r="J6" i="17" s="1"/>
  <c r="N7" i="17"/>
  <c r="N8" i="17" s="1"/>
  <c r="N10" i="17" s="1"/>
  <c r="N6" i="17" s="1"/>
  <c r="J643" i="19"/>
  <c r="J720" i="19" s="1"/>
  <c r="N161" i="14"/>
  <c r="N168" i="14" s="1"/>
  <c r="U881" i="19"/>
  <c r="J804" i="19"/>
  <c r="J881" i="19" s="1"/>
  <c r="J806" i="19"/>
  <c r="J883" i="19" s="1"/>
  <c r="U883" i="19"/>
  <c r="J108" i="14"/>
  <c r="U187" i="19" s="1"/>
  <c r="U264" i="19" s="1"/>
  <c r="L108" i="14"/>
  <c r="U497" i="19" s="1"/>
  <c r="U574" i="19" s="1"/>
  <c r="N108" i="14"/>
  <c r="U807" i="19" s="1"/>
  <c r="U884" i="19" s="1"/>
  <c r="J347" i="19"/>
  <c r="J424" i="19" s="1"/>
  <c r="U424" i="19"/>
  <c r="J657" i="19"/>
  <c r="J734" i="19" s="1"/>
  <c r="U734" i="19"/>
  <c r="K114" i="14"/>
  <c r="U349" i="19" s="1"/>
  <c r="U426" i="19" s="1"/>
  <c r="M114" i="14"/>
  <c r="U659" i="19" s="1"/>
  <c r="U736" i="19" s="1"/>
  <c r="U897" i="19"/>
  <c r="J820" i="19"/>
  <c r="J897" i="19" s="1"/>
  <c r="J120" i="14"/>
  <c r="U201" i="19" s="1"/>
  <c r="U278" i="19" s="1"/>
  <c r="L120" i="14"/>
  <c r="U511" i="19" s="1"/>
  <c r="U588" i="19" s="1"/>
  <c r="N120" i="14"/>
  <c r="U821" i="19" s="1"/>
  <c r="U898" i="19" s="1"/>
  <c r="U436" i="19"/>
  <c r="J359" i="19"/>
  <c r="J436" i="19" s="1"/>
  <c r="U746" i="19"/>
  <c r="J669" i="19"/>
  <c r="J746" i="19" s="1"/>
  <c r="J361" i="19"/>
  <c r="J438" i="19" s="1"/>
  <c r="J671" i="19"/>
  <c r="J748" i="19" s="1"/>
  <c r="U748" i="19"/>
  <c r="K126" i="14"/>
  <c r="U363" i="19" s="1"/>
  <c r="U440" i="19" s="1"/>
  <c r="M126" i="14"/>
  <c r="U673" i="19" s="1"/>
  <c r="U750" i="19" s="1"/>
  <c r="U907" i="19"/>
  <c r="J830" i="19"/>
  <c r="U909" i="19"/>
  <c r="J832" i="19"/>
  <c r="J909" i="19" s="1"/>
  <c r="U911" i="19"/>
  <c r="J834" i="19"/>
  <c r="J911" i="19" s="1"/>
  <c r="J132" i="14"/>
  <c r="U215" i="19" s="1"/>
  <c r="U292" i="19" s="1"/>
  <c r="L132" i="14"/>
  <c r="U525" i="19" s="1"/>
  <c r="U602" i="19" s="1"/>
  <c r="N132" i="14"/>
  <c r="U835" i="19" s="1"/>
  <c r="U912" i="19" s="1"/>
  <c r="U450" i="19"/>
  <c r="J373" i="19"/>
  <c r="J450" i="19" s="1"/>
  <c r="U760" i="19"/>
  <c r="J683" i="19"/>
  <c r="J760" i="19" s="1"/>
  <c r="J375" i="19"/>
  <c r="J452" i="19" s="1"/>
  <c r="J685" i="19"/>
  <c r="J762" i="19" s="1"/>
  <c r="U762" i="19"/>
  <c r="K138" i="14"/>
  <c r="U377" i="19" s="1"/>
  <c r="U454" i="19" s="1"/>
  <c r="M138" i="14"/>
  <c r="U687" i="19" s="1"/>
  <c r="U764" i="19" s="1"/>
  <c r="U921" i="19"/>
  <c r="J844" i="19"/>
  <c r="U923" i="19"/>
  <c r="J846" i="19"/>
  <c r="J923" i="19" s="1"/>
  <c r="U925" i="19"/>
  <c r="J848" i="19"/>
  <c r="J925" i="19" s="1"/>
  <c r="J144" i="14"/>
  <c r="U229" i="19" s="1"/>
  <c r="U306" i="19" s="1"/>
  <c r="L144" i="14"/>
  <c r="U539" i="19" s="1"/>
  <c r="U616" i="19" s="1"/>
  <c r="N144" i="14"/>
  <c r="U849" i="19" s="1"/>
  <c r="U926" i="19" s="1"/>
  <c r="U464" i="19"/>
  <c r="J387" i="19"/>
  <c r="J464" i="19" s="1"/>
  <c r="U774" i="19"/>
  <c r="J697" i="19"/>
  <c r="J774" i="19" s="1"/>
  <c r="J389" i="19"/>
  <c r="J466" i="19" s="1"/>
  <c r="J699" i="19"/>
  <c r="J776" i="19" s="1"/>
  <c r="U776" i="19"/>
  <c r="K150" i="14"/>
  <c r="U391" i="19" s="1"/>
  <c r="U468" i="19" s="1"/>
  <c r="M150" i="14"/>
  <c r="U701" i="19" s="1"/>
  <c r="U778" i="19" s="1"/>
  <c r="J102" i="37"/>
  <c r="V180" i="19" s="1"/>
  <c r="V257" i="19" s="1"/>
  <c r="L102" i="37"/>
  <c r="V490" i="19" s="1"/>
  <c r="V567" i="19" s="1"/>
  <c r="N102" i="37"/>
  <c r="V800" i="19" s="1"/>
  <c r="V877" i="19" s="1"/>
  <c r="K108" i="37"/>
  <c r="V342" i="19" s="1"/>
  <c r="V419" i="19" s="1"/>
  <c r="M108" i="37"/>
  <c r="V652" i="19" s="1"/>
  <c r="V729" i="19" s="1"/>
  <c r="J161" i="37"/>
  <c r="J168" i="37" s="1"/>
  <c r="J114" i="37"/>
  <c r="V194" i="19" s="1"/>
  <c r="V271" i="19" s="1"/>
  <c r="L114" i="37"/>
  <c r="V504" i="19" s="1"/>
  <c r="V581" i="19" s="1"/>
  <c r="N114" i="37"/>
  <c r="V814" i="19" s="1"/>
  <c r="V891" i="19" s="1"/>
  <c r="I116" i="37"/>
  <c r="V42" i="19" s="1"/>
  <c r="V119" i="19" s="1"/>
  <c r="K120" i="37"/>
  <c r="V356" i="19" s="1"/>
  <c r="V433" i="19" s="1"/>
  <c r="M120" i="37"/>
  <c r="V666" i="19" s="1"/>
  <c r="V743" i="19" s="1"/>
  <c r="J126" i="37"/>
  <c r="V208" i="19" s="1"/>
  <c r="V285" i="19" s="1"/>
  <c r="L126" i="37"/>
  <c r="V518" i="19" s="1"/>
  <c r="V595" i="19" s="1"/>
  <c r="N126" i="37"/>
  <c r="V828" i="19" s="1"/>
  <c r="V905" i="19" s="1"/>
  <c r="I128" i="37"/>
  <c r="V56" i="19" s="1"/>
  <c r="V133" i="19" s="1"/>
  <c r="K132" i="37"/>
  <c r="V370" i="19" s="1"/>
  <c r="V447" i="19" s="1"/>
  <c r="M132" i="37"/>
  <c r="V680" i="19" s="1"/>
  <c r="V757" i="19" s="1"/>
  <c r="J138" i="37"/>
  <c r="V222" i="19" s="1"/>
  <c r="V299" i="19" s="1"/>
  <c r="L138" i="37"/>
  <c r="V532" i="19" s="1"/>
  <c r="V609" i="19" s="1"/>
  <c r="N138" i="37"/>
  <c r="V842" i="19" s="1"/>
  <c r="V919" i="19" s="1"/>
  <c r="I140" i="37"/>
  <c r="V70" i="19" s="1"/>
  <c r="V147" i="19" s="1"/>
  <c r="K144" i="37"/>
  <c r="V384" i="19" s="1"/>
  <c r="V461" i="19" s="1"/>
  <c r="M144" i="37"/>
  <c r="V694" i="19" s="1"/>
  <c r="V771" i="19" s="1"/>
  <c r="J150" i="37"/>
  <c r="V236" i="19" s="1"/>
  <c r="V313" i="19" s="1"/>
  <c r="L150" i="37"/>
  <c r="V546" i="19" s="1"/>
  <c r="V623" i="19" s="1"/>
  <c r="N150" i="37"/>
  <c r="V856" i="19" s="1"/>
  <c r="V933" i="19" s="1"/>
  <c r="I25" i="38"/>
  <c r="I31" i="38"/>
  <c r="I37" i="38"/>
  <c r="I43" i="38"/>
  <c r="I49" i="38"/>
  <c r="I55" i="38"/>
  <c r="I61" i="38"/>
  <c r="I67" i="38"/>
  <c r="I73" i="38"/>
  <c r="I79" i="38"/>
  <c r="H81" i="38"/>
  <c r="J81" i="38"/>
  <c r="L81" i="38"/>
  <c r="N81" i="38"/>
  <c r="K102" i="38"/>
  <c r="W335" i="19" s="1"/>
  <c r="W412" i="19" s="1"/>
  <c r="M102" i="38"/>
  <c r="W645" i="19" s="1"/>
  <c r="W722" i="19" s="1"/>
  <c r="J108" i="38"/>
  <c r="W187" i="19" s="1"/>
  <c r="W264" i="19" s="1"/>
  <c r="L108" i="38"/>
  <c r="W497" i="19" s="1"/>
  <c r="W574" i="19" s="1"/>
  <c r="N108" i="38"/>
  <c r="W807" i="19" s="1"/>
  <c r="W884" i="19" s="1"/>
  <c r="K114" i="38"/>
  <c r="W349" i="19" s="1"/>
  <c r="W426" i="19" s="1"/>
  <c r="M114" i="38"/>
  <c r="W659" i="19" s="1"/>
  <c r="W736" i="19" s="1"/>
  <c r="J120" i="38"/>
  <c r="W201" i="19" s="1"/>
  <c r="W278" i="19" s="1"/>
  <c r="L120" i="38"/>
  <c r="W511" i="19" s="1"/>
  <c r="W588" i="19" s="1"/>
  <c r="N120" i="38"/>
  <c r="W821" i="19" s="1"/>
  <c r="W898" i="19" s="1"/>
  <c r="K126" i="38"/>
  <c r="W363" i="19" s="1"/>
  <c r="W440" i="19" s="1"/>
  <c r="M126" i="38"/>
  <c r="W673" i="19" s="1"/>
  <c r="W750" i="19" s="1"/>
  <c r="J132" i="38"/>
  <c r="W215" i="19" s="1"/>
  <c r="W292" i="19" s="1"/>
  <c r="L132" i="38"/>
  <c r="W525" i="19" s="1"/>
  <c r="W602" i="19" s="1"/>
  <c r="N132" i="38"/>
  <c r="W835" i="19" s="1"/>
  <c r="W912" i="19" s="1"/>
  <c r="K138" i="38"/>
  <c r="W377" i="19" s="1"/>
  <c r="W454" i="19" s="1"/>
  <c r="M138" i="38"/>
  <c r="W687" i="19" s="1"/>
  <c r="W764" i="19" s="1"/>
  <c r="J144" i="38"/>
  <c r="W229" i="19" s="1"/>
  <c r="W306" i="19" s="1"/>
  <c r="L144" i="38"/>
  <c r="W539" i="19" s="1"/>
  <c r="W616" i="19" s="1"/>
  <c r="N144" i="38"/>
  <c r="W849" i="19" s="1"/>
  <c r="W926" i="19" s="1"/>
  <c r="K150" i="38"/>
  <c r="W391" i="19" s="1"/>
  <c r="W468" i="19" s="1"/>
  <c r="M150" i="38"/>
  <c r="W701" i="19" s="1"/>
  <c r="W778" i="19" s="1"/>
  <c r="K81" i="40"/>
  <c r="M81" i="40"/>
  <c r="I92" i="40"/>
  <c r="X14" i="19" s="1"/>
  <c r="X91" i="19" s="1"/>
  <c r="J102" i="40"/>
  <c r="X180" i="19" s="1"/>
  <c r="X257" i="19" s="1"/>
  <c r="L102" i="40"/>
  <c r="X490" i="19" s="1"/>
  <c r="X567" i="19" s="1"/>
  <c r="N102" i="40"/>
  <c r="X800" i="19" s="1"/>
  <c r="X877" i="19" s="1"/>
  <c r="I104" i="40"/>
  <c r="X28" i="19" s="1"/>
  <c r="X105" i="19" s="1"/>
  <c r="K108" i="40"/>
  <c r="X342" i="19" s="1"/>
  <c r="X419" i="19" s="1"/>
  <c r="M108" i="40"/>
  <c r="X652" i="19" s="1"/>
  <c r="X729" i="19" s="1"/>
  <c r="J114" i="40"/>
  <c r="X194" i="19" s="1"/>
  <c r="X271" i="19" s="1"/>
  <c r="L114" i="40"/>
  <c r="X504" i="19" s="1"/>
  <c r="X581" i="19" s="1"/>
  <c r="N114" i="40"/>
  <c r="X814" i="19" s="1"/>
  <c r="X891" i="19" s="1"/>
  <c r="I116" i="40"/>
  <c r="X42" i="19" s="1"/>
  <c r="X119" i="19" s="1"/>
  <c r="K120" i="40"/>
  <c r="X356" i="19" s="1"/>
  <c r="X433" i="19" s="1"/>
  <c r="M120" i="40"/>
  <c r="X666" i="19" s="1"/>
  <c r="X743" i="19" s="1"/>
  <c r="J126" i="40"/>
  <c r="X208" i="19" s="1"/>
  <c r="X285" i="19" s="1"/>
  <c r="L126" i="40"/>
  <c r="X518" i="19" s="1"/>
  <c r="X595" i="19" s="1"/>
  <c r="N126" i="40"/>
  <c r="X828" i="19" s="1"/>
  <c r="X905" i="19" s="1"/>
  <c r="I128" i="40"/>
  <c r="X56" i="19" s="1"/>
  <c r="X133" i="19" s="1"/>
  <c r="K132" i="40"/>
  <c r="X370" i="19" s="1"/>
  <c r="X447" i="19" s="1"/>
  <c r="M132" i="40"/>
  <c r="X680" i="19" s="1"/>
  <c r="X757" i="19" s="1"/>
  <c r="J138" i="40"/>
  <c r="X222" i="19" s="1"/>
  <c r="X299" i="19" s="1"/>
  <c r="L138" i="40"/>
  <c r="X532" i="19" s="1"/>
  <c r="X609" i="19" s="1"/>
  <c r="N138" i="40"/>
  <c r="X842" i="19" s="1"/>
  <c r="X919" i="19" s="1"/>
  <c r="I140" i="40"/>
  <c r="X70" i="19" s="1"/>
  <c r="X147" i="19" s="1"/>
  <c r="K144" i="40"/>
  <c r="X384" i="19" s="1"/>
  <c r="X461" i="19" s="1"/>
  <c r="M144" i="40"/>
  <c r="X694" i="19" s="1"/>
  <c r="X771" i="19" s="1"/>
  <c r="J150" i="40"/>
  <c r="X236" i="19" s="1"/>
  <c r="X313" i="19" s="1"/>
  <c r="L150" i="40"/>
  <c r="X546" i="19" s="1"/>
  <c r="X623" i="19" s="1"/>
  <c r="N150" i="40"/>
  <c r="X856" i="19" s="1"/>
  <c r="X933" i="19" s="1"/>
  <c r="I25" i="41"/>
  <c r="I31" i="41"/>
  <c r="I37" i="41"/>
  <c r="I43" i="41"/>
  <c r="I49" i="41"/>
  <c r="I55" i="41"/>
  <c r="I61" i="41"/>
  <c r="I67" i="41"/>
  <c r="I73" i="41"/>
  <c r="I79" i="41"/>
  <c r="H81" i="41"/>
  <c r="J81" i="41"/>
  <c r="L81" i="41"/>
  <c r="N81" i="41"/>
  <c r="K102" i="41"/>
  <c r="Y335" i="19" s="1"/>
  <c r="Y412" i="19" s="1"/>
  <c r="M102" i="41"/>
  <c r="Y645" i="19" s="1"/>
  <c r="Y722" i="19" s="1"/>
  <c r="J108" i="41"/>
  <c r="Y187" i="19" s="1"/>
  <c r="Y264" i="19" s="1"/>
  <c r="L108" i="41"/>
  <c r="Y497" i="19" s="1"/>
  <c r="Y574" i="19" s="1"/>
  <c r="N108" i="41"/>
  <c r="Y807" i="19" s="1"/>
  <c r="Y884" i="19" s="1"/>
  <c r="K114" i="41"/>
  <c r="Y349" i="19" s="1"/>
  <c r="Y426" i="19" s="1"/>
  <c r="M114" i="41"/>
  <c r="Y659" i="19" s="1"/>
  <c r="Y736" i="19" s="1"/>
  <c r="J120" i="41"/>
  <c r="Y201" i="19" s="1"/>
  <c r="Y278" i="19" s="1"/>
  <c r="L120" i="41"/>
  <c r="Y511" i="19" s="1"/>
  <c r="Y588" i="19" s="1"/>
  <c r="N120" i="41"/>
  <c r="Y821" i="19" s="1"/>
  <c r="Y898" i="19" s="1"/>
  <c r="K126" i="41"/>
  <c r="Y363" i="19" s="1"/>
  <c r="Y440" i="19" s="1"/>
  <c r="M126" i="41"/>
  <c r="Y673" i="19" s="1"/>
  <c r="Y750" i="19" s="1"/>
  <c r="J132" i="41"/>
  <c r="Y215" i="19" s="1"/>
  <c r="Y292" i="19" s="1"/>
  <c r="L132" i="41"/>
  <c r="Y525" i="19" s="1"/>
  <c r="Y602" i="19" s="1"/>
  <c r="N132" i="41"/>
  <c r="Y835" i="19" s="1"/>
  <c r="Y912" i="19" s="1"/>
  <c r="K138" i="41"/>
  <c r="Y377" i="19" s="1"/>
  <c r="Y454" i="19" s="1"/>
  <c r="M138" i="41"/>
  <c r="Y687" i="19" s="1"/>
  <c r="Y764" i="19" s="1"/>
  <c r="J144" i="41"/>
  <c r="Y229" i="19" s="1"/>
  <c r="Y306" i="19" s="1"/>
  <c r="L144" i="41"/>
  <c r="Y539" i="19" s="1"/>
  <c r="Y616" i="19" s="1"/>
  <c r="N144" i="41"/>
  <c r="Y849" i="19" s="1"/>
  <c r="Y926" i="19" s="1"/>
  <c r="K150" i="41"/>
  <c r="Y391" i="19" s="1"/>
  <c r="Y468" i="19" s="1"/>
  <c r="M150" i="41"/>
  <c r="Y701" i="19" s="1"/>
  <c r="Y778" i="19" s="1"/>
  <c r="M152" i="41"/>
  <c r="I25" i="42"/>
  <c r="K96" i="42"/>
  <c r="Z328" i="19" s="1"/>
  <c r="K81" i="42"/>
  <c r="M96" i="42"/>
  <c r="Z638" i="19" s="1"/>
  <c r="M81" i="42"/>
  <c r="I37" i="42"/>
  <c r="I43" i="42"/>
  <c r="I49" i="42"/>
  <c r="I61" i="42"/>
  <c r="I67" i="42"/>
  <c r="I73" i="42"/>
  <c r="Z560" i="19"/>
  <c r="K102" i="42"/>
  <c r="Z335" i="19" s="1"/>
  <c r="Z412" i="19" s="1"/>
  <c r="J108" i="42"/>
  <c r="Z187" i="19" s="1"/>
  <c r="Z264" i="19" s="1"/>
  <c r="N108" i="42"/>
  <c r="Z807" i="19" s="1"/>
  <c r="Z884" i="19" s="1"/>
  <c r="M114" i="42"/>
  <c r="Z659" i="19" s="1"/>
  <c r="Z736" i="19" s="1"/>
  <c r="L120" i="42"/>
  <c r="Z511" i="19" s="1"/>
  <c r="Z588" i="19" s="1"/>
  <c r="K126" i="42"/>
  <c r="Z363" i="19" s="1"/>
  <c r="Z440" i="19" s="1"/>
  <c r="J132" i="42"/>
  <c r="Z215" i="19" s="1"/>
  <c r="Z292" i="19" s="1"/>
  <c r="N132" i="42"/>
  <c r="Z835" i="19" s="1"/>
  <c r="Z912" i="19" s="1"/>
  <c r="M138" i="42"/>
  <c r="Z687" i="19" s="1"/>
  <c r="Z764" i="19" s="1"/>
  <c r="L144" i="42"/>
  <c r="Z539" i="19" s="1"/>
  <c r="Z616" i="19" s="1"/>
  <c r="K150" i="42"/>
  <c r="Z391" i="19" s="1"/>
  <c r="Z468" i="19" s="1"/>
  <c r="L152" i="42"/>
  <c r="H152" i="43"/>
  <c r="H81" i="43"/>
  <c r="I91" i="43"/>
  <c r="AA13" i="19" s="1"/>
  <c r="AA90" i="19" s="1"/>
  <c r="AA715" i="19"/>
  <c r="L102" i="43"/>
  <c r="AA490" i="19" s="1"/>
  <c r="AA567" i="19" s="1"/>
  <c r="K108" i="43"/>
  <c r="AA342" i="19" s="1"/>
  <c r="AA419" i="19" s="1"/>
  <c r="J114" i="43"/>
  <c r="AA194" i="19" s="1"/>
  <c r="AA271" i="19" s="1"/>
  <c r="N114" i="43"/>
  <c r="AA814" i="19" s="1"/>
  <c r="AA891" i="19" s="1"/>
  <c r="I115" i="43"/>
  <c r="AA41" i="19" s="1"/>
  <c r="AA118" i="19" s="1"/>
  <c r="M120" i="43"/>
  <c r="AA666" i="19" s="1"/>
  <c r="AA743" i="19" s="1"/>
  <c r="L126" i="43"/>
  <c r="AA518" i="19" s="1"/>
  <c r="AA595" i="19" s="1"/>
  <c r="K132" i="43"/>
  <c r="AA370" i="19" s="1"/>
  <c r="AA447" i="19" s="1"/>
  <c r="J138" i="43"/>
  <c r="AA222" i="19" s="1"/>
  <c r="AA299" i="19" s="1"/>
  <c r="N138" i="43"/>
  <c r="AA842" i="19" s="1"/>
  <c r="AA919" i="19" s="1"/>
  <c r="I139" i="43"/>
  <c r="AA69" i="19" s="1"/>
  <c r="AA146" i="19" s="1"/>
  <c r="M144" i="43"/>
  <c r="AA694" i="19" s="1"/>
  <c r="AA771" i="19" s="1"/>
  <c r="L150" i="43"/>
  <c r="AA546" i="19" s="1"/>
  <c r="AA623" i="19" s="1"/>
  <c r="M152" i="43"/>
  <c r="J96" i="44"/>
  <c r="AB173" i="19" s="1"/>
  <c r="J81" i="44"/>
  <c r="L96" i="44"/>
  <c r="AB483" i="19" s="1"/>
  <c r="L81" i="44"/>
  <c r="N96" i="44"/>
  <c r="AB793" i="19" s="1"/>
  <c r="N81" i="44"/>
  <c r="I97" i="44"/>
  <c r="AB20" i="19" s="1"/>
  <c r="AB97" i="19" s="1"/>
  <c r="I31" i="44"/>
  <c r="I109" i="44"/>
  <c r="AB34" i="19" s="1"/>
  <c r="AB111" i="19" s="1"/>
  <c r="I43" i="44"/>
  <c r="I121" i="44"/>
  <c r="AB48" i="19" s="1"/>
  <c r="AB125" i="19" s="1"/>
  <c r="I55" i="44"/>
  <c r="I133" i="44"/>
  <c r="AB62" i="19" s="1"/>
  <c r="AB139" i="19" s="1"/>
  <c r="I67" i="44"/>
  <c r="I145" i="44"/>
  <c r="AB76" i="19" s="1"/>
  <c r="AB153" i="19" s="1"/>
  <c r="I79" i="44"/>
  <c r="J102" i="44"/>
  <c r="AB180" i="19" s="1"/>
  <c r="AB257" i="19" s="1"/>
  <c r="N102" i="44"/>
  <c r="AB800" i="19" s="1"/>
  <c r="AB877" i="19" s="1"/>
  <c r="I103" i="44"/>
  <c r="AB27" i="19" s="1"/>
  <c r="AB104" i="19" s="1"/>
  <c r="M108" i="44"/>
  <c r="AB652" i="19" s="1"/>
  <c r="AB729" i="19" s="1"/>
  <c r="L114" i="44"/>
  <c r="AB504" i="19" s="1"/>
  <c r="AB581" i="19" s="1"/>
  <c r="K120" i="44"/>
  <c r="AB356" i="19" s="1"/>
  <c r="AB433" i="19" s="1"/>
  <c r="J126" i="44"/>
  <c r="AB208" i="19" s="1"/>
  <c r="AB285" i="19" s="1"/>
  <c r="N126" i="44"/>
  <c r="AB828" i="19" s="1"/>
  <c r="AB905" i="19" s="1"/>
  <c r="I127" i="44"/>
  <c r="AB55" i="19" s="1"/>
  <c r="AB132" i="19" s="1"/>
  <c r="M132" i="44"/>
  <c r="AB680" i="19" s="1"/>
  <c r="AB757" i="19" s="1"/>
  <c r="L138" i="44"/>
  <c r="AB532" i="19" s="1"/>
  <c r="AB609" i="19" s="1"/>
  <c r="K144" i="44"/>
  <c r="AB384" i="19" s="1"/>
  <c r="AB461" i="19" s="1"/>
  <c r="J150" i="44"/>
  <c r="AB236" i="19" s="1"/>
  <c r="AB313" i="19" s="1"/>
  <c r="N150" i="44"/>
  <c r="AB856" i="19" s="1"/>
  <c r="AB933" i="19" s="1"/>
  <c r="K152" i="44"/>
  <c r="J96" i="45"/>
  <c r="AC173" i="19" s="1"/>
  <c r="J81" i="45"/>
  <c r="L96" i="45"/>
  <c r="AC483" i="19" s="1"/>
  <c r="L81" i="45"/>
  <c r="N96" i="45"/>
  <c r="AC793" i="19" s="1"/>
  <c r="N81" i="45"/>
  <c r="I97" i="45"/>
  <c r="AC20" i="19" s="1"/>
  <c r="AC97" i="19" s="1"/>
  <c r="I31" i="45"/>
  <c r="I109" i="45"/>
  <c r="AC34" i="19" s="1"/>
  <c r="AC111" i="19" s="1"/>
  <c r="I43" i="45"/>
  <c r="I121" i="45"/>
  <c r="AC48" i="19" s="1"/>
  <c r="AC125" i="19" s="1"/>
  <c r="I55" i="45"/>
  <c r="I81" i="45" s="1"/>
  <c r="I152" i="45" s="1"/>
  <c r="I133" i="45"/>
  <c r="AC62" i="19" s="1"/>
  <c r="AC139" i="19" s="1"/>
  <c r="I67" i="45"/>
  <c r="I145" i="45"/>
  <c r="AC76" i="19" s="1"/>
  <c r="AC153" i="19" s="1"/>
  <c r="I79" i="45"/>
  <c r="J102" i="45"/>
  <c r="AC180" i="19" s="1"/>
  <c r="AC257" i="19" s="1"/>
  <c r="N102" i="45"/>
  <c r="AC800" i="19" s="1"/>
  <c r="AC877" i="19" s="1"/>
  <c r="I103" i="45"/>
  <c r="AC27" i="19" s="1"/>
  <c r="AC104" i="19" s="1"/>
  <c r="M108" i="45"/>
  <c r="AC652" i="19" s="1"/>
  <c r="AC729" i="19" s="1"/>
  <c r="L114" i="45"/>
  <c r="AC504" i="19" s="1"/>
  <c r="AC581" i="19" s="1"/>
  <c r="K120" i="45"/>
  <c r="AC356" i="19" s="1"/>
  <c r="AC433" i="19" s="1"/>
  <c r="J126" i="45"/>
  <c r="AC208" i="19" s="1"/>
  <c r="AC285" i="19" s="1"/>
  <c r="N126" i="45"/>
  <c r="AC828" i="19" s="1"/>
  <c r="AC905" i="19" s="1"/>
  <c r="I127" i="45"/>
  <c r="AC55" i="19" s="1"/>
  <c r="AC132" i="19" s="1"/>
  <c r="M132" i="45"/>
  <c r="AC680" i="19" s="1"/>
  <c r="AC757" i="19" s="1"/>
  <c r="L138" i="45"/>
  <c r="AC532" i="19" s="1"/>
  <c r="AC609" i="19" s="1"/>
  <c r="K144" i="45"/>
  <c r="AC384" i="19" s="1"/>
  <c r="AC461" i="19" s="1"/>
  <c r="J150" i="45"/>
  <c r="AC236" i="19" s="1"/>
  <c r="AC313" i="19" s="1"/>
  <c r="N150" i="45"/>
  <c r="AC856" i="19" s="1"/>
  <c r="AC933" i="19" s="1"/>
  <c r="K152" i="45"/>
  <c r="AD870" i="19"/>
  <c r="I98" i="46"/>
  <c r="AD21" i="19" s="1"/>
  <c r="AD98" i="19" s="1"/>
  <c r="M102" i="46"/>
  <c r="AD645" i="19" s="1"/>
  <c r="AD722" i="19" s="1"/>
  <c r="L108" i="46"/>
  <c r="AD497" i="19" s="1"/>
  <c r="AD574" i="19" s="1"/>
  <c r="K114" i="46"/>
  <c r="AD349" i="19" s="1"/>
  <c r="AD426" i="19" s="1"/>
  <c r="J120" i="46"/>
  <c r="AD201" i="19" s="1"/>
  <c r="AD278" i="19" s="1"/>
  <c r="N120" i="46"/>
  <c r="AD821" i="19" s="1"/>
  <c r="AD898" i="19" s="1"/>
  <c r="I122" i="46"/>
  <c r="AD49" i="19" s="1"/>
  <c r="AD126" i="19" s="1"/>
  <c r="M126" i="46"/>
  <c r="AD673" i="19" s="1"/>
  <c r="AD750" i="19" s="1"/>
  <c r="L132" i="46"/>
  <c r="AD525" i="19" s="1"/>
  <c r="AD602" i="19" s="1"/>
  <c r="K138" i="46"/>
  <c r="AD377" i="19" s="1"/>
  <c r="AD454" i="19" s="1"/>
  <c r="J144" i="46"/>
  <c r="AD229" i="19" s="1"/>
  <c r="AD306" i="19" s="1"/>
  <c r="N144" i="46"/>
  <c r="AD849" i="19" s="1"/>
  <c r="AD926" i="19" s="1"/>
  <c r="I146" i="46"/>
  <c r="AD77" i="19" s="1"/>
  <c r="AD154" i="19" s="1"/>
  <c r="M150" i="46"/>
  <c r="AD701" i="19" s="1"/>
  <c r="AD778" i="19" s="1"/>
  <c r="J152" i="46"/>
  <c r="N152" i="46"/>
  <c r="J82" i="63"/>
  <c r="J90" i="63" s="1"/>
  <c r="M21" i="15"/>
  <c r="M36" i="15" s="1"/>
  <c r="L83" i="15"/>
  <c r="L91" i="15" s="1"/>
  <c r="J65" i="15"/>
  <c r="N65" i="15"/>
  <c r="K173" i="15"/>
  <c r="I175" i="15"/>
  <c r="I108" i="15" s="1"/>
  <c r="J108" i="15"/>
  <c r="I177" i="15"/>
  <c r="I110" i="15" s="1"/>
  <c r="J110" i="15"/>
  <c r="N179" i="15"/>
  <c r="N112" i="15" s="1"/>
  <c r="N51" i="15" s="1"/>
  <c r="N66" i="15" s="1"/>
  <c r="I185" i="15"/>
  <c r="I118" i="15" s="1"/>
  <c r="I52" i="15" s="1"/>
  <c r="M185" i="15"/>
  <c r="M118" i="15" s="1"/>
  <c r="M52" i="15" s="1"/>
  <c r="M67" i="15" s="1"/>
  <c r="I186" i="15"/>
  <c r="J119" i="15"/>
  <c r="I188" i="15"/>
  <c r="I121" i="15" s="1"/>
  <c r="J121" i="15"/>
  <c r="I190" i="15"/>
  <c r="I123" i="15" s="1"/>
  <c r="J123" i="15"/>
  <c r="L191" i="15"/>
  <c r="L124" i="15" s="1"/>
  <c r="L53" i="15" s="1"/>
  <c r="L68" i="15" s="1"/>
  <c r="K197" i="15"/>
  <c r="K130" i="15" s="1"/>
  <c r="K54" i="15" s="1"/>
  <c r="K69" i="15" s="1"/>
  <c r="I199" i="15"/>
  <c r="I132" i="15" s="1"/>
  <c r="J132" i="15"/>
  <c r="I201" i="15"/>
  <c r="I134" i="15" s="1"/>
  <c r="J134" i="15"/>
  <c r="N203" i="15"/>
  <c r="N136" i="15" s="1"/>
  <c r="N55" i="15" s="1"/>
  <c r="N70" i="15" s="1"/>
  <c r="I209" i="15"/>
  <c r="I142" i="15" s="1"/>
  <c r="I56" i="15" s="1"/>
  <c r="M209" i="15"/>
  <c r="M142" i="15" s="1"/>
  <c r="M56" i="15" s="1"/>
  <c r="M71" i="15" s="1"/>
  <c r="I210" i="15"/>
  <c r="J143" i="15"/>
  <c r="I212" i="15"/>
  <c r="I145" i="15" s="1"/>
  <c r="J145" i="15"/>
  <c r="I214" i="15"/>
  <c r="I147" i="15" s="1"/>
  <c r="J147" i="15"/>
  <c r="L215" i="15"/>
  <c r="L148" i="15" s="1"/>
  <c r="L57" i="15" s="1"/>
  <c r="L72" i="15" s="1"/>
  <c r="K221" i="15"/>
  <c r="K154" i="15" s="1"/>
  <c r="K58" i="15" s="1"/>
  <c r="K73" i="15" s="1"/>
  <c r="I223" i="15"/>
  <c r="I156" i="15" s="1"/>
  <c r="J156" i="15"/>
  <c r="I225" i="15"/>
  <c r="I158" i="15" s="1"/>
  <c r="J158" i="15"/>
  <c r="N227" i="15"/>
  <c r="N160" i="15" s="1"/>
  <c r="N59" i="15" s="1"/>
  <c r="N74" i="15" s="1"/>
  <c r="M78" i="16"/>
  <c r="M144" i="16" s="1"/>
  <c r="K79" i="16"/>
  <c r="K145" i="16" s="1"/>
  <c r="J83" i="16"/>
  <c r="J149" i="16" s="1"/>
  <c r="N83" i="16"/>
  <c r="N149" i="16" s="1"/>
  <c r="L84" i="16"/>
  <c r="L150" i="16" s="1"/>
  <c r="J85" i="16"/>
  <c r="J151" i="16" s="1"/>
  <c r="N85" i="16"/>
  <c r="N151" i="16" s="1"/>
  <c r="M90" i="16"/>
  <c r="M156" i="16" s="1"/>
  <c r="K91" i="16"/>
  <c r="K157" i="16" s="1"/>
  <c r="L96" i="16"/>
  <c r="L162" i="16" s="1"/>
  <c r="J97" i="16"/>
  <c r="J163" i="16" s="1"/>
  <c r="N97" i="16"/>
  <c r="N163" i="16" s="1"/>
  <c r="K99" i="16"/>
  <c r="K165" i="16" s="1"/>
  <c r="M100" i="16"/>
  <c r="M166" i="16" s="1"/>
  <c r="K101" i="16"/>
  <c r="K167" i="16" s="1"/>
  <c r="M102" i="16"/>
  <c r="M168" i="16" s="1"/>
  <c r="K103" i="16"/>
  <c r="K169" i="16" s="1"/>
  <c r="J105" i="16"/>
  <c r="J171" i="16" s="1"/>
  <c r="N105" i="16"/>
  <c r="N171" i="16" s="1"/>
  <c r="L106" i="16"/>
  <c r="L172" i="16" s="1"/>
  <c r="J107" i="16"/>
  <c r="J173" i="16" s="1"/>
  <c r="N107" i="16"/>
  <c r="N173" i="16" s="1"/>
  <c r="L108" i="16"/>
  <c r="L174" i="16" s="1"/>
  <c r="J109" i="16"/>
  <c r="J175" i="16" s="1"/>
  <c r="N109" i="16"/>
  <c r="N175" i="16" s="1"/>
  <c r="K111" i="16"/>
  <c r="K177" i="16" s="1"/>
  <c r="M112" i="16"/>
  <c r="M178" i="16" s="1"/>
  <c r="K113" i="16"/>
  <c r="K179" i="16" s="1"/>
  <c r="M114" i="16"/>
  <c r="M180" i="16" s="1"/>
  <c r="K115" i="16"/>
  <c r="K181" i="16" s="1"/>
  <c r="J117" i="16"/>
  <c r="J183" i="16" s="1"/>
  <c r="N117" i="16"/>
  <c r="N183" i="16" s="1"/>
  <c r="L118" i="16"/>
  <c r="L184" i="16" s="1"/>
  <c r="J119" i="16"/>
  <c r="J185" i="16" s="1"/>
  <c r="N119" i="16"/>
  <c r="N185" i="16" s="1"/>
  <c r="L120" i="16"/>
  <c r="L186" i="16" s="1"/>
  <c r="J121" i="16"/>
  <c r="J187" i="16" s="1"/>
  <c r="N121" i="16"/>
  <c r="N187" i="16" s="1"/>
  <c r="K123" i="16"/>
  <c r="K189" i="16" s="1"/>
  <c r="M124" i="16"/>
  <c r="M190" i="16" s="1"/>
  <c r="K125" i="16"/>
  <c r="K191" i="16" s="1"/>
  <c r="M126" i="16"/>
  <c r="M192" i="16" s="1"/>
  <c r="K127" i="16"/>
  <c r="K193" i="16" s="1"/>
  <c r="K249" i="19"/>
  <c r="J172" i="19"/>
  <c r="W175" i="19"/>
  <c r="W252" i="19" s="1"/>
  <c r="K256" i="19"/>
  <c r="J179" i="19"/>
  <c r="AD183" i="19"/>
  <c r="AD260" i="19" s="1"/>
  <c r="H262" i="19"/>
  <c r="F814" i="19"/>
  <c r="F659" i="19"/>
  <c r="F504" i="19"/>
  <c r="F349" i="19"/>
  <c r="Y189" i="19"/>
  <c r="Y266" i="19" s="1"/>
  <c r="AB190" i="19"/>
  <c r="AB267" i="19" s="1"/>
  <c r="H269" i="19"/>
  <c r="F194" i="19"/>
  <c r="F821" i="19"/>
  <c r="F666" i="19"/>
  <c r="F511" i="19"/>
  <c r="F356" i="19"/>
  <c r="H276" i="19"/>
  <c r="F201" i="19"/>
  <c r="F828" i="19"/>
  <c r="F518" i="19"/>
  <c r="W203" i="19"/>
  <c r="W280" i="19" s="1"/>
  <c r="H281" i="19"/>
  <c r="H283" i="19"/>
  <c r="F208" i="19"/>
  <c r="F835" i="19"/>
  <c r="F680" i="19"/>
  <c r="F525" i="19"/>
  <c r="F370" i="19"/>
  <c r="H288" i="19"/>
  <c r="AD211" i="19"/>
  <c r="AD288" i="19" s="1"/>
  <c r="H290" i="19"/>
  <c r="F215" i="19"/>
  <c r="F842" i="19"/>
  <c r="F532" i="19"/>
  <c r="F687" i="19"/>
  <c r="W217" i="19"/>
  <c r="W294" i="19" s="1"/>
  <c r="H295" i="19"/>
  <c r="H297" i="19"/>
  <c r="F222" i="19"/>
  <c r="F849" i="19"/>
  <c r="F694" i="19"/>
  <c r="F539" i="19"/>
  <c r="F384" i="19"/>
  <c r="H302" i="19"/>
  <c r="Z225" i="19"/>
  <c r="Z302" i="19" s="1"/>
  <c r="H304" i="19"/>
  <c r="F229" i="19"/>
  <c r="F856" i="19"/>
  <c r="F546" i="19"/>
  <c r="F701" i="19"/>
  <c r="W231" i="19"/>
  <c r="W308" i="19" s="1"/>
  <c r="H309" i="19"/>
  <c r="F236" i="19"/>
  <c r="F934" i="19"/>
  <c r="F779" i="19"/>
  <c r="F469" i="19"/>
  <c r="F624" i="19"/>
  <c r="F314" i="19"/>
  <c r="U288" i="19"/>
  <c r="U302" i="19"/>
  <c r="K411" i="19"/>
  <c r="J334" i="19"/>
  <c r="H436" i="19"/>
  <c r="I359" i="19"/>
  <c r="H438" i="19"/>
  <c r="I361" i="19"/>
  <c r="F363" i="19"/>
  <c r="H464" i="19"/>
  <c r="I387" i="19"/>
  <c r="H466" i="19"/>
  <c r="I389" i="19"/>
  <c r="F391" i="19"/>
  <c r="AB405" i="19"/>
  <c r="U438" i="19"/>
  <c r="U452" i="19"/>
  <c r="U466" i="19"/>
  <c r="J494" i="19"/>
  <c r="J571" i="19" s="1"/>
  <c r="J496" i="19"/>
  <c r="J573" i="19" s="1"/>
  <c r="H580" i="19"/>
  <c r="AD506" i="19"/>
  <c r="AD583" i="19" s="1"/>
  <c r="J510" i="19"/>
  <c r="J587" i="19" s="1"/>
  <c r="K598" i="19"/>
  <c r="J521" i="19"/>
  <c r="K600" i="19"/>
  <c r="J523" i="19"/>
  <c r="J534" i="19"/>
  <c r="J536" i="19"/>
  <c r="J613" i="19" s="1"/>
  <c r="J538" i="19"/>
  <c r="J615" i="19" s="1"/>
  <c r="AA675" i="19"/>
  <c r="AA752" i="19" s="1"/>
  <c r="V802" i="19"/>
  <c r="V879" i="19" s="1"/>
  <c r="I43" i="37"/>
  <c r="I55" i="37"/>
  <c r="I67" i="37"/>
  <c r="I79" i="37"/>
  <c r="V560" i="19"/>
  <c r="V870" i="19"/>
  <c r="K102" i="37"/>
  <c r="V335" i="19" s="1"/>
  <c r="V412" i="19" s="1"/>
  <c r="M102" i="37"/>
  <c r="V645" i="19" s="1"/>
  <c r="V722" i="19" s="1"/>
  <c r="J108" i="37"/>
  <c r="V187" i="19" s="1"/>
  <c r="V264" i="19" s="1"/>
  <c r="L108" i="37"/>
  <c r="V497" i="19" s="1"/>
  <c r="V574" i="19" s="1"/>
  <c r="K114" i="37"/>
  <c r="V349" i="19" s="1"/>
  <c r="V426" i="19" s="1"/>
  <c r="M114" i="37"/>
  <c r="V659" i="19" s="1"/>
  <c r="V736" i="19" s="1"/>
  <c r="J120" i="37"/>
  <c r="V201" i="19" s="1"/>
  <c r="V278" i="19" s="1"/>
  <c r="L120" i="37"/>
  <c r="V511" i="19" s="1"/>
  <c r="V588" i="19" s="1"/>
  <c r="N120" i="37"/>
  <c r="V821" i="19" s="1"/>
  <c r="V898" i="19" s="1"/>
  <c r="K126" i="37"/>
  <c r="V363" i="19" s="1"/>
  <c r="V440" i="19" s="1"/>
  <c r="M126" i="37"/>
  <c r="V673" i="19" s="1"/>
  <c r="V750" i="19" s="1"/>
  <c r="J132" i="37"/>
  <c r="V215" i="19" s="1"/>
  <c r="V292" i="19" s="1"/>
  <c r="L132" i="37"/>
  <c r="V525" i="19" s="1"/>
  <c r="V602" i="19" s="1"/>
  <c r="N132" i="37"/>
  <c r="V835" i="19" s="1"/>
  <c r="V912" i="19" s="1"/>
  <c r="K138" i="37"/>
  <c r="V377" i="19" s="1"/>
  <c r="V454" i="19" s="1"/>
  <c r="M138" i="37"/>
  <c r="V687" i="19" s="1"/>
  <c r="V764" i="19" s="1"/>
  <c r="J144" i="37"/>
  <c r="V229" i="19" s="1"/>
  <c r="V306" i="19" s="1"/>
  <c r="L144" i="37"/>
  <c r="V539" i="19" s="1"/>
  <c r="V616" i="19" s="1"/>
  <c r="N144" i="37"/>
  <c r="V849" i="19" s="1"/>
  <c r="V926" i="19" s="1"/>
  <c r="K150" i="37"/>
  <c r="V391" i="19" s="1"/>
  <c r="V468" i="19" s="1"/>
  <c r="M150" i="37"/>
  <c r="V701" i="19" s="1"/>
  <c r="V778" i="19" s="1"/>
  <c r="J152" i="37"/>
  <c r="L152" i="37"/>
  <c r="N152" i="37"/>
  <c r="W715" i="19"/>
  <c r="L102" i="38"/>
  <c r="W490" i="19" s="1"/>
  <c r="W567" i="19" s="1"/>
  <c r="N102" i="38"/>
  <c r="W800" i="19" s="1"/>
  <c r="W877" i="19" s="1"/>
  <c r="K108" i="38"/>
  <c r="W342" i="19" s="1"/>
  <c r="W419" i="19" s="1"/>
  <c r="M108" i="38"/>
  <c r="W652" i="19" s="1"/>
  <c r="W729" i="19" s="1"/>
  <c r="J114" i="38"/>
  <c r="W194" i="19" s="1"/>
  <c r="W271" i="19" s="1"/>
  <c r="L114" i="38"/>
  <c r="W504" i="19" s="1"/>
  <c r="W581" i="19" s="1"/>
  <c r="N114" i="38"/>
  <c r="W814" i="19" s="1"/>
  <c r="W891" i="19" s="1"/>
  <c r="K120" i="38"/>
  <c r="W356" i="19" s="1"/>
  <c r="W433" i="19" s="1"/>
  <c r="M120" i="38"/>
  <c r="W666" i="19" s="1"/>
  <c r="W743" i="19" s="1"/>
  <c r="L126" i="38"/>
  <c r="W518" i="19" s="1"/>
  <c r="W595" i="19" s="1"/>
  <c r="N126" i="38"/>
  <c r="W828" i="19" s="1"/>
  <c r="W905" i="19" s="1"/>
  <c r="K132" i="38"/>
  <c r="W370" i="19" s="1"/>
  <c r="W447" i="19" s="1"/>
  <c r="M132" i="38"/>
  <c r="W680" i="19" s="1"/>
  <c r="W757" i="19" s="1"/>
  <c r="L138" i="38"/>
  <c r="W532" i="19" s="1"/>
  <c r="W609" i="19" s="1"/>
  <c r="N138" i="38"/>
  <c r="W842" i="19" s="1"/>
  <c r="W919" i="19" s="1"/>
  <c r="K144" i="38"/>
  <c r="W384" i="19" s="1"/>
  <c r="W461" i="19" s="1"/>
  <c r="M144" i="38"/>
  <c r="W694" i="19" s="1"/>
  <c r="W771" i="19" s="1"/>
  <c r="L150" i="38"/>
  <c r="W546" i="19" s="1"/>
  <c r="W623" i="19" s="1"/>
  <c r="N150" i="38"/>
  <c r="W856" i="19" s="1"/>
  <c r="W933" i="19" s="1"/>
  <c r="K152" i="38"/>
  <c r="I31" i="40"/>
  <c r="I43" i="40"/>
  <c r="I55" i="40"/>
  <c r="I67" i="40"/>
  <c r="I79" i="40"/>
  <c r="X870" i="19"/>
  <c r="K102" i="40"/>
  <c r="X335" i="19" s="1"/>
  <c r="X412" i="19" s="1"/>
  <c r="M102" i="40"/>
  <c r="X645" i="19" s="1"/>
  <c r="X722" i="19" s="1"/>
  <c r="J108" i="40"/>
  <c r="X187" i="19" s="1"/>
  <c r="X264" i="19" s="1"/>
  <c r="L108" i="40"/>
  <c r="X497" i="19" s="1"/>
  <c r="X574" i="19" s="1"/>
  <c r="N108" i="40"/>
  <c r="X807" i="19" s="1"/>
  <c r="X884" i="19" s="1"/>
  <c r="K114" i="40"/>
  <c r="X349" i="19" s="1"/>
  <c r="X426" i="19" s="1"/>
  <c r="M114" i="40"/>
  <c r="X659" i="19" s="1"/>
  <c r="X736" i="19" s="1"/>
  <c r="J120" i="40"/>
  <c r="X201" i="19" s="1"/>
  <c r="X278" i="19" s="1"/>
  <c r="L120" i="40"/>
  <c r="X511" i="19" s="1"/>
  <c r="X588" i="19" s="1"/>
  <c r="N120" i="40"/>
  <c r="X821" i="19" s="1"/>
  <c r="X898" i="19" s="1"/>
  <c r="K126" i="40"/>
  <c r="X363" i="19" s="1"/>
  <c r="X440" i="19" s="1"/>
  <c r="M126" i="40"/>
  <c r="X673" i="19" s="1"/>
  <c r="X750" i="19" s="1"/>
  <c r="J132" i="40"/>
  <c r="X215" i="19" s="1"/>
  <c r="X292" i="19" s="1"/>
  <c r="L132" i="40"/>
  <c r="X525" i="19" s="1"/>
  <c r="X602" i="19" s="1"/>
  <c r="N132" i="40"/>
  <c r="X835" i="19" s="1"/>
  <c r="X912" i="19" s="1"/>
  <c r="K138" i="40"/>
  <c r="X377" i="19" s="1"/>
  <c r="X454" i="19" s="1"/>
  <c r="M138" i="40"/>
  <c r="X687" i="19" s="1"/>
  <c r="X764" i="19" s="1"/>
  <c r="J144" i="40"/>
  <c r="X229" i="19" s="1"/>
  <c r="X306" i="19" s="1"/>
  <c r="L144" i="40"/>
  <c r="X539" i="19" s="1"/>
  <c r="X616" i="19" s="1"/>
  <c r="N144" i="40"/>
  <c r="X849" i="19" s="1"/>
  <c r="X926" i="19" s="1"/>
  <c r="K150" i="40"/>
  <c r="X391" i="19" s="1"/>
  <c r="X468" i="19" s="1"/>
  <c r="M150" i="40"/>
  <c r="X701" i="19" s="1"/>
  <c r="X778" i="19" s="1"/>
  <c r="J152" i="40"/>
  <c r="L152" i="40"/>
  <c r="N152" i="40"/>
  <c r="Y715" i="19"/>
  <c r="J102" i="41"/>
  <c r="Y180" i="19" s="1"/>
  <c r="Y257" i="19" s="1"/>
  <c r="L102" i="41"/>
  <c r="Y490" i="19" s="1"/>
  <c r="Y567" i="19" s="1"/>
  <c r="N102" i="41"/>
  <c r="Y800" i="19" s="1"/>
  <c r="Y877" i="19" s="1"/>
  <c r="K108" i="41"/>
  <c r="Y342" i="19" s="1"/>
  <c r="Y419" i="19" s="1"/>
  <c r="M108" i="41"/>
  <c r="Y652" i="19" s="1"/>
  <c r="Y729" i="19" s="1"/>
  <c r="L114" i="41"/>
  <c r="Y504" i="19" s="1"/>
  <c r="Y581" i="19" s="1"/>
  <c r="N114" i="41"/>
  <c r="Y814" i="19" s="1"/>
  <c r="Y891" i="19" s="1"/>
  <c r="K120" i="41"/>
  <c r="Y356" i="19" s="1"/>
  <c r="Y433" i="19" s="1"/>
  <c r="M120" i="41"/>
  <c r="Y666" i="19" s="1"/>
  <c r="Y743" i="19" s="1"/>
  <c r="J126" i="41"/>
  <c r="Y208" i="19" s="1"/>
  <c r="Y285" i="19" s="1"/>
  <c r="L126" i="41"/>
  <c r="Y518" i="19" s="1"/>
  <c r="Y595" i="19" s="1"/>
  <c r="N126" i="41"/>
  <c r="Y828" i="19" s="1"/>
  <c r="Y905" i="19" s="1"/>
  <c r="K132" i="41"/>
  <c r="Y370" i="19" s="1"/>
  <c r="Y447" i="19" s="1"/>
  <c r="M132" i="41"/>
  <c r="Y680" i="19" s="1"/>
  <c r="Y757" i="19" s="1"/>
  <c r="J138" i="41"/>
  <c r="Y222" i="19" s="1"/>
  <c r="Y299" i="19" s="1"/>
  <c r="L138" i="41"/>
  <c r="Y532" i="19" s="1"/>
  <c r="Y609" i="19" s="1"/>
  <c r="N138" i="41"/>
  <c r="Y842" i="19" s="1"/>
  <c r="Y919" i="19" s="1"/>
  <c r="K144" i="41"/>
  <c r="Y384" i="19" s="1"/>
  <c r="Y461" i="19" s="1"/>
  <c r="M144" i="41"/>
  <c r="Y694" i="19" s="1"/>
  <c r="Y771" i="19" s="1"/>
  <c r="J150" i="41"/>
  <c r="Y236" i="19" s="1"/>
  <c r="Y313" i="19" s="1"/>
  <c r="L150" i="41"/>
  <c r="Y546" i="19" s="1"/>
  <c r="Y623" i="19" s="1"/>
  <c r="N150" i="41"/>
  <c r="Y856" i="19" s="1"/>
  <c r="Y933" i="19" s="1"/>
  <c r="K152" i="41"/>
  <c r="Z870" i="19"/>
  <c r="M102" i="42"/>
  <c r="Z645" i="19" s="1"/>
  <c r="Z722" i="19" s="1"/>
  <c r="L108" i="42"/>
  <c r="Z497" i="19" s="1"/>
  <c r="Z574" i="19" s="1"/>
  <c r="J120" i="42"/>
  <c r="Z201" i="19" s="1"/>
  <c r="Z278" i="19" s="1"/>
  <c r="N120" i="42"/>
  <c r="Z821" i="19" s="1"/>
  <c r="Z898" i="19" s="1"/>
  <c r="M126" i="42"/>
  <c r="Z673" i="19" s="1"/>
  <c r="Z750" i="19" s="1"/>
  <c r="L132" i="42"/>
  <c r="Z525" i="19" s="1"/>
  <c r="Z602" i="19" s="1"/>
  <c r="N144" i="42"/>
  <c r="Z849" i="19" s="1"/>
  <c r="Z926" i="19" s="1"/>
  <c r="M150" i="42"/>
  <c r="Z701" i="19" s="1"/>
  <c r="Z778" i="19" s="1"/>
  <c r="J152" i="42"/>
  <c r="N152" i="42"/>
  <c r="J96" i="43"/>
  <c r="AA173" i="19" s="1"/>
  <c r="J81" i="43"/>
  <c r="L96" i="43"/>
  <c r="AA483" i="19" s="1"/>
  <c r="L81" i="43"/>
  <c r="N96" i="43"/>
  <c r="AA793" i="19" s="1"/>
  <c r="N81" i="43"/>
  <c r="I97" i="43"/>
  <c r="AA20" i="19" s="1"/>
  <c r="AA97" i="19" s="1"/>
  <c r="I31" i="43"/>
  <c r="I109" i="43"/>
  <c r="AA34" i="19" s="1"/>
  <c r="AA111" i="19" s="1"/>
  <c r="I43" i="43"/>
  <c r="I121" i="43"/>
  <c r="AA48" i="19" s="1"/>
  <c r="AA125" i="19" s="1"/>
  <c r="I55" i="43"/>
  <c r="I133" i="43"/>
  <c r="AA62" i="19" s="1"/>
  <c r="AA139" i="19" s="1"/>
  <c r="I67" i="43"/>
  <c r="I145" i="43"/>
  <c r="AA76" i="19" s="1"/>
  <c r="AA153" i="19" s="1"/>
  <c r="I79" i="43"/>
  <c r="AA405" i="19"/>
  <c r="J102" i="43"/>
  <c r="AA180" i="19" s="1"/>
  <c r="AA257" i="19" s="1"/>
  <c r="N102" i="43"/>
  <c r="AA800" i="19" s="1"/>
  <c r="AA877" i="19" s="1"/>
  <c r="M108" i="43"/>
  <c r="AA652" i="19" s="1"/>
  <c r="AA729" i="19" s="1"/>
  <c r="L114" i="43"/>
  <c r="AA504" i="19" s="1"/>
  <c r="AA581" i="19" s="1"/>
  <c r="J126" i="43"/>
  <c r="AA208" i="19" s="1"/>
  <c r="AA285" i="19" s="1"/>
  <c r="N126" i="43"/>
  <c r="AA828" i="19" s="1"/>
  <c r="AA905" i="19" s="1"/>
  <c r="L138" i="43"/>
  <c r="AA532" i="19" s="1"/>
  <c r="AA609" i="19" s="1"/>
  <c r="J150" i="43"/>
  <c r="AA236" i="19" s="1"/>
  <c r="AA313" i="19" s="1"/>
  <c r="N150" i="43"/>
  <c r="AA856" i="19" s="1"/>
  <c r="AA933" i="19" s="1"/>
  <c r="H152" i="44"/>
  <c r="H81" i="44"/>
  <c r="I91" i="44"/>
  <c r="AB13" i="19" s="1"/>
  <c r="AB90" i="19" s="1"/>
  <c r="AB715" i="19"/>
  <c r="L102" i="44"/>
  <c r="AB490" i="19" s="1"/>
  <c r="AB567" i="19" s="1"/>
  <c r="N161" i="44"/>
  <c r="N168" i="44" s="1"/>
  <c r="N114" i="44"/>
  <c r="AB814" i="19" s="1"/>
  <c r="AB891" i="19" s="1"/>
  <c r="I115" i="44"/>
  <c r="AB41" i="19" s="1"/>
  <c r="AB118" i="19" s="1"/>
  <c r="M120" i="44"/>
  <c r="AB666" i="19" s="1"/>
  <c r="AB743" i="19" s="1"/>
  <c r="L126" i="44"/>
  <c r="AB518" i="19" s="1"/>
  <c r="AB595" i="19" s="1"/>
  <c r="J138" i="44"/>
  <c r="AB222" i="19" s="1"/>
  <c r="AB299" i="19" s="1"/>
  <c r="N138" i="44"/>
  <c r="AB842" i="19" s="1"/>
  <c r="AB919" i="19" s="1"/>
  <c r="I139" i="44"/>
  <c r="AB69" i="19" s="1"/>
  <c r="AB146" i="19" s="1"/>
  <c r="M144" i="44"/>
  <c r="AB694" i="19" s="1"/>
  <c r="AB771" i="19" s="1"/>
  <c r="L150" i="44"/>
  <c r="AB546" i="19" s="1"/>
  <c r="AB623" i="19" s="1"/>
  <c r="H152" i="45"/>
  <c r="H81" i="45"/>
  <c r="I91" i="45"/>
  <c r="AC13" i="19" s="1"/>
  <c r="AC90" i="19" s="1"/>
  <c r="L102" i="45"/>
  <c r="AC490" i="19" s="1"/>
  <c r="AC567" i="19" s="1"/>
  <c r="J114" i="45"/>
  <c r="AC194" i="19" s="1"/>
  <c r="AC271" i="19" s="1"/>
  <c r="N114" i="45"/>
  <c r="AC814" i="19" s="1"/>
  <c r="AC891" i="19" s="1"/>
  <c r="I115" i="45"/>
  <c r="AC41" i="19" s="1"/>
  <c r="AC118" i="19" s="1"/>
  <c r="M120" i="45"/>
  <c r="AC666" i="19" s="1"/>
  <c r="AC743" i="19" s="1"/>
  <c r="L126" i="45"/>
  <c r="AC518" i="19" s="1"/>
  <c r="AC595" i="19" s="1"/>
  <c r="J138" i="45"/>
  <c r="AC222" i="19" s="1"/>
  <c r="AC299" i="19" s="1"/>
  <c r="N138" i="45"/>
  <c r="AC842" i="19" s="1"/>
  <c r="AC919" i="19" s="1"/>
  <c r="I139" i="45"/>
  <c r="AC69" i="19" s="1"/>
  <c r="AC146" i="19" s="1"/>
  <c r="M144" i="45"/>
  <c r="AC694" i="19" s="1"/>
  <c r="AC771" i="19" s="1"/>
  <c r="L150" i="45"/>
  <c r="AC546" i="19" s="1"/>
  <c r="AC623" i="19" s="1"/>
  <c r="I25" i="46"/>
  <c r="K96" i="46"/>
  <c r="AD328" i="19" s="1"/>
  <c r="K81" i="46"/>
  <c r="M96" i="46"/>
  <c r="AD638" i="19" s="1"/>
  <c r="M81" i="46"/>
  <c r="I37" i="46"/>
  <c r="I43" i="46"/>
  <c r="I49" i="46"/>
  <c r="I61" i="46"/>
  <c r="I67" i="46"/>
  <c r="I73" i="46"/>
  <c r="AD560" i="19"/>
  <c r="N108" i="46"/>
  <c r="AD807" i="19" s="1"/>
  <c r="AD884" i="19" s="1"/>
  <c r="M114" i="46"/>
  <c r="AD659" i="19" s="1"/>
  <c r="AD736" i="19" s="1"/>
  <c r="N132" i="46"/>
  <c r="AD835" i="19" s="1"/>
  <c r="AD912" i="19" s="1"/>
  <c r="M138" i="46"/>
  <c r="AD687" i="19" s="1"/>
  <c r="AD764" i="19" s="1"/>
  <c r="L144" i="46"/>
  <c r="AD539" i="19" s="1"/>
  <c r="AD616" i="19" s="1"/>
  <c r="L152" i="46"/>
  <c r="L65" i="15"/>
  <c r="I173" i="15"/>
  <c r="M173" i="15"/>
  <c r="I174" i="15"/>
  <c r="J107" i="15"/>
  <c r="I176" i="15"/>
  <c r="I109" i="15" s="1"/>
  <c r="J109" i="15"/>
  <c r="I178" i="15"/>
  <c r="I111" i="15" s="1"/>
  <c r="J111" i="15"/>
  <c r="L179" i="15"/>
  <c r="L112" i="15" s="1"/>
  <c r="L51" i="15" s="1"/>
  <c r="L66" i="15" s="1"/>
  <c r="I187" i="15"/>
  <c r="I120" i="15" s="1"/>
  <c r="J120" i="15"/>
  <c r="I189" i="15"/>
  <c r="I122" i="15" s="1"/>
  <c r="J122" i="15"/>
  <c r="J191" i="15"/>
  <c r="J124" i="15" s="1"/>
  <c r="J53" i="15" s="1"/>
  <c r="J68" i="15" s="1"/>
  <c r="N191" i="15"/>
  <c r="N124" i="15" s="1"/>
  <c r="N53" i="15" s="1"/>
  <c r="N68" i="15" s="1"/>
  <c r="I197" i="15"/>
  <c r="I130" i="15" s="1"/>
  <c r="I54" i="15" s="1"/>
  <c r="M197" i="15"/>
  <c r="M130" i="15" s="1"/>
  <c r="M54" i="15" s="1"/>
  <c r="M69" i="15" s="1"/>
  <c r="I198" i="15"/>
  <c r="J131" i="15"/>
  <c r="I200" i="15"/>
  <c r="I133" i="15" s="1"/>
  <c r="J133" i="15"/>
  <c r="I202" i="15"/>
  <c r="I135" i="15" s="1"/>
  <c r="J135" i="15"/>
  <c r="L203" i="15"/>
  <c r="L136" i="15" s="1"/>
  <c r="L55" i="15" s="1"/>
  <c r="L70" i="15" s="1"/>
  <c r="I211" i="15"/>
  <c r="I144" i="15" s="1"/>
  <c r="J144" i="15"/>
  <c r="I213" i="15"/>
  <c r="I146" i="15" s="1"/>
  <c r="J146" i="15"/>
  <c r="J215" i="15"/>
  <c r="J148" i="15" s="1"/>
  <c r="J57" i="15" s="1"/>
  <c r="J72" i="15" s="1"/>
  <c r="N215" i="15"/>
  <c r="N148" i="15" s="1"/>
  <c r="N57" i="15" s="1"/>
  <c r="N72" i="15" s="1"/>
  <c r="I221" i="15"/>
  <c r="I154" i="15" s="1"/>
  <c r="I58" i="15" s="1"/>
  <c r="M221" i="15"/>
  <c r="M154" i="15" s="1"/>
  <c r="M58" i="15" s="1"/>
  <c r="M73" i="15" s="1"/>
  <c r="I222" i="15"/>
  <c r="J155" i="15"/>
  <c r="I224" i="15"/>
  <c r="I157" i="15" s="1"/>
  <c r="J157" i="15"/>
  <c r="I226" i="15"/>
  <c r="I159" i="15" s="1"/>
  <c r="J159" i="15"/>
  <c r="L227" i="15"/>
  <c r="L160" i="15" s="1"/>
  <c r="L59" i="15" s="1"/>
  <c r="L74" i="15" s="1"/>
  <c r="J52" i="16"/>
  <c r="J60" i="16" s="1"/>
  <c r="N51" i="16"/>
  <c r="N59" i="16" s="1"/>
  <c r="M79" i="16"/>
  <c r="M145" i="16" s="1"/>
  <c r="M52" i="16"/>
  <c r="M60" i="16" s="1"/>
  <c r="L83" i="16"/>
  <c r="L149" i="16" s="1"/>
  <c r="J84" i="16"/>
  <c r="J150" i="16" s="1"/>
  <c r="N84" i="16"/>
  <c r="N150" i="16" s="1"/>
  <c r="L85" i="16"/>
  <c r="L151" i="16" s="1"/>
  <c r="K90" i="16"/>
  <c r="K156" i="16" s="1"/>
  <c r="M91" i="16"/>
  <c r="M157" i="16" s="1"/>
  <c r="J96" i="16"/>
  <c r="J162" i="16" s="1"/>
  <c r="N96" i="16"/>
  <c r="N162" i="16" s="1"/>
  <c r="L97" i="16"/>
  <c r="L163" i="16" s="1"/>
  <c r="M99" i="16"/>
  <c r="M165" i="16" s="1"/>
  <c r="K100" i="16"/>
  <c r="K166" i="16" s="1"/>
  <c r="M101" i="16"/>
  <c r="M167" i="16" s="1"/>
  <c r="K102" i="16"/>
  <c r="K168" i="16" s="1"/>
  <c r="M103" i="16"/>
  <c r="M169" i="16" s="1"/>
  <c r="L105" i="16"/>
  <c r="L171" i="16" s="1"/>
  <c r="J106" i="16"/>
  <c r="J172" i="16" s="1"/>
  <c r="N106" i="16"/>
  <c r="N172" i="16" s="1"/>
  <c r="L107" i="16"/>
  <c r="L173" i="16" s="1"/>
  <c r="J108" i="16"/>
  <c r="J174" i="16" s="1"/>
  <c r="N108" i="16"/>
  <c r="N174" i="16" s="1"/>
  <c r="L109" i="16"/>
  <c r="L175" i="16" s="1"/>
  <c r="M111" i="16"/>
  <c r="M177" i="16" s="1"/>
  <c r="K112" i="16"/>
  <c r="K178" i="16" s="1"/>
  <c r="M113" i="16"/>
  <c r="M179" i="16" s="1"/>
  <c r="K114" i="16"/>
  <c r="K180" i="16" s="1"/>
  <c r="M115" i="16"/>
  <c r="M181" i="16" s="1"/>
  <c r="L117" i="16"/>
  <c r="L183" i="16" s="1"/>
  <c r="J118" i="16"/>
  <c r="J184" i="16" s="1"/>
  <c r="N118" i="16"/>
  <c r="N184" i="16" s="1"/>
  <c r="L119" i="16"/>
  <c r="L185" i="16" s="1"/>
  <c r="J120" i="16"/>
  <c r="J186" i="16" s="1"/>
  <c r="N120" i="16"/>
  <c r="N186" i="16" s="1"/>
  <c r="L121" i="16"/>
  <c r="L187" i="16" s="1"/>
  <c r="M123" i="16"/>
  <c r="M189" i="16" s="1"/>
  <c r="K124" i="16"/>
  <c r="K190" i="16" s="1"/>
  <c r="M125" i="16"/>
  <c r="M191" i="16" s="1"/>
  <c r="K126" i="16"/>
  <c r="K192" i="16" s="1"/>
  <c r="M127" i="16"/>
  <c r="M193" i="16" s="1"/>
  <c r="F793" i="19"/>
  <c r="F483" i="19"/>
  <c r="F638" i="19"/>
  <c r="F328" i="19"/>
  <c r="F173" i="19"/>
  <c r="F800" i="19"/>
  <c r="F490" i="19"/>
  <c r="F335" i="19"/>
  <c r="F645" i="19"/>
  <c r="H255" i="19"/>
  <c r="F180" i="19"/>
  <c r="F807" i="19"/>
  <c r="F652" i="19"/>
  <c r="F497" i="19"/>
  <c r="F342" i="19"/>
  <c r="K261" i="19"/>
  <c r="J184" i="19"/>
  <c r="J185" i="19"/>
  <c r="J262" i="19" s="1"/>
  <c r="K263" i="19"/>
  <c r="J186" i="19"/>
  <c r="K270" i="19"/>
  <c r="J193" i="19"/>
  <c r="J199" i="19"/>
  <c r="J276" i="19" s="1"/>
  <c r="K277" i="19"/>
  <c r="J200" i="19"/>
  <c r="K280" i="19"/>
  <c r="J203" i="19"/>
  <c r="K282" i="19"/>
  <c r="J205" i="19"/>
  <c r="K284" i="19"/>
  <c r="J207" i="19"/>
  <c r="K287" i="19"/>
  <c r="J210" i="19"/>
  <c r="K289" i="19"/>
  <c r="J212" i="19"/>
  <c r="J213" i="19"/>
  <c r="J290" i="19" s="1"/>
  <c r="K291" i="19"/>
  <c r="J214" i="19"/>
  <c r="K294" i="19"/>
  <c r="J217" i="19"/>
  <c r="K296" i="19"/>
  <c r="J219" i="19"/>
  <c r="K298" i="19"/>
  <c r="J221" i="19"/>
  <c r="K301" i="19"/>
  <c r="J224" i="19"/>
  <c r="K303" i="19"/>
  <c r="J226" i="19"/>
  <c r="J227" i="19"/>
  <c r="J304" i="19" s="1"/>
  <c r="K305" i="19"/>
  <c r="J228" i="19"/>
  <c r="K308" i="19"/>
  <c r="J231" i="19"/>
  <c r="J233" i="19"/>
  <c r="K312" i="19"/>
  <c r="J235" i="19"/>
  <c r="V250" i="19"/>
  <c r="Z250" i="19"/>
  <c r="AD250" i="19"/>
  <c r="K404" i="19"/>
  <c r="J327" i="19"/>
  <c r="H450" i="19"/>
  <c r="I373" i="19"/>
  <c r="H452" i="19"/>
  <c r="I375" i="19"/>
  <c r="W392" i="19"/>
  <c r="W469" i="19" s="1"/>
  <c r="K572" i="19"/>
  <c r="J495" i="19"/>
  <c r="K586" i="19"/>
  <c r="J509" i="19"/>
  <c r="J520" i="19"/>
  <c r="J522" i="19"/>
  <c r="J599" i="19" s="1"/>
  <c r="J524" i="19"/>
  <c r="J601" i="19" s="1"/>
  <c r="K612" i="19"/>
  <c r="J535" i="19"/>
  <c r="K614" i="19"/>
  <c r="J537" i="19"/>
  <c r="K714" i="19"/>
  <c r="J637" i="19"/>
  <c r="H746" i="19"/>
  <c r="I669" i="19"/>
  <c r="H748" i="19"/>
  <c r="I671" i="19"/>
  <c r="F673" i="19"/>
  <c r="U720" i="19"/>
  <c r="J102" i="42"/>
  <c r="Z180" i="19" s="1"/>
  <c r="Z257" i="19" s="1"/>
  <c r="L102" i="42"/>
  <c r="Z490" i="19" s="1"/>
  <c r="Z567" i="19" s="1"/>
  <c r="N102" i="42"/>
  <c r="Z800" i="19" s="1"/>
  <c r="Z877" i="19" s="1"/>
  <c r="K108" i="42"/>
  <c r="Z342" i="19" s="1"/>
  <c r="Z419" i="19" s="1"/>
  <c r="M108" i="42"/>
  <c r="Z652" i="19" s="1"/>
  <c r="Z729" i="19" s="1"/>
  <c r="J114" i="42"/>
  <c r="Z194" i="19" s="1"/>
  <c r="Z271" i="19" s="1"/>
  <c r="L114" i="42"/>
  <c r="Z504" i="19" s="1"/>
  <c r="Z581" i="19" s="1"/>
  <c r="N114" i="42"/>
  <c r="Z814" i="19" s="1"/>
  <c r="Z891" i="19" s="1"/>
  <c r="K120" i="42"/>
  <c r="Z356" i="19" s="1"/>
  <c r="Z433" i="19" s="1"/>
  <c r="M120" i="42"/>
  <c r="Z666" i="19" s="1"/>
  <c r="Z743" i="19" s="1"/>
  <c r="J126" i="42"/>
  <c r="Z208" i="19" s="1"/>
  <c r="Z285" i="19" s="1"/>
  <c r="L126" i="42"/>
  <c r="Z518" i="19" s="1"/>
  <c r="Z595" i="19" s="1"/>
  <c r="N126" i="42"/>
  <c r="Z828" i="19" s="1"/>
  <c r="Z905" i="19" s="1"/>
  <c r="K132" i="42"/>
  <c r="Z370" i="19" s="1"/>
  <c r="Z447" i="19" s="1"/>
  <c r="M132" i="42"/>
  <c r="Z680" i="19" s="1"/>
  <c r="Z757" i="19" s="1"/>
  <c r="J138" i="42"/>
  <c r="Z222" i="19" s="1"/>
  <c r="Z299" i="19" s="1"/>
  <c r="L138" i="42"/>
  <c r="Z532" i="19" s="1"/>
  <c r="Z609" i="19" s="1"/>
  <c r="N138" i="42"/>
  <c r="Z842" i="19" s="1"/>
  <c r="Z919" i="19" s="1"/>
  <c r="K144" i="42"/>
  <c r="Z384" i="19" s="1"/>
  <c r="Z461" i="19" s="1"/>
  <c r="M144" i="42"/>
  <c r="Z694" i="19" s="1"/>
  <c r="Z771" i="19" s="1"/>
  <c r="J150" i="42"/>
  <c r="Z236" i="19" s="1"/>
  <c r="Z313" i="19" s="1"/>
  <c r="L150" i="42"/>
  <c r="Z546" i="19" s="1"/>
  <c r="Z623" i="19" s="1"/>
  <c r="N150" i="42"/>
  <c r="Z856" i="19" s="1"/>
  <c r="Z933" i="19" s="1"/>
  <c r="N161" i="43"/>
  <c r="N168" i="43" s="1"/>
  <c r="K161" i="43"/>
  <c r="K168" i="43" s="1"/>
  <c r="L108" i="43"/>
  <c r="AA497" i="19" s="1"/>
  <c r="AA574" i="19" s="1"/>
  <c r="N108" i="43"/>
  <c r="AA807" i="19" s="1"/>
  <c r="AA884" i="19" s="1"/>
  <c r="K114" i="43"/>
  <c r="AA349" i="19" s="1"/>
  <c r="AA426" i="19" s="1"/>
  <c r="M114" i="43"/>
  <c r="AA659" i="19" s="1"/>
  <c r="AA736" i="19" s="1"/>
  <c r="L120" i="43"/>
  <c r="AA511" i="19" s="1"/>
  <c r="AA588" i="19" s="1"/>
  <c r="N120" i="43"/>
  <c r="AA821" i="19" s="1"/>
  <c r="AA898" i="19" s="1"/>
  <c r="K126" i="43"/>
  <c r="AA363" i="19" s="1"/>
  <c r="AA440" i="19" s="1"/>
  <c r="M126" i="43"/>
  <c r="AA673" i="19" s="1"/>
  <c r="AA750" i="19" s="1"/>
  <c r="L132" i="43"/>
  <c r="AA525" i="19" s="1"/>
  <c r="AA602" i="19" s="1"/>
  <c r="N132" i="43"/>
  <c r="AA835" i="19" s="1"/>
  <c r="AA912" i="19" s="1"/>
  <c r="K138" i="43"/>
  <c r="AA377" i="19" s="1"/>
  <c r="AA454" i="19" s="1"/>
  <c r="M138" i="43"/>
  <c r="AA687" i="19" s="1"/>
  <c r="AA764" i="19" s="1"/>
  <c r="L144" i="43"/>
  <c r="AA539" i="19" s="1"/>
  <c r="AA616" i="19" s="1"/>
  <c r="N144" i="43"/>
  <c r="AA849" i="19" s="1"/>
  <c r="AA926" i="19" s="1"/>
  <c r="K150" i="43"/>
  <c r="AA391" i="19" s="1"/>
  <c r="AA468" i="19" s="1"/>
  <c r="M150" i="43"/>
  <c r="AA701" i="19" s="1"/>
  <c r="AA778" i="19" s="1"/>
  <c r="K160" i="43"/>
  <c r="K167" i="43" s="1"/>
  <c r="M161" i="44"/>
  <c r="M168" i="44" s="1"/>
  <c r="K102" i="44"/>
  <c r="AB335" i="19" s="1"/>
  <c r="AB412" i="19" s="1"/>
  <c r="M102" i="44"/>
  <c r="AB645" i="19" s="1"/>
  <c r="AB722" i="19" s="1"/>
  <c r="J108" i="44"/>
  <c r="AB187" i="19" s="1"/>
  <c r="AB264" i="19" s="1"/>
  <c r="L108" i="44"/>
  <c r="AB497" i="19" s="1"/>
  <c r="AB574" i="19" s="1"/>
  <c r="N108" i="44"/>
  <c r="AB807" i="19" s="1"/>
  <c r="AB884" i="19" s="1"/>
  <c r="K114" i="44"/>
  <c r="AB349" i="19" s="1"/>
  <c r="AB426" i="19" s="1"/>
  <c r="M114" i="44"/>
  <c r="AB659" i="19" s="1"/>
  <c r="AB736" i="19" s="1"/>
  <c r="J120" i="44"/>
  <c r="AB201" i="19" s="1"/>
  <c r="AB278" i="19" s="1"/>
  <c r="L120" i="44"/>
  <c r="AB511" i="19" s="1"/>
  <c r="AB588" i="19" s="1"/>
  <c r="N120" i="44"/>
  <c r="AB821" i="19" s="1"/>
  <c r="AB898" i="19" s="1"/>
  <c r="K126" i="44"/>
  <c r="AB363" i="19" s="1"/>
  <c r="AB440" i="19" s="1"/>
  <c r="M126" i="44"/>
  <c r="AB673" i="19" s="1"/>
  <c r="AB750" i="19" s="1"/>
  <c r="J132" i="44"/>
  <c r="AB215" i="19" s="1"/>
  <c r="AB292" i="19" s="1"/>
  <c r="N132" i="44"/>
  <c r="AB835" i="19" s="1"/>
  <c r="AB912" i="19" s="1"/>
  <c r="K138" i="44"/>
  <c r="AB377" i="19" s="1"/>
  <c r="AB454" i="19" s="1"/>
  <c r="M138" i="44"/>
  <c r="AB687" i="19" s="1"/>
  <c r="AB764" i="19" s="1"/>
  <c r="J144" i="44"/>
  <c r="AB229" i="19" s="1"/>
  <c r="AB306" i="19" s="1"/>
  <c r="N144" i="44"/>
  <c r="AB849" i="19" s="1"/>
  <c r="AB926" i="19" s="1"/>
  <c r="K150" i="44"/>
  <c r="AB391" i="19" s="1"/>
  <c r="AB468" i="19" s="1"/>
  <c r="M150" i="44"/>
  <c r="AB701" i="19" s="1"/>
  <c r="AB778" i="19" s="1"/>
  <c r="N159" i="44"/>
  <c r="N166" i="44" s="1"/>
  <c r="N160" i="44"/>
  <c r="N167" i="44" s="1"/>
  <c r="K102" i="45"/>
  <c r="AC335" i="19" s="1"/>
  <c r="AC412" i="19" s="1"/>
  <c r="M102" i="45"/>
  <c r="AC645" i="19" s="1"/>
  <c r="AC722" i="19" s="1"/>
  <c r="L108" i="45"/>
  <c r="AC497" i="19" s="1"/>
  <c r="AC574" i="19" s="1"/>
  <c r="N108" i="45"/>
  <c r="AC807" i="19" s="1"/>
  <c r="AC884" i="19" s="1"/>
  <c r="L120" i="45"/>
  <c r="AC511" i="19" s="1"/>
  <c r="AC588" i="19" s="1"/>
  <c r="N120" i="45"/>
  <c r="AC821" i="19" s="1"/>
  <c r="AC898" i="19" s="1"/>
  <c r="K126" i="45"/>
  <c r="AC363" i="19" s="1"/>
  <c r="AC440" i="19" s="1"/>
  <c r="M126" i="45"/>
  <c r="AC673" i="19" s="1"/>
  <c r="AC750" i="19" s="1"/>
  <c r="L132" i="45"/>
  <c r="AC525" i="19" s="1"/>
  <c r="AC602" i="19" s="1"/>
  <c r="N132" i="45"/>
  <c r="AC835" i="19" s="1"/>
  <c r="AC912" i="19" s="1"/>
  <c r="K138" i="45"/>
  <c r="AC377" i="19" s="1"/>
  <c r="AC454" i="19" s="1"/>
  <c r="M138" i="45"/>
  <c r="AC687" i="19" s="1"/>
  <c r="AC764" i="19" s="1"/>
  <c r="L144" i="45"/>
  <c r="AC539" i="19" s="1"/>
  <c r="AC616" i="19" s="1"/>
  <c r="N144" i="45"/>
  <c r="AC849" i="19" s="1"/>
  <c r="AC926" i="19" s="1"/>
  <c r="K150" i="45"/>
  <c r="AC391" i="19" s="1"/>
  <c r="AC468" i="19" s="1"/>
  <c r="M150" i="45"/>
  <c r="AC701" i="19" s="1"/>
  <c r="AC778" i="19" s="1"/>
  <c r="J102" i="46"/>
  <c r="AD180" i="19" s="1"/>
  <c r="AD257" i="19" s="1"/>
  <c r="L102" i="46"/>
  <c r="AD490" i="19" s="1"/>
  <c r="AD567" i="19" s="1"/>
  <c r="N102" i="46"/>
  <c r="AD800" i="19" s="1"/>
  <c r="AD877" i="19" s="1"/>
  <c r="K108" i="46"/>
  <c r="AD342" i="19" s="1"/>
  <c r="AD419" i="19" s="1"/>
  <c r="M108" i="46"/>
  <c r="AD652" i="19" s="1"/>
  <c r="AD729" i="19" s="1"/>
  <c r="J114" i="46"/>
  <c r="AD194" i="19" s="1"/>
  <c r="AD271" i="19" s="1"/>
  <c r="L114" i="46"/>
  <c r="AD504" i="19" s="1"/>
  <c r="AD581" i="19" s="1"/>
  <c r="N114" i="46"/>
  <c r="AD814" i="19" s="1"/>
  <c r="AD891" i="19" s="1"/>
  <c r="K120" i="46"/>
  <c r="AD356" i="19" s="1"/>
  <c r="AD433" i="19" s="1"/>
  <c r="M120" i="46"/>
  <c r="AD666" i="19" s="1"/>
  <c r="AD743" i="19" s="1"/>
  <c r="J126" i="46"/>
  <c r="AD208" i="19" s="1"/>
  <c r="AD285" i="19" s="1"/>
  <c r="L126" i="46"/>
  <c r="AD518" i="19" s="1"/>
  <c r="AD595" i="19" s="1"/>
  <c r="N126" i="46"/>
  <c r="AD828" i="19" s="1"/>
  <c r="AD905" i="19" s="1"/>
  <c r="K132" i="46"/>
  <c r="AD370" i="19" s="1"/>
  <c r="AD447" i="19" s="1"/>
  <c r="M132" i="46"/>
  <c r="AD680" i="19" s="1"/>
  <c r="AD757" i="19" s="1"/>
  <c r="J138" i="46"/>
  <c r="AD222" i="19" s="1"/>
  <c r="AD299" i="19" s="1"/>
  <c r="L138" i="46"/>
  <c r="AD532" i="19" s="1"/>
  <c r="AD609" i="19" s="1"/>
  <c r="N138" i="46"/>
  <c r="AD842" i="19" s="1"/>
  <c r="AD919" i="19" s="1"/>
  <c r="K144" i="46"/>
  <c r="AD384" i="19" s="1"/>
  <c r="AD461" i="19" s="1"/>
  <c r="M144" i="46"/>
  <c r="AD694" i="19" s="1"/>
  <c r="AD771" i="19" s="1"/>
  <c r="J150" i="46"/>
  <c r="AD236" i="19" s="1"/>
  <c r="AD313" i="19" s="1"/>
  <c r="L150" i="46"/>
  <c r="AD546" i="19" s="1"/>
  <c r="AD623" i="19" s="1"/>
  <c r="N150" i="46"/>
  <c r="AD856" i="19" s="1"/>
  <c r="AD933" i="19" s="1"/>
  <c r="K52" i="16"/>
  <c r="K60" i="16" s="1"/>
  <c r="F857" i="19"/>
  <c r="F547" i="19"/>
  <c r="F702" i="19"/>
  <c r="F870" i="19"/>
  <c r="F715" i="19"/>
  <c r="F405" i="19"/>
  <c r="F560" i="19"/>
  <c r="F250" i="19"/>
  <c r="F877" i="19"/>
  <c r="F722" i="19"/>
  <c r="F412" i="19"/>
  <c r="F567" i="19"/>
  <c r="F257" i="19"/>
  <c r="F884" i="19"/>
  <c r="F729" i="19"/>
  <c r="F419" i="19"/>
  <c r="F574" i="19"/>
  <c r="F264" i="19"/>
  <c r="F891" i="19"/>
  <c r="F736" i="19"/>
  <c r="F426" i="19"/>
  <c r="F581" i="19"/>
  <c r="F271" i="19"/>
  <c r="F898" i="19"/>
  <c r="F743" i="19"/>
  <c r="F433" i="19"/>
  <c r="F588" i="19"/>
  <c r="F278" i="19"/>
  <c r="F905" i="19"/>
  <c r="F750" i="19"/>
  <c r="F440" i="19"/>
  <c r="F595" i="19"/>
  <c r="F285" i="19"/>
  <c r="F912" i="19"/>
  <c r="F757" i="19"/>
  <c r="F447" i="19"/>
  <c r="F602" i="19"/>
  <c r="F292" i="19"/>
  <c r="F919" i="19"/>
  <c r="F764" i="19"/>
  <c r="F454" i="19"/>
  <c r="F609" i="19"/>
  <c r="F299" i="19"/>
  <c r="F926" i="19"/>
  <c r="F771" i="19"/>
  <c r="F461" i="19"/>
  <c r="F616" i="19"/>
  <c r="F306" i="19"/>
  <c r="F933" i="19"/>
  <c r="F778" i="19"/>
  <c r="F468" i="19"/>
  <c r="F623" i="19"/>
  <c r="F313" i="19"/>
  <c r="H410" i="19"/>
  <c r="H417" i="19"/>
  <c r="H424" i="19"/>
  <c r="I347" i="19"/>
  <c r="H431" i="19"/>
  <c r="H443" i="19"/>
  <c r="H445" i="19"/>
  <c r="H457" i="19"/>
  <c r="H459" i="19"/>
  <c r="H566" i="19"/>
  <c r="K591" i="19"/>
  <c r="J514" i="19"/>
  <c r="K593" i="19"/>
  <c r="J516" i="19"/>
  <c r="K605" i="19"/>
  <c r="J528" i="19"/>
  <c r="K607" i="19"/>
  <c r="J530" i="19"/>
  <c r="K619" i="19"/>
  <c r="J542" i="19"/>
  <c r="K621" i="19"/>
  <c r="J544" i="19"/>
  <c r="H720" i="19"/>
  <c r="I643" i="19"/>
  <c r="K726" i="19"/>
  <c r="J649" i="19"/>
  <c r="K728" i="19"/>
  <c r="J651" i="19"/>
  <c r="H774" i="19"/>
  <c r="I697" i="19"/>
  <c r="H776" i="19"/>
  <c r="I699" i="19"/>
  <c r="K416" i="19"/>
  <c r="J339" i="19"/>
  <c r="K418" i="19"/>
  <c r="J341" i="19"/>
  <c r="K425" i="19"/>
  <c r="J348" i="19"/>
  <c r="K432" i="19"/>
  <c r="J355" i="19"/>
  <c r="K435" i="19"/>
  <c r="J358" i="19"/>
  <c r="K437" i="19"/>
  <c r="J360" i="19"/>
  <c r="K439" i="19"/>
  <c r="J362" i="19"/>
  <c r="K442" i="19"/>
  <c r="J365" i="19"/>
  <c r="K444" i="19"/>
  <c r="J367" i="19"/>
  <c r="K446" i="19"/>
  <c r="J369" i="19"/>
  <c r="K449" i="19"/>
  <c r="J372" i="19"/>
  <c r="K451" i="19"/>
  <c r="J374" i="19"/>
  <c r="K453" i="19"/>
  <c r="J376" i="19"/>
  <c r="K456" i="19"/>
  <c r="J379" i="19"/>
  <c r="K458" i="19"/>
  <c r="J381" i="19"/>
  <c r="K460" i="19"/>
  <c r="J383" i="19"/>
  <c r="K463" i="19"/>
  <c r="J386" i="19"/>
  <c r="K465" i="19"/>
  <c r="J388" i="19"/>
  <c r="K467" i="19"/>
  <c r="J390" i="19"/>
  <c r="H559" i="19"/>
  <c r="K565" i="19"/>
  <c r="J488" i="19"/>
  <c r="H571" i="19"/>
  <c r="I494" i="19"/>
  <c r="H573" i="19"/>
  <c r="I496" i="19"/>
  <c r="K579" i="19"/>
  <c r="J502" i="19"/>
  <c r="H587" i="19"/>
  <c r="I510" i="19"/>
  <c r="H590" i="19"/>
  <c r="H592" i="19"/>
  <c r="H594" i="19"/>
  <c r="H597" i="19"/>
  <c r="I520" i="19"/>
  <c r="H599" i="19"/>
  <c r="I522" i="19"/>
  <c r="H601" i="19"/>
  <c r="I524" i="19"/>
  <c r="H604" i="19"/>
  <c r="H606" i="19"/>
  <c r="H608" i="19"/>
  <c r="H611" i="19"/>
  <c r="I534" i="19"/>
  <c r="H613" i="19"/>
  <c r="I536" i="19"/>
  <c r="H615" i="19"/>
  <c r="I538" i="19"/>
  <c r="H618" i="19"/>
  <c r="H620" i="19"/>
  <c r="H622" i="19"/>
  <c r="H760" i="19"/>
  <c r="I683" i="19"/>
  <c r="H762" i="19"/>
  <c r="I685" i="19"/>
  <c r="H876" i="19"/>
  <c r="K929" i="19"/>
  <c r="J852" i="19"/>
  <c r="K931" i="19"/>
  <c r="J854" i="19"/>
  <c r="K721" i="19"/>
  <c r="J644" i="19"/>
  <c r="H727" i="19"/>
  <c r="H734" i="19"/>
  <c r="I657" i="19"/>
  <c r="H741" i="19"/>
  <c r="H753" i="19"/>
  <c r="H755" i="19"/>
  <c r="H767" i="19"/>
  <c r="H769" i="19"/>
  <c r="K882" i="19"/>
  <c r="J805" i="19"/>
  <c r="K901" i="19"/>
  <c r="J824" i="19"/>
  <c r="K903" i="19"/>
  <c r="J826" i="19"/>
  <c r="K735" i="19"/>
  <c r="J658" i="19"/>
  <c r="K742" i="19"/>
  <c r="J665" i="19"/>
  <c r="K745" i="19"/>
  <c r="J668" i="19"/>
  <c r="K747" i="19"/>
  <c r="J670" i="19"/>
  <c r="K749" i="19"/>
  <c r="J672" i="19"/>
  <c r="K752" i="19"/>
  <c r="J675" i="19"/>
  <c r="K754" i="19"/>
  <c r="J677" i="19"/>
  <c r="K756" i="19"/>
  <c r="J679" i="19"/>
  <c r="K759" i="19"/>
  <c r="J682" i="19"/>
  <c r="K761" i="19"/>
  <c r="J684" i="19"/>
  <c r="K763" i="19"/>
  <c r="J686" i="19"/>
  <c r="K766" i="19"/>
  <c r="J689" i="19"/>
  <c r="K768" i="19"/>
  <c r="J691" i="19"/>
  <c r="K770" i="19"/>
  <c r="J693" i="19"/>
  <c r="K773" i="19"/>
  <c r="J696" i="19"/>
  <c r="K775" i="19"/>
  <c r="J698" i="19"/>
  <c r="K777" i="19"/>
  <c r="J700" i="19"/>
  <c r="H869" i="19"/>
  <c r="K875" i="19"/>
  <c r="J798" i="19"/>
  <c r="H881" i="19"/>
  <c r="I804" i="19"/>
  <c r="K915" i="19"/>
  <c r="J838" i="19"/>
  <c r="K917" i="19"/>
  <c r="J840" i="19"/>
  <c r="H890" i="19"/>
  <c r="K896" i="19"/>
  <c r="J819" i="19"/>
  <c r="K908" i="19"/>
  <c r="J831" i="19"/>
  <c r="K910" i="19"/>
  <c r="J833" i="19"/>
  <c r="K922" i="19"/>
  <c r="J845" i="19"/>
  <c r="K924" i="19"/>
  <c r="J847" i="19"/>
  <c r="H883" i="19"/>
  <c r="I806" i="19"/>
  <c r="K889" i="19"/>
  <c r="J812" i="19"/>
  <c r="I820" i="19"/>
  <c r="H900" i="19"/>
  <c r="H904" i="19"/>
  <c r="H907" i="19"/>
  <c r="I830" i="19"/>
  <c r="H909" i="19"/>
  <c r="I832" i="19"/>
  <c r="I834" i="19"/>
  <c r="H914" i="19"/>
  <c r="H918" i="19"/>
  <c r="H921" i="19"/>
  <c r="I844" i="19"/>
  <c r="H923" i="19"/>
  <c r="I846" i="19"/>
  <c r="H925" i="19"/>
  <c r="I848" i="19"/>
  <c r="H928" i="19"/>
  <c r="H930" i="19"/>
  <c r="H932" i="19"/>
  <c r="J169" i="62"/>
  <c r="J162" i="62" s="1"/>
  <c r="K167" i="52"/>
  <c r="K160" i="52" s="1"/>
  <c r="K167" i="53"/>
  <c r="K160" i="53" s="1"/>
  <c r="K168" i="62"/>
  <c r="K169" i="62"/>
  <c r="K162" i="62" s="1"/>
  <c r="L166" i="52"/>
  <c r="L167" i="52"/>
  <c r="L160" i="52" s="1"/>
  <c r="L166" i="53"/>
  <c r="L167" i="53"/>
  <c r="L160" i="53" s="1"/>
  <c r="L166" i="55"/>
  <c r="L166" i="56"/>
  <c r="M170" i="62"/>
  <c r="M163" i="62" s="1"/>
  <c r="I170" i="62"/>
  <c r="M169" i="62"/>
  <c r="M162" i="62" s="1"/>
  <c r="I169" i="62"/>
  <c r="M168" i="62"/>
  <c r="I168" i="62"/>
  <c r="L170" i="62"/>
  <c r="L163" i="62" s="1"/>
  <c r="L168" i="62"/>
  <c r="L169" i="62"/>
  <c r="L162" i="62" s="1"/>
  <c r="N168" i="52"/>
  <c r="N161" i="52" s="1"/>
  <c r="J168" i="52"/>
  <c r="N167" i="52"/>
  <c r="N160" i="52" s="1"/>
  <c r="J167" i="52"/>
  <c r="N166" i="52"/>
  <c r="J166" i="52"/>
  <c r="M168" i="52"/>
  <c r="M161" i="52" s="1"/>
  <c r="M167" i="52"/>
  <c r="M160" i="52" s="1"/>
  <c r="M166" i="52"/>
  <c r="N168" i="53"/>
  <c r="N161" i="53" s="1"/>
  <c r="J168" i="53"/>
  <c r="N167" i="53"/>
  <c r="N160" i="53" s="1"/>
  <c r="J167" i="53"/>
  <c r="N166" i="53"/>
  <c r="J166" i="53"/>
  <c r="M168" i="53"/>
  <c r="M161" i="53" s="1"/>
  <c r="M167" i="53"/>
  <c r="M160" i="53" s="1"/>
  <c r="M166" i="53"/>
  <c r="K168" i="54"/>
  <c r="K161" i="54" s="1"/>
  <c r="K167" i="54"/>
  <c r="K160" i="54" s="1"/>
  <c r="N168" i="54"/>
  <c r="N161" i="54" s="1"/>
  <c r="J168" i="54"/>
  <c r="N167" i="54"/>
  <c r="N160" i="54" s="1"/>
  <c r="J167" i="54"/>
  <c r="N166" i="54"/>
  <c r="J166" i="54"/>
  <c r="M168" i="54"/>
  <c r="M161" i="54" s="1"/>
  <c r="M167" i="54"/>
  <c r="M160" i="54" s="1"/>
  <c r="M166" i="54"/>
  <c r="K168" i="57"/>
  <c r="K161" i="57" s="1"/>
  <c r="M166" i="57"/>
  <c r="L168" i="58"/>
  <c r="L161" i="58" s="1"/>
  <c r="L168" i="59"/>
  <c r="L161" i="59" s="1"/>
  <c r="L168" i="54"/>
  <c r="L161" i="54" s="1"/>
  <c r="M168" i="57"/>
  <c r="M161" i="57" s="1"/>
  <c r="K168" i="59"/>
  <c r="K161" i="59" s="1"/>
  <c r="K167" i="59"/>
  <c r="K160" i="59" s="1"/>
  <c r="K166" i="59"/>
  <c r="M168" i="60"/>
  <c r="M161" i="60" s="1"/>
  <c r="M167" i="60"/>
  <c r="M160" i="60" s="1"/>
  <c r="M166" i="60"/>
  <c r="L168" i="60"/>
  <c r="L161" i="60" s="1"/>
  <c r="L167" i="60"/>
  <c r="L160" i="60" s="1"/>
  <c r="L166" i="60"/>
  <c r="N168" i="60"/>
  <c r="N161" i="60" s="1"/>
  <c r="N167" i="60"/>
  <c r="N160" i="60" s="1"/>
  <c r="N166" i="60"/>
  <c r="K168" i="60"/>
  <c r="K161" i="60" s="1"/>
  <c r="K167" i="60"/>
  <c r="K160" i="60" s="1"/>
  <c r="K166" i="60"/>
  <c r="J167" i="60"/>
  <c r="J168" i="60"/>
  <c r="J166" i="60"/>
  <c r="J168" i="62"/>
  <c r="J170" i="62"/>
  <c r="J163" i="62" s="1"/>
  <c r="K166" i="52"/>
  <c r="K168" i="52"/>
  <c r="K161" i="52" s="1"/>
  <c r="K166" i="53"/>
  <c r="K168" i="53"/>
  <c r="K161" i="53" s="1"/>
  <c r="K166" i="54"/>
  <c r="L167" i="57"/>
  <c r="L160" i="57" s="1"/>
  <c r="K168" i="58"/>
  <c r="K161" i="58" s="1"/>
  <c r="M166" i="61"/>
  <c r="J167" i="61"/>
  <c r="M159" i="37"/>
  <c r="J160" i="37"/>
  <c r="L161" i="38"/>
  <c r="L168" i="38" s="1"/>
  <c r="L160" i="38"/>
  <c r="L167" i="38" s="1"/>
  <c r="L159" i="38"/>
  <c r="K161" i="38"/>
  <c r="K168" i="38" s="1"/>
  <c r="K160" i="38"/>
  <c r="K167" i="38" s="1"/>
  <c r="K159" i="38"/>
  <c r="N161" i="38"/>
  <c r="N168" i="38" s="1"/>
  <c r="J161" i="38"/>
  <c r="N160" i="38"/>
  <c r="N167" i="38" s="1"/>
  <c r="J160" i="38"/>
  <c r="N159" i="38"/>
  <c r="J159" i="38"/>
  <c r="M159" i="38"/>
  <c r="K161" i="40"/>
  <c r="K168" i="40" s="1"/>
  <c r="K160" i="40"/>
  <c r="K167" i="40" s="1"/>
  <c r="K159" i="40"/>
  <c r="L160" i="40"/>
  <c r="L167" i="40" s="1"/>
  <c r="L161" i="41"/>
  <c r="L168" i="41" s="1"/>
  <c r="J160" i="41"/>
  <c r="N159" i="41"/>
  <c r="J159" i="41"/>
  <c r="K161" i="42"/>
  <c r="K168" i="42" s="1"/>
  <c r="N160" i="42"/>
  <c r="N167" i="42" s="1"/>
  <c r="K159" i="42"/>
  <c r="M168" i="55"/>
  <c r="M161" i="55" s="1"/>
  <c r="M166" i="56"/>
  <c r="K166" i="58"/>
  <c r="K167" i="58"/>
  <c r="K160" i="58" s="1"/>
  <c r="L168" i="61"/>
  <c r="L161" i="61" s="1"/>
  <c r="N166" i="61"/>
  <c r="M167" i="61"/>
  <c r="M160" i="61" s="1"/>
  <c r="J168" i="61"/>
  <c r="L161" i="14"/>
  <c r="L168" i="14" s="1"/>
  <c r="J159" i="14"/>
  <c r="J160" i="14"/>
  <c r="J161" i="14"/>
  <c r="N159" i="37"/>
  <c r="M160" i="37"/>
  <c r="M167" i="37" s="1"/>
  <c r="N161" i="40"/>
  <c r="N168" i="40" s="1"/>
  <c r="L159" i="40"/>
  <c r="L160" i="41"/>
  <c r="L167" i="41" s="1"/>
  <c r="K159" i="41"/>
  <c r="J161" i="42"/>
  <c r="L159" i="42"/>
  <c r="L161" i="42"/>
  <c r="L168" i="42" s="1"/>
  <c r="N161" i="45"/>
  <c r="N168" i="45" s="1"/>
  <c r="J161" i="45"/>
  <c r="N160" i="45"/>
  <c r="N167" i="45" s="1"/>
  <c r="J160" i="45"/>
  <c r="N159" i="45"/>
  <c r="J159" i="45"/>
  <c r="M161" i="45"/>
  <c r="M168" i="45" s="1"/>
  <c r="K160" i="45"/>
  <c r="K167" i="45" s="1"/>
  <c r="M159" i="45"/>
  <c r="L161" i="45"/>
  <c r="L168" i="45" s="1"/>
  <c r="L159" i="45"/>
  <c r="K161" i="45"/>
  <c r="K168" i="45" s="1"/>
  <c r="M160" i="45"/>
  <c r="M167" i="45" s="1"/>
  <c r="K159" i="45"/>
  <c r="L160" i="45"/>
  <c r="L167" i="45" s="1"/>
  <c r="N161" i="46"/>
  <c r="N168" i="46" s="1"/>
  <c r="L161" i="46"/>
  <c r="L168" i="46" s="1"/>
  <c r="J160" i="46"/>
  <c r="L159" i="46"/>
  <c r="K161" i="46"/>
  <c r="K168" i="46" s="1"/>
  <c r="N160" i="46"/>
  <c r="N167" i="46" s="1"/>
  <c r="K159" i="46"/>
  <c r="J161" i="46"/>
  <c r="L160" i="46"/>
  <c r="L167" i="46" s="1"/>
  <c r="J159" i="46"/>
  <c r="K160" i="46"/>
  <c r="K167" i="46" s="1"/>
  <c r="N159" i="46"/>
  <c r="M166" i="55"/>
  <c r="M167" i="55"/>
  <c r="M160" i="55" s="1"/>
  <c r="M167" i="56"/>
  <c r="M160" i="56" s="1"/>
  <c r="J166" i="55"/>
  <c r="N166" i="55"/>
  <c r="J167" i="55"/>
  <c r="N167" i="55"/>
  <c r="N160" i="55" s="1"/>
  <c r="J168" i="55"/>
  <c r="N168" i="55"/>
  <c r="N161" i="55" s="1"/>
  <c r="J166" i="56"/>
  <c r="N166" i="56"/>
  <c r="J167" i="56"/>
  <c r="N167" i="56"/>
  <c r="N160" i="56" s="1"/>
  <c r="K166" i="57"/>
  <c r="M167" i="57"/>
  <c r="M160" i="57" s="1"/>
  <c r="L166" i="58"/>
  <c r="L167" i="58"/>
  <c r="L160" i="58" s="1"/>
  <c r="L166" i="59"/>
  <c r="L167" i="59"/>
  <c r="L160" i="59" s="1"/>
  <c r="N167" i="61"/>
  <c r="N160" i="61" s="1"/>
  <c r="M168" i="61"/>
  <c r="M161" i="61" s="1"/>
  <c r="M161" i="14"/>
  <c r="M168" i="14" s="1"/>
  <c r="K159" i="14"/>
  <c r="K160" i="14"/>
  <c r="K167" i="14" s="1"/>
  <c r="K161" i="14"/>
  <c r="K168" i="14" s="1"/>
  <c r="N160" i="37"/>
  <c r="N167" i="37" s="1"/>
  <c r="M161" i="38"/>
  <c r="M168" i="38" s="1"/>
  <c r="M161" i="41"/>
  <c r="M168" i="41" s="1"/>
  <c r="K166" i="55"/>
  <c r="K167" i="55"/>
  <c r="K160" i="55" s="1"/>
  <c r="N168" i="56"/>
  <c r="N161" i="56" s="1"/>
  <c r="J168" i="56"/>
  <c r="K166" i="56"/>
  <c r="K167" i="56"/>
  <c r="K160" i="56" s="1"/>
  <c r="L168" i="56"/>
  <c r="L161" i="56" s="1"/>
  <c r="N168" i="57"/>
  <c r="N161" i="57" s="1"/>
  <c r="J168" i="57"/>
  <c r="N167" i="57"/>
  <c r="N160" i="57" s="1"/>
  <c r="J167" i="57"/>
  <c r="N166" i="57"/>
  <c r="J166" i="57"/>
  <c r="L166" i="57"/>
  <c r="L168" i="57"/>
  <c r="L161" i="57" s="1"/>
  <c r="N168" i="58"/>
  <c r="N161" i="58" s="1"/>
  <c r="J168" i="58"/>
  <c r="N167" i="58"/>
  <c r="N160" i="58" s="1"/>
  <c r="J167" i="58"/>
  <c r="N166" i="58"/>
  <c r="J166" i="58"/>
  <c r="M168" i="58"/>
  <c r="M161" i="58" s="1"/>
  <c r="M167" i="58"/>
  <c r="M160" i="58" s="1"/>
  <c r="M166" i="58"/>
  <c r="N168" i="59"/>
  <c r="N161" i="59" s="1"/>
  <c r="J168" i="59"/>
  <c r="N167" i="59"/>
  <c r="N160" i="59" s="1"/>
  <c r="J167" i="59"/>
  <c r="N166" i="59"/>
  <c r="J166" i="59"/>
  <c r="M168" i="59"/>
  <c r="M161" i="59" s="1"/>
  <c r="M167" i="59"/>
  <c r="M160" i="59" s="1"/>
  <c r="M166" i="59"/>
  <c r="J166" i="61"/>
  <c r="N159" i="14"/>
  <c r="N160" i="14"/>
  <c r="N167" i="14" s="1"/>
  <c r="L161" i="37"/>
  <c r="L168" i="37" s="1"/>
  <c r="L160" i="37"/>
  <c r="L167" i="37" s="1"/>
  <c r="L159" i="37"/>
  <c r="K161" i="37"/>
  <c r="K168" i="37" s="1"/>
  <c r="K160" i="37"/>
  <c r="K167" i="37" s="1"/>
  <c r="K159" i="37"/>
  <c r="J159" i="37"/>
  <c r="N161" i="37"/>
  <c r="N168" i="37" s="1"/>
  <c r="M160" i="38"/>
  <c r="M167" i="38" s="1"/>
  <c r="L161" i="40"/>
  <c r="L168" i="40" s="1"/>
  <c r="K160" i="41"/>
  <c r="K167" i="41" s="1"/>
  <c r="J160" i="42"/>
  <c r="K166" i="61"/>
  <c r="K167" i="61"/>
  <c r="K160" i="61" s="1"/>
  <c r="K168" i="61"/>
  <c r="K161" i="61" s="1"/>
  <c r="L159" i="14"/>
  <c r="L160" i="14"/>
  <c r="L167" i="14" s="1"/>
  <c r="M159" i="40"/>
  <c r="M160" i="40"/>
  <c r="M167" i="40" s="1"/>
  <c r="M161" i="40"/>
  <c r="M168" i="40" s="1"/>
  <c r="L159" i="41"/>
  <c r="N159" i="42"/>
  <c r="K160" i="42"/>
  <c r="K167" i="42" s="1"/>
  <c r="N161" i="42"/>
  <c r="N168" i="42" s="1"/>
  <c r="J161" i="44"/>
  <c r="L166" i="61"/>
  <c r="L167" i="61"/>
  <c r="L160" i="61" s="1"/>
  <c r="M159" i="14"/>
  <c r="M160" i="14"/>
  <c r="M167" i="14" s="1"/>
  <c r="J159" i="40"/>
  <c r="N159" i="40"/>
  <c r="J160" i="40"/>
  <c r="N160" i="40"/>
  <c r="N167" i="40" s="1"/>
  <c r="J161" i="40"/>
  <c r="N161" i="41"/>
  <c r="N168" i="41" s="1"/>
  <c r="J161" i="41"/>
  <c r="N160" i="41"/>
  <c r="N167" i="41" s="1"/>
  <c r="M159" i="41"/>
  <c r="M160" i="41"/>
  <c r="M167" i="41" s="1"/>
  <c r="K161" i="41"/>
  <c r="K168" i="41" s="1"/>
  <c r="M161" i="42"/>
  <c r="M168" i="42" s="1"/>
  <c r="J159" i="42"/>
  <c r="L160" i="42"/>
  <c r="L167" i="42" s="1"/>
  <c r="K159" i="43"/>
  <c r="J160" i="44"/>
  <c r="L84" i="63"/>
  <c r="L92" i="63" s="1"/>
  <c r="L83" i="63"/>
  <c r="L91" i="63" s="1"/>
  <c r="L82" i="63"/>
  <c r="K84" i="63"/>
  <c r="K92" i="63" s="1"/>
  <c r="K83" i="63"/>
  <c r="K91" i="63" s="1"/>
  <c r="K82" i="63"/>
  <c r="M84" i="15"/>
  <c r="M92" i="15" s="1"/>
  <c r="I84" i="15"/>
  <c r="M83" i="15"/>
  <c r="M91" i="15" s="1"/>
  <c r="M82" i="15"/>
  <c r="M159" i="42"/>
  <c r="M160" i="42"/>
  <c r="M167" i="42" s="1"/>
  <c r="L159" i="43"/>
  <c r="L160" i="43"/>
  <c r="L167" i="43" s="1"/>
  <c r="L161" i="43"/>
  <c r="L168" i="43" s="1"/>
  <c r="K159" i="44"/>
  <c r="K160" i="44"/>
  <c r="K167" i="44" s="1"/>
  <c r="K161" i="44"/>
  <c r="K168" i="44" s="1"/>
  <c r="M161" i="46"/>
  <c r="M168" i="46" s="1"/>
  <c r="M82" i="63"/>
  <c r="J83" i="63"/>
  <c r="J91" i="63" s="1"/>
  <c r="L82" i="15"/>
  <c r="K84" i="15"/>
  <c r="K92" i="15" s="1"/>
  <c r="M159" i="43"/>
  <c r="M160" i="43"/>
  <c r="M167" i="43" s="1"/>
  <c r="M161" i="43"/>
  <c r="M168" i="43" s="1"/>
  <c r="L159" i="44"/>
  <c r="L160" i="44"/>
  <c r="L167" i="44" s="1"/>
  <c r="L161" i="44"/>
  <c r="L168" i="44" s="1"/>
  <c r="N82" i="63"/>
  <c r="M83" i="63"/>
  <c r="M91" i="63" s="1"/>
  <c r="J84" i="63"/>
  <c r="J92" i="63" s="1"/>
  <c r="J159" i="43"/>
  <c r="N159" i="43"/>
  <c r="J160" i="43"/>
  <c r="N160" i="43"/>
  <c r="N167" i="43" s="1"/>
  <c r="J161" i="43"/>
  <c r="M159" i="44"/>
  <c r="M160" i="44"/>
  <c r="M167" i="44" s="1"/>
  <c r="N83" i="63"/>
  <c r="N91" i="63" s="1"/>
  <c r="M84" i="63"/>
  <c r="M92" i="63" s="1"/>
  <c r="K50" i="16"/>
  <c r="K51" i="16"/>
  <c r="K59" i="16" s="1"/>
  <c r="M159" i="46"/>
  <c r="M160" i="46"/>
  <c r="M167" i="46" s="1"/>
  <c r="J82" i="15"/>
  <c r="N82" i="15"/>
  <c r="J83" i="15"/>
  <c r="J91" i="15" s="1"/>
  <c r="N83" i="15"/>
  <c r="N91" i="15" s="1"/>
  <c r="J84" i="15"/>
  <c r="J92" i="15" s="1"/>
  <c r="N84" i="15"/>
  <c r="N92" i="15" s="1"/>
  <c r="L50" i="16"/>
  <c r="L51" i="16"/>
  <c r="L59" i="16" s="1"/>
  <c r="L52" i="16"/>
  <c r="L60" i="16" s="1"/>
  <c r="K82" i="15"/>
  <c r="K83" i="15"/>
  <c r="K91" i="15" s="1"/>
  <c r="M50" i="16"/>
  <c r="M51" i="16"/>
  <c r="M59" i="16" s="1"/>
  <c r="N162" i="44" l="1"/>
  <c r="N169" i="44"/>
  <c r="K25" i="63"/>
  <c r="K152" i="58"/>
  <c r="K40" i="63" s="1"/>
  <c r="I168" i="63"/>
  <c r="K152" i="16"/>
  <c r="K20" i="16"/>
  <c r="K35" i="16" s="1"/>
  <c r="N173" i="63"/>
  <c r="N50" i="63"/>
  <c r="N152" i="16"/>
  <c r="N20" i="16"/>
  <c r="N35" i="16" s="1"/>
  <c r="J185" i="63"/>
  <c r="J52" i="63"/>
  <c r="J67" i="63" s="1"/>
  <c r="H237" i="33" s="1"/>
  <c r="I911" i="19"/>
  <c r="N132" i="17"/>
  <c r="N198" i="17" s="1"/>
  <c r="I897" i="19"/>
  <c r="N120" i="17"/>
  <c r="N186" i="17" s="1"/>
  <c r="I748" i="19"/>
  <c r="M125" i="17"/>
  <c r="M191" i="17" s="1"/>
  <c r="I746" i="19"/>
  <c r="M123" i="17"/>
  <c r="M189" i="17" s="1"/>
  <c r="J714" i="19"/>
  <c r="I637" i="19"/>
  <c r="J614" i="19"/>
  <c r="I537" i="19"/>
  <c r="I535" i="19"/>
  <c r="J612" i="19"/>
  <c r="J597" i="19"/>
  <c r="J525" i="19"/>
  <c r="J602" i="19" s="1"/>
  <c r="K137" i="17"/>
  <c r="K203" i="17" s="1"/>
  <c r="I452" i="19"/>
  <c r="I450" i="19"/>
  <c r="K135" i="17"/>
  <c r="K201" i="17" s="1"/>
  <c r="J404" i="19"/>
  <c r="I327" i="19"/>
  <c r="J308" i="19"/>
  <c r="I231" i="19"/>
  <c r="J305" i="19"/>
  <c r="I228" i="19"/>
  <c r="J289" i="19"/>
  <c r="I212" i="19"/>
  <c r="J287" i="19"/>
  <c r="I210" i="19"/>
  <c r="J284" i="19"/>
  <c r="I207" i="19"/>
  <c r="J282" i="19"/>
  <c r="I205" i="19"/>
  <c r="J280" i="19"/>
  <c r="I203" i="19"/>
  <c r="J277" i="19"/>
  <c r="I200" i="19"/>
  <c r="J261" i="19"/>
  <c r="I184" i="19"/>
  <c r="J50" i="16"/>
  <c r="I203" i="15"/>
  <c r="I136" i="15" s="1"/>
  <c r="I55" i="15" s="1"/>
  <c r="I131" i="15"/>
  <c r="I69" i="15"/>
  <c r="M106" i="15"/>
  <c r="M50" i="15" s="1"/>
  <c r="M229" i="15"/>
  <c r="L60" i="15"/>
  <c r="L75" i="15" s="1"/>
  <c r="AD547" i="19"/>
  <c r="AD624" i="19" s="1"/>
  <c r="I144" i="46"/>
  <c r="AD74" i="19" s="1"/>
  <c r="AD151" i="19" s="1"/>
  <c r="G522" i="33"/>
  <c r="I132" i="46"/>
  <c r="AD60" i="19" s="1"/>
  <c r="AD137" i="19" s="1"/>
  <c r="G426" i="33"/>
  <c r="I114" i="46"/>
  <c r="AD39" i="19" s="1"/>
  <c r="AD116" i="19" s="1"/>
  <c r="G282" i="33"/>
  <c r="M152" i="46"/>
  <c r="M28" i="15"/>
  <c r="M43" i="15" s="1"/>
  <c r="K152" i="46"/>
  <c r="K28" i="15"/>
  <c r="I96" i="46"/>
  <c r="AD18" i="19" s="1"/>
  <c r="I81" i="46"/>
  <c r="I152" i="46" s="1"/>
  <c r="G140" i="33"/>
  <c r="AA392" i="19"/>
  <c r="AA469" i="19" s="1"/>
  <c r="I150" i="43"/>
  <c r="AA81" i="19" s="1"/>
  <c r="AA158" i="19" s="1"/>
  <c r="G567" i="33"/>
  <c r="I138" i="43"/>
  <c r="AA67" i="19" s="1"/>
  <c r="AA144" i="19" s="1"/>
  <c r="G471" i="33"/>
  <c r="I126" i="43"/>
  <c r="AA53" i="19" s="1"/>
  <c r="AA130" i="19" s="1"/>
  <c r="G375" i="33"/>
  <c r="I114" i="43"/>
  <c r="AA39" i="19" s="1"/>
  <c r="AA116" i="19" s="1"/>
  <c r="G279" i="33"/>
  <c r="I102" i="43"/>
  <c r="AA25" i="19" s="1"/>
  <c r="I81" i="43"/>
  <c r="I152" i="43" s="1"/>
  <c r="G184" i="33"/>
  <c r="N25" i="15"/>
  <c r="N40" i="15" s="1"/>
  <c r="N152" i="43"/>
  <c r="L25" i="15"/>
  <c r="L40" i="15" s="1"/>
  <c r="L152" i="43"/>
  <c r="J25" i="15"/>
  <c r="J152" i="43"/>
  <c r="Z857" i="19"/>
  <c r="Z934" i="19" s="1"/>
  <c r="Z237" i="19"/>
  <c r="Z314" i="19" s="1"/>
  <c r="Y702" i="19"/>
  <c r="Y779" i="19" s="1"/>
  <c r="I150" i="40"/>
  <c r="X81" i="19" s="1"/>
  <c r="X158" i="19" s="1"/>
  <c r="G564" i="33"/>
  <c r="I126" i="40"/>
  <c r="X53" i="19" s="1"/>
  <c r="X130" i="19" s="1"/>
  <c r="G372" i="33"/>
  <c r="I102" i="40"/>
  <c r="X25" i="19" s="1"/>
  <c r="X102" i="19" s="1"/>
  <c r="G181" i="33"/>
  <c r="I150" i="37"/>
  <c r="V81" i="19" s="1"/>
  <c r="V158" i="19" s="1"/>
  <c r="G562" i="33"/>
  <c r="I126" i="37"/>
  <c r="V53" i="19" s="1"/>
  <c r="V130" i="19" s="1"/>
  <c r="G370" i="33"/>
  <c r="J611" i="19"/>
  <c r="J539" i="19"/>
  <c r="J616" i="19" s="1"/>
  <c r="K149" i="17"/>
  <c r="K215" i="17" s="1"/>
  <c r="I466" i="19"/>
  <c r="I464" i="19"/>
  <c r="K147" i="17"/>
  <c r="K213" i="17" s="1"/>
  <c r="I213" i="19"/>
  <c r="I199" i="19"/>
  <c r="I179" i="19"/>
  <c r="J256" i="19"/>
  <c r="I191" i="15"/>
  <c r="I124" i="15" s="1"/>
  <c r="I53" i="15" s="1"/>
  <c r="I119" i="15"/>
  <c r="I83" i="15" s="1"/>
  <c r="I67" i="15"/>
  <c r="K106" i="15"/>
  <c r="K50" i="15" s="1"/>
  <c r="K229" i="15"/>
  <c r="L229" i="15"/>
  <c r="N60" i="15"/>
  <c r="N75" i="15" s="1"/>
  <c r="J60" i="15"/>
  <c r="J75" i="15" s="1"/>
  <c r="AD857" i="19"/>
  <c r="AD934" i="19" s="1"/>
  <c r="AD237" i="19"/>
  <c r="AD314" i="19" s="1"/>
  <c r="AC857" i="19"/>
  <c r="AC934" i="19" s="1"/>
  <c r="AC870" i="19"/>
  <c r="AC547" i="19"/>
  <c r="AC624" i="19" s="1"/>
  <c r="AC560" i="19"/>
  <c r="AC250" i="19"/>
  <c r="AC237" i="19"/>
  <c r="AC314" i="19" s="1"/>
  <c r="AB392" i="19"/>
  <c r="AB469" i="19" s="1"/>
  <c r="I150" i="44"/>
  <c r="AB81" i="19" s="1"/>
  <c r="AB158" i="19" s="1"/>
  <c r="G568" i="33"/>
  <c r="I138" i="44"/>
  <c r="AB67" i="19" s="1"/>
  <c r="AB144" i="19" s="1"/>
  <c r="G472" i="33"/>
  <c r="I126" i="44"/>
  <c r="AB53" i="19" s="1"/>
  <c r="AB130" i="19" s="1"/>
  <c r="G376" i="33"/>
  <c r="I114" i="44"/>
  <c r="AB39" i="19" s="1"/>
  <c r="AB116" i="19" s="1"/>
  <c r="G280" i="33"/>
  <c r="I102" i="44"/>
  <c r="AB25" i="19" s="1"/>
  <c r="G185" i="33"/>
  <c r="N26" i="15"/>
  <c r="N41" i="15" s="1"/>
  <c r="N152" i="44"/>
  <c r="L26" i="15"/>
  <c r="L41" i="15" s="1"/>
  <c r="L152" i="44"/>
  <c r="J26" i="15"/>
  <c r="J152" i="44"/>
  <c r="AA702" i="19"/>
  <c r="AA779" i="19" s="1"/>
  <c r="I138" i="42"/>
  <c r="Z67" i="19" s="1"/>
  <c r="Z144" i="19" s="1"/>
  <c r="G470" i="33"/>
  <c r="I120" i="42"/>
  <c r="Z46" i="19" s="1"/>
  <c r="Z123" i="19" s="1"/>
  <c r="G326" i="33"/>
  <c r="I108" i="42"/>
  <c r="Z32" i="19" s="1"/>
  <c r="Z109" i="19" s="1"/>
  <c r="G230" i="33"/>
  <c r="Z702" i="19"/>
  <c r="Z779" i="19" s="1"/>
  <c r="Z715" i="19"/>
  <c r="Z392" i="19"/>
  <c r="Z469" i="19" s="1"/>
  <c r="Z405" i="19"/>
  <c r="L23" i="15"/>
  <c r="L38" i="15" s="1"/>
  <c r="L152" i="41"/>
  <c r="I144" i="41"/>
  <c r="Y74" i="19" s="1"/>
  <c r="Y151" i="19" s="1"/>
  <c r="G517" i="33"/>
  <c r="I132" i="41"/>
  <c r="Y60" i="19" s="1"/>
  <c r="Y137" i="19" s="1"/>
  <c r="G421" i="33"/>
  <c r="I120" i="41"/>
  <c r="Y46" i="19" s="1"/>
  <c r="Y123" i="19" s="1"/>
  <c r="G325" i="33"/>
  <c r="I108" i="41"/>
  <c r="Y32" i="19" s="1"/>
  <c r="Y109" i="19" s="1"/>
  <c r="G229" i="33"/>
  <c r="I96" i="41"/>
  <c r="Y18" i="19" s="1"/>
  <c r="I81" i="41"/>
  <c r="I152" i="41" s="1"/>
  <c r="G135" i="33"/>
  <c r="K22" i="15"/>
  <c r="K152" i="40"/>
  <c r="L21" i="15"/>
  <c r="L36" i="15" s="1"/>
  <c r="L152" i="38"/>
  <c r="I144" i="38"/>
  <c r="W74" i="19" s="1"/>
  <c r="W151" i="19" s="1"/>
  <c r="G515" i="33"/>
  <c r="I132" i="38"/>
  <c r="W60" i="19" s="1"/>
  <c r="W137" i="19" s="1"/>
  <c r="G419" i="33"/>
  <c r="I120" i="38"/>
  <c r="W46" i="19" s="1"/>
  <c r="W123" i="19" s="1"/>
  <c r="G323" i="33"/>
  <c r="I108" i="38"/>
  <c r="W32" i="19" s="1"/>
  <c r="W109" i="19" s="1"/>
  <c r="G227" i="33"/>
  <c r="I96" i="38"/>
  <c r="W18" i="19" s="1"/>
  <c r="I81" i="38"/>
  <c r="I152" i="38" s="1"/>
  <c r="G133" i="33"/>
  <c r="J921" i="19"/>
  <c r="J849" i="19"/>
  <c r="J926" i="19" s="1"/>
  <c r="J907" i="19"/>
  <c r="J835" i="19"/>
  <c r="J912" i="19" s="1"/>
  <c r="X95" i="19"/>
  <c r="U311" i="19"/>
  <c r="J234" i="19"/>
  <c r="U309" i="19"/>
  <c r="J232" i="19"/>
  <c r="J236" i="19" s="1"/>
  <c r="J313" i="19" s="1"/>
  <c r="J225" i="19"/>
  <c r="U755" i="19"/>
  <c r="J678" i="19"/>
  <c r="U445" i="19"/>
  <c r="J368" i="19"/>
  <c r="J676" i="19"/>
  <c r="U753" i="19"/>
  <c r="J366" i="19"/>
  <c r="U443" i="19"/>
  <c r="J206" i="19"/>
  <c r="U283" i="19"/>
  <c r="U281" i="19"/>
  <c r="J204" i="19"/>
  <c r="U890" i="19"/>
  <c r="J813" i="19"/>
  <c r="J503" i="19"/>
  <c r="U580" i="19"/>
  <c r="M19" i="15"/>
  <c r="M152" i="14"/>
  <c r="N28" i="63"/>
  <c r="N152" i="61"/>
  <c r="N43" i="63" s="1"/>
  <c r="J28" i="63"/>
  <c r="J152" i="61"/>
  <c r="J43" i="63" s="1"/>
  <c r="T81" i="19"/>
  <c r="T158" i="19" s="1"/>
  <c r="I150" i="61"/>
  <c r="T67" i="19"/>
  <c r="T144" i="19" s="1"/>
  <c r="I138" i="61"/>
  <c r="T53" i="19"/>
  <c r="T130" i="19" s="1"/>
  <c r="I126" i="61"/>
  <c r="T39" i="19"/>
  <c r="T116" i="19" s="1"/>
  <c r="I114" i="61"/>
  <c r="T25" i="19"/>
  <c r="T102" i="19" s="1"/>
  <c r="I102" i="61"/>
  <c r="M27" i="63"/>
  <c r="M152" i="60"/>
  <c r="M42" i="63" s="1"/>
  <c r="R74" i="19"/>
  <c r="R151" i="19" s="1"/>
  <c r="I144" i="59"/>
  <c r="R60" i="19"/>
  <c r="R137" i="19" s="1"/>
  <c r="I132" i="59"/>
  <c r="R666" i="19"/>
  <c r="R743" i="19" s="1"/>
  <c r="M120" i="59"/>
  <c r="R43" i="19"/>
  <c r="R120" i="19" s="1"/>
  <c r="I117" i="59"/>
  <c r="R41" i="19"/>
  <c r="R118" i="19" s="1"/>
  <c r="I49" i="59"/>
  <c r="I115" i="59"/>
  <c r="R504" i="19"/>
  <c r="R581" i="19" s="1"/>
  <c r="L114" i="59"/>
  <c r="R652" i="19"/>
  <c r="R729" i="19" s="1"/>
  <c r="M108" i="59"/>
  <c r="R32" i="19"/>
  <c r="R109" i="19" s="1"/>
  <c r="I108" i="59"/>
  <c r="R335" i="19"/>
  <c r="K102" i="59"/>
  <c r="R21" i="19"/>
  <c r="R98" i="19" s="1"/>
  <c r="I98" i="59"/>
  <c r="R793" i="19"/>
  <c r="N96" i="59"/>
  <c r="N81" i="59"/>
  <c r="R173" i="19"/>
  <c r="J96" i="59"/>
  <c r="J81" i="59"/>
  <c r="R15" i="19"/>
  <c r="R92" i="19" s="1"/>
  <c r="I93" i="59"/>
  <c r="R13" i="19"/>
  <c r="R90" i="19" s="1"/>
  <c r="I91" i="59"/>
  <c r="I25" i="59"/>
  <c r="Q81" i="19"/>
  <c r="Q158" i="19" s="1"/>
  <c r="I150" i="58"/>
  <c r="Q67" i="19"/>
  <c r="Q144" i="19" s="1"/>
  <c r="I138" i="58"/>
  <c r="Q53" i="19"/>
  <c r="Q130" i="19" s="1"/>
  <c r="I126" i="58"/>
  <c r="Q356" i="19"/>
  <c r="Q433" i="19" s="1"/>
  <c r="K120" i="58"/>
  <c r="Q42" i="19"/>
  <c r="Q119" i="19" s="1"/>
  <c r="I116" i="58"/>
  <c r="Q814" i="19"/>
  <c r="Q891" i="19" s="1"/>
  <c r="N114" i="58"/>
  <c r="Q194" i="19"/>
  <c r="Q271" i="19" s="1"/>
  <c r="J114" i="58"/>
  <c r="Q342" i="19"/>
  <c r="Q419" i="19" s="1"/>
  <c r="K108" i="58"/>
  <c r="Q645" i="19"/>
  <c r="M102" i="58"/>
  <c r="Q22" i="19"/>
  <c r="Q99" i="19" s="1"/>
  <c r="I99" i="58"/>
  <c r="Q20" i="19"/>
  <c r="Q97" i="19" s="1"/>
  <c r="I97" i="58"/>
  <c r="I31" i="58"/>
  <c r="Q483" i="19"/>
  <c r="L96" i="58"/>
  <c r="L81" i="58"/>
  <c r="Q16" i="19"/>
  <c r="Q93" i="19" s="1"/>
  <c r="I94" i="58"/>
  <c r="Q14" i="19"/>
  <c r="Q91" i="19" s="1"/>
  <c r="I92" i="58"/>
  <c r="P81" i="19"/>
  <c r="P158" i="19" s="1"/>
  <c r="I150" i="57"/>
  <c r="P67" i="19"/>
  <c r="P144" i="19" s="1"/>
  <c r="I138" i="57"/>
  <c r="P53" i="19"/>
  <c r="P130" i="19" s="1"/>
  <c r="I126" i="57"/>
  <c r="P356" i="19"/>
  <c r="P433" i="19" s="1"/>
  <c r="K120" i="57"/>
  <c r="P42" i="19"/>
  <c r="P119" i="19" s="1"/>
  <c r="I116" i="57"/>
  <c r="P814" i="19"/>
  <c r="P891" i="19" s="1"/>
  <c r="N114" i="57"/>
  <c r="P194" i="19"/>
  <c r="P271" i="19" s="1"/>
  <c r="J114" i="57"/>
  <c r="P342" i="19"/>
  <c r="P419" i="19" s="1"/>
  <c r="K108" i="57"/>
  <c r="P645" i="19"/>
  <c r="P722" i="19" s="1"/>
  <c r="M102" i="57"/>
  <c r="P22" i="19"/>
  <c r="P99" i="19" s="1"/>
  <c r="I99" i="57"/>
  <c r="P20" i="19"/>
  <c r="P97" i="19" s="1"/>
  <c r="I97" i="57"/>
  <c r="I31" i="57"/>
  <c r="P483" i="19"/>
  <c r="L96" i="57"/>
  <c r="L81" i="57"/>
  <c r="P16" i="19"/>
  <c r="P93" i="19" s="1"/>
  <c r="I94" i="57"/>
  <c r="P14" i="19"/>
  <c r="P91" i="19" s="1"/>
  <c r="I92" i="57"/>
  <c r="K23" i="63"/>
  <c r="K152" i="56"/>
  <c r="K38" i="63" s="1"/>
  <c r="O511" i="19"/>
  <c r="O588" i="19" s="1"/>
  <c r="L120" i="56"/>
  <c r="O659" i="19"/>
  <c r="O736" i="19" s="1"/>
  <c r="M114" i="56"/>
  <c r="O39" i="19"/>
  <c r="O116" i="19" s="1"/>
  <c r="I114" i="56"/>
  <c r="O490" i="19"/>
  <c r="O567" i="19" s="1"/>
  <c r="L102" i="56"/>
  <c r="N81" i="19"/>
  <c r="N158" i="19" s="1"/>
  <c r="I150" i="55"/>
  <c r="N67" i="19"/>
  <c r="N144" i="19" s="1"/>
  <c r="I138" i="55"/>
  <c r="N53" i="19"/>
  <c r="N130" i="19" s="1"/>
  <c r="I126" i="55"/>
  <c r="N356" i="19"/>
  <c r="N433" i="19" s="1"/>
  <c r="K120" i="55"/>
  <c r="N42" i="19"/>
  <c r="N119" i="19" s="1"/>
  <c r="I116" i="55"/>
  <c r="N814" i="19"/>
  <c r="N891" i="19" s="1"/>
  <c r="N114" i="55"/>
  <c r="N194" i="19"/>
  <c r="N271" i="19" s="1"/>
  <c r="J114" i="55"/>
  <c r="N342" i="19"/>
  <c r="N419" i="19" s="1"/>
  <c r="K108" i="55"/>
  <c r="N645" i="19"/>
  <c r="N722" i="19" s="1"/>
  <c r="M102" i="55"/>
  <c r="N22" i="19"/>
  <c r="N99" i="19" s="1"/>
  <c r="I99" i="55"/>
  <c r="N20" i="19"/>
  <c r="N97" i="19" s="1"/>
  <c r="I97" i="55"/>
  <c r="I31" i="55"/>
  <c r="N483" i="19"/>
  <c r="L96" i="55"/>
  <c r="L81" i="55"/>
  <c r="N16" i="19"/>
  <c r="N93" i="19" s="1"/>
  <c r="I94" i="55"/>
  <c r="N14" i="19"/>
  <c r="N91" i="19" s="1"/>
  <c r="I92" i="55"/>
  <c r="M74" i="19"/>
  <c r="M151" i="19" s="1"/>
  <c r="I144" i="54"/>
  <c r="M60" i="19"/>
  <c r="M137" i="19" s="1"/>
  <c r="I132" i="54"/>
  <c r="M666" i="19"/>
  <c r="M743" i="19" s="1"/>
  <c r="M120" i="54"/>
  <c r="M46" i="19"/>
  <c r="M123" i="19" s="1"/>
  <c r="I120" i="54"/>
  <c r="M504" i="19"/>
  <c r="M581" i="19" s="1"/>
  <c r="L114" i="54"/>
  <c r="M652" i="19"/>
  <c r="M729" i="19" s="1"/>
  <c r="M108" i="54"/>
  <c r="M645" i="19"/>
  <c r="M722" i="19" s="1"/>
  <c r="M102" i="54"/>
  <c r="M25" i="19"/>
  <c r="M102" i="19" s="1"/>
  <c r="I102" i="54"/>
  <c r="M483" i="19"/>
  <c r="L96" i="54"/>
  <c r="L81" i="54"/>
  <c r="L20" i="63"/>
  <c r="L152" i="53"/>
  <c r="L35" i="63" s="1"/>
  <c r="L74" i="19"/>
  <c r="L151" i="19" s="1"/>
  <c r="I144" i="53"/>
  <c r="L60" i="19"/>
  <c r="L137" i="19" s="1"/>
  <c r="I132" i="53"/>
  <c r="L666" i="19"/>
  <c r="L743" i="19" s="1"/>
  <c r="M120" i="53"/>
  <c r="L46" i="19"/>
  <c r="L123" i="19" s="1"/>
  <c r="I120" i="53"/>
  <c r="L504" i="19"/>
  <c r="L581" i="19" s="1"/>
  <c r="L114" i="53"/>
  <c r="L645" i="19"/>
  <c r="L722" i="19" s="1"/>
  <c r="M102" i="53"/>
  <c r="L25" i="19"/>
  <c r="L102" i="19" s="1"/>
  <c r="I102" i="53"/>
  <c r="N19" i="63"/>
  <c r="N152" i="52"/>
  <c r="N34" i="63" s="1"/>
  <c r="J19" i="63"/>
  <c r="J152" i="52"/>
  <c r="J34" i="63" s="1"/>
  <c r="M128" i="16"/>
  <c r="K227" i="63"/>
  <c r="K59" i="63"/>
  <c r="K74" i="63" s="1"/>
  <c r="I573" i="33" s="1"/>
  <c r="K81" i="19"/>
  <c r="K158" i="19" s="1"/>
  <c r="I160" i="63"/>
  <c r="I150" i="52"/>
  <c r="K156" i="19"/>
  <c r="J79" i="19"/>
  <c r="I124" i="16"/>
  <c r="I190" i="16" s="1"/>
  <c r="M122" i="16"/>
  <c r="K122" i="16"/>
  <c r="K147" i="19"/>
  <c r="J70" i="19"/>
  <c r="M116" i="16"/>
  <c r="K215" i="63"/>
  <c r="K57" i="63"/>
  <c r="K72" i="63" s="1"/>
  <c r="I477" i="33" s="1"/>
  <c r="K67" i="19"/>
  <c r="K144" i="19" s="1"/>
  <c r="I148" i="63"/>
  <c r="I138" i="52"/>
  <c r="K142" i="19"/>
  <c r="J65" i="19"/>
  <c r="M110" i="16"/>
  <c r="K209" i="63"/>
  <c r="K56" i="63"/>
  <c r="K71" i="63" s="1"/>
  <c r="I429" i="33" s="1"/>
  <c r="K110" i="16"/>
  <c r="M104" i="16"/>
  <c r="K203" i="63"/>
  <c r="K55" i="63"/>
  <c r="K70" i="63" s="1"/>
  <c r="I381" i="33" s="1"/>
  <c r="K53" i="19"/>
  <c r="K130" i="19" s="1"/>
  <c r="I136" i="63"/>
  <c r="I126" i="52"/>
  <c r="K128" i="19"/>
  <c r="J51" i="19"/>
  <c r="I100" i="16"/>
  <c r="I166" i="16" s="1"/>
  <c r="K98" i="16"/>
  <c r="K130" i="63"/>
  <c r="K356" i="19"/>
  <c r="K433" i="19" s="1"/>
  <c r="K120" i="52"/>
  <c r="K430" i="19"/>
  <c r="J353" i="19"/>
  <c r="K739" i="19"/>
  <c r="J662" i="19"/>
  <c r="I126" i="63"/>
  <c r="I193" i="63" s="1"/>
  <c r="I94" i="16"/>
  <c r="I160" i="16" s="1"/>
  <c r="K814" i="19"/>
  <c r="K891" i="19" s="1"/>
  <c r="N92" i="16"/>
  <c r="N124" i="63"/>
  <c r="N114" i="52"/>
  <c r="J92" i="16"/>
  <c r="J124" i="63"/>
  <c r="K194" i="19"/>
  <c r="K271" i="19" s="1"/>
  <c r="J114" i="52"/>
  <c r="J811" i="19"/>
  <c r="K888" i="19"/>
  <c r="K577" i="19"/>
  <c r="J500" i="19"/>
  <c r="K886" i="19"/>
  <c r="J809" i="19"/>
  <c r="K107" i="19"/>
  <c r="J30" i="19"/>
  <c r="K880" i="19"/>
  <c r="J803" i="19"/>
  <c r="K570" i="19"/>
  <c r="J493" i="19"/>
  <c r="K260" i="19"/>
  <c r="J183" i="19"/>
  <c r="K569" i="19"/>
  <c r="J492" i="19"/>
  <c r="K259" i="19"/>
  <c r="J182" i="19"/>
  <c r="K645" i="19"/>
  <c r="K722" i="19" s="1"/>
  <c r="M112" i="63"/>
  <c r="M80" i="16"/>
  <c r="M102" i="52"/>
  <c r="K25" i="19"/>
  <c r="K102" i="19" s="1"/>
  <c r="I102" i="52"/>
  <c r="K100" i="19"/>
  <c r="J23" i="19"/>
  <c r="K719" i="19"/>
  <c r="J642" i="19"/>
  <c r="K409" i="19"/>
  <c r="J332" i="19"/>
  <c r="I77" i="16"/>
  <c r="I143" i="16" s="1"/>
  <c r="K99" i="19"/>
  <c r="J331" i="19"/>
  <c r="K408" i="19"/>
  <c r="K98" i="19"/>
  <c r="K717" i="19"/>
  <c r="J640" i="19"/>
  <c r="I75" i="16"/>
  <c r="K97" i="19"/>
  <c r="L74" i="16"/>
  <c r="K560" i="19"/>
  <c r="K250" i="19"/>
  <c r="K94" i="19"/>
  <c r="J17" i="19"/>
  <c r="J326" i="19"/>
  <c r="K403" i="19"/>
  <c r="K93" i="19"/>
  <c r="K712" i="19"/>
  <c r="J635" i="19"/>
  <c r="K402" i="19"/>
  <c r="J325" i="19"/>
  <c r="K92" i="19"/>
  <c r="K401" i="19"/>
  <c r="J324" i="19"/>
  <c r="K91" i="19"/>
  <c r="K710" i="19"/>
  <c r="J633" i="19"/>
  <c r="K90" i="19"/>
  <c r="H81" i="19"/>
  <c r="H158" i="19" s="1"/>
  <c r="I151" i="62"/>
  <c r="H67" i="19"/>
  <c r="H144" i="19" s="1"/>
  <c r="I139" i="62"/>
  <c r="H53" i="19"/>
  <c r="H130" i="19" s="1"/>
  <c r="I127" i="62"/>
  <c r="H356" i="19"/>
  <c r="H433" i="19" s="1"/>
  <c r="K121" i="62"/>
  <c r="I337" i="33" s="1"/>
  <c r="H504" i="19"/>
  <c r="H581" i="19" s="1"/>
  <c r="L115" i="62"/>
  <c r="J289" i="33" s="1"/>
  <c r="H652" i="19"/>
  <c r="H729" i="19" s="1"/>
  <c r="M109" i="62"/>
  <c r="K241" i="33" s="1"/>
  <c r="H32" i="19"/>
  <c r="H109" i="19" s="1"/>
  <c r="I109" i="62"/>
  <c r="H335" i="19"/>
  <c r="H412" i="19" s="1"/>
  <c r="K103" i="62"/>
  <c r="I194" i="33" s="1"/>
  <c r="H483" i="19"/>
  <c r="L97" i="62"/>
  <c r="J147" i="33" s="1"/>
  <c r="L82" i="62"/>
  <c r="L154" i="62" s="1"/>
  <c r="C9" i="48" s="1"/>
  <c r="AC392" i="19"/>
  <c r="AC469" i="19" s="1"/>
  <c r="Y857" i="19"/>
  <c r="Y934" i="19" s="1"/>
  <c r="Y547" i="19"/>
  <c r="Y624" i="19" s="1"/>
  <c r="W237" i="19"/>
  <c r="W314" i="19" s="1"/>
  <c r="I102" i="37"/>
  <c r="V25" i="19" s="1"/>
  <c r="V102" i="19" s="1"/>
  <c r="G179" i="33"/>
  <c r="V702" i="19"/>
  <c r="V779" i="19" s="1"/>
  <c r="V715" i="19"/>
  <c r="V392" i="19"/>
  <c r="V469" i="19" s="1"/>
  <c r="V405" i="19"/>
  <c r="U932" i="19"/>
  <c r="J855" i="19"/>
  <c r="U622" i="19"/>
  <c r="J545" i="19"/>
  <c r="U930" i="19"/>
  <c r="J853" i="19"/>
  <c r="U620" i="19"/>
  <c r="J543" i="19"/>
  <c r="U928" i="19"/>
  <c r="J851" i="19"/>
  <c r="U618" i="19"/>
  <c r="J541" i="19"/>
  <c r="J211" i="19"/>
  <c r="J215" i="19" s="1"/>
  <c r="J292" i="19" s="1"/>
  <c r="U741" i="19"/>
  <c r="J664" i="19"/>
  <c r="U431" i="19"/>
  <c r="J354" i="19"/>
  <c r="J192" i="19"/>
  <c r="U269" i="19"/>
  <c r="N19" i="15"/>
  <c r="N152" i="14"/>
  <c r="J19" i="15"/>
  <c r="J152" i="14"/>
  <c r="I150" i="14"/>
  <c r="U81" i="19" s="1"/>
  <c r="U158" i="19" s="1"/>
  <c r="G561" i="33"/>
  <c r="I138" i="14"/>
  <c r="U67" i="19" s="1"/>
  <c r="U144" i="19" s="1"/>
  <c r="G465" i="33"/>
  <c r="I126" i="14"/>
  <c r="U53" i="19" s="1"/>
  <c r="U130" i="19" s="1"/>
  <c r="G369" i="33"/>
  <c r="I114" i="14"/>
  <c r="U39" i="19" s="1"/>
  <c r="U116" i="19" s="1"/>
  <c r="G273" i="33"/>
  <c r="I102" i="14"/>
  <c r="U25" i="19" s="1"/>
  <c r="U102" i="19" s="1"/>
  <c r="G178" i="33"/>
  <c r="M28" i="63"/>
  <c r="M152" i="61"/>
  <c r="M43" i="63" s="1"/>
  <c r="N27" i="63"/>
  <c r="N152" i="60"/>
  <c r="N42" i="63" s="1"/>
  <c r="J27" i="63"/>
  <c r="J152" i="60"/>
  <c r="J42" i="63" s="1"/>
  <c r="S81" i="19"/>
  <c r="S158" i="19" s="1"/>
  <c r="I150" i="60"/>
  <c r="S67" i="19"/>
  <c r="S144" i="19" s="1"/>
  <c r="I138" i="60"/>
  <c r="S53" i="19"/>
  <c r="S130" i="19" s="1"/>
  <c r="I126" i="60"/>
  <c r="S39" i="19"/>
  <c r="S116" i="19" s="1"/>
  <c r="I114" i="60"/>
  <c r="S25" i="19"/>
  <c r="S102" i="19" s="1"/>
  <c r="I102" i="60"/>
  <c r="K81" i="59"/>
  <c r="R511" i="19"/>
  <c r="R588" i="19" s="1"/>
  <c r="L120" i="59"/>
  <c r="R659" i="19"/>
  <c r="R736" i="19" s="1"/>
  <c r="M114" i="59"/>
  <c r="R39" i="19"/>
  <c r="R116" i="19" s="1"/>
  <c r="I114" i="59"/>
  <c r="R490" i="19"/>
  <c r="R567" i="19" s="1"/>
  <c r="L102" i="59"/>
  <c r="Q511" i="19"/>
  <c r="Q588" i="19" s="1"/>
  <c r="L120" i="58"/>
  <c r="Q659" i="19"/>
  <c r="Q736" i="19" s="1"/>
  <c r="M114" i="58"/>
  <c r="Q39" i="19"/>
  <c r="Q116" i="19" s="1"/>
  <c r="I114" i="58"/>
  <c r="Q490" i="19"/>
  <c r="Q567" i="19" s="1"/>
  <c r="L102" i="58"/>
  <c r="P821" i="19"/>
  <c r="P898" i="19" s="1"/>
  <c r="N120" i="57"/>
  <c r="P201" i="19"/>
  <c r="P278" i="19" s="1"/>
  <c r="J120" i="57"/>
  <c r="P349" i="19"/>
  <c r="P426" i="19" s="1"/>
  <c r="K114" i="57"/>
  <c r="P807" i="19"/>
  <c r="P884" i="19" s="1"/>
  <c r="N108" i="57"/>
  <c r="P187" i="19"/>
  <c r="P264" i="19" s="1"/>
  <c r="J108" i="57"/>
  <c r="P490" i="19"/>
  <c r="P567" i="19" s="1"/>
  <c r="L102" i="57"/>
  <c r="P638" i="19"/>
  <c r="M96" i="57"/>
  <c r="M81" i="57"/>
  <c r="O81" i="19"/>
  <c r="O158" i="19" s="1"/>
  <c r="I150" i="56"/>
  <c r="O67" i="19"/>
  <c r="O144" i="19" s="1"/>
  <c r="I138" i="56"/>
  <c r="O53" i="19"/>
  <c r="O130" i="19" s="1"/>
  <c r="I126" i="56"/>
  <c r="O356" i="19"/>
  <c r="O433" i="19" s="1"/>
  <c r="K120" i="56"/>
  <c r="O42" i="19"/>
  <c r="O119" i="19" s="1"/>
  <c r="I116" i="56"/>
  <c r="O814" i="19"/>
  <c r="O891" i="19" s="1"/>
  <c r="N114" i="56"/>
  <c r="O194" i="19"/>
  <c r="O271" i="19" s="1"/>
  <c r="J114" i="56"/>
  <c r="O342" i="19"/>
  <c r="O419" i="19" s="1"/>
  <c r="K108" i="56"/>
  <c r="O645" i="19"/>
  <c r="M102" i="56"/>
  <c r="O22" i="19"/>
  <c r="O99" i="19" s="1"/>
  <c r="I99" i="56"/>
  <c r="O20" i="19"/>
  <c r="O97" i="19" s="1"/>
  <c r="I97" i="56"/>
  <c r="I31" i="56"/>
  <c r="O483" i="19"/>
  <c r="L96" i="56"/>
  <c r="L81" i="56"/>
  <c r="O16" i="19"/>
  <c r="O93" i="19" s="1"/>
  <c r="I94" i="56"/>
  <c r="O14" i="19"/>
  <c r="O91" i="19" s="1"/>
  <c r="I92" i="56"/>
  <c r="N821" i="19"/>
  <c r="N898" i="19" s="1"/>
  <c r="N120" i="55"/>
  <c r="N201" i="19"/>
  <c r="N278" i="19" s="1"/>
  <c r="J120" i="55"/>
  <c r="N349" i="19"/>
  <c r="N426" i="19" s="1"/>
  <c r="K114" i="55"/>
  <c r="N800" i="19"/>
  <c r="N877" i="19" s="1"/>
  <c r="N102" i="55"/>
  <c r="N180" i="19"/>
  <c r="N257" i="19" s="1"/>
  <c r="J102" i="55"/>
  <c r="N328" i="19"/>
  <c r="K96" i="55"/>
  <c r="K81" i="55"/>
  <c r="M821" i="19"/>
  <c r="M898" i="19" s="1"/>
  <c r="N120" i="54"/>
  <c r="M201" i="19"/>
  <c r="M278" i="19" s="1"/>
  <c r="J120" i="54"/>
  <c r="M349" i="19"/>
  <c r="M426" i="19" s="1"/>
  <c r="K114" i="54"/>
  <c r="M35" i="19"/>
  <c r="M112" i="19" s="1"/>
  <c r="I110" i="54"/>
  <c r="M807" i="19"/>
  <c r="M884" i="19" s="1"/>
  <c r="N108" i="54"/>
  <c r="M187" i="19"/>
  <c r="M264" i="19" s="1"/>
  <c r="J108" i="54"/>
  <c r="M27" i="19"/>
  <c r="M104" i="19" s="1"/>
  <c r="I37" i="54"/>
  <c r="I103" i="54"/>
  <c r="M490" i="19"/>
  <c r="M567" i="19" s="1"/>
  <c r="L102" i="54"/>
  <c r="M638" i="19"/>
  <c r="M96" i="54"/>
  <c r="M81" i="54"/>
  <c r="M18" i="19"/>
  <c r="I96" i="54"/>
  <c r="L511" i="19"/>
  <c r="L588" i="19" s="1"/>
  <c r="L120" i="53"/>
  <c r="L659" i="19"/>
  <c r="L736" i="19" s="1"/>
  <c r="M114" i="53"/>
  <c r="L36" i="19"/>
  <c r="L113" i="19" s="1"/>
  <c r="I111" i="53"/>
  <c r="L34" i="19"/>
  <c r="L111" i="19" s="1"/>
  <c r="I109" i="53"/>
  <c r="I43" i="53"/>
  <c r="L497" i="19"/>
  <c r="L574" i="19" s="1"/>
  <c r="L108" i="53"/>
  <c r="L28" i="19"/>
  <c r="L105" i="19" s="1"/>
  <c r="I104" i="53"/>
  <c r="L800" i="19"/>
  <c r="N102" i="53"/>
  <c r="L180" i="19"/>
  <c r="J102" i="53"/>
  <c r="L328" i="19"/>
  <c r="K96" i="53"/>
  <c r="K81" i="53"/>
  <c r="N128" i="16"/>
  <c r="L59" i="63"/>
  <c r="L74" i="63" s="1"/>
  <c r="J573" i="33" s="1"/>
  <c r="L227" i="63"/>
  <c r="J59" i="63"/>
  <c r="J74" i="63" s="1"/>
  <c r="H573" i="33" s="1"/>
  <c r="J227" i="63"/>
  <c r="K157" i="19"/>
  <c r="J80" i="19"/>
  <c r="I123" i="16"/>
  <c r="I189" i="16" s="1"/>
  <c r="K153" i="19"/>
  <c r="J76" i="19"/>
  <c r="N221" i="63"/>
  <c r="N58" i="63"/>
  <c r="N73" i="63" s="1"/>
  <c r="L525" i="33" s="1"/>
  <c r="L122" i="16"/>
  <c r="J122" i="16"/>
  <c r="K150" i="19"/>
  <c r="J73" i="19"/>
  <c r="K146" i="19"/>
  <c r="J69" i="19"/>
  <c r="N116" i="16"/>
  <c r="L57" i="63"/>
  <c r="L72" i="63" s="1"/>
  <c r="J477" i="33" s="1"/>
  <c r="L215" i="63"/>
  <c r="K143" i="19"/>
  <c r="J66" i="19"/>
  <c r="I111" i="16"/>
  <c r="I177" i="16" s="1"/>
  <c r="K139" i="19"/>
  <c r="J62" i="19"/>
  <c r="N209" i="63"/>
  <c r="N56" i="63"/>
  <c r="N71" i="63" s="1"/>
  <c r="L429" i="33" s="1"/>
  <c r="L110" i="16"/>
  <c r="J110" i="16"/>
  <c r="K136" i="19"/>
  <c r="J59" i="19"/>
  <c r="K132" i="19"/>
  <c r="J55" i="19"/>
  <c r="N104" i="16"/>
  <c r="L55" i="63"/>
  <c r="L70" i="63" s="1"/>
  <c r="J381" i="33" s="1"/>
  <c r="L203" i="63"/>
  <c r="J55" i="63"/>
  <c r="J70" i="63" s="1"/>
  <c r="H381" i="33" s="1"/>
  <c r="J203" i="63"/>
  <c r="K129" i="19"/>
  <c r="J52" i="19"/>
  <c r="I99" i="16"/>
  <c r="I165" i="16" s="1"/>
  <c r="K125" i="19"/>
  <c r="J48" i="19"/>
  <c r="K511" i="19"/>
  <c r="K588" i="19" s="1"/>
  <c r="L130" i="63"/>
  <c r="L98" i="16"/>
  <c r="L120" i="52"/>
  <c r="K122" i="19"/>
  <c r="J45" i="19"/>
  <c r="K585" i="19"/>
  <c r="J508" i="19"/>
  <c r="K275" i="19"/>
  <c r="J198" i="19"/>
  <c r="K894" i="19"/>
  <c r="J817" i="19"/>
  <c r="K274" i="19"/>
  <c r="J197" i="19"/>
  <c r="K583" i="19"/>
  <c r="J506" i="19"/>
  <c r="K273" i="19"/>
  <c r="J196" i="19"/>
  <c r="K659" i="19"/>
  <c r="K736" i="19" s="1"/>
  <c r="M124" i="63"/>
  <c r="M92" i="16"/>
  <c r="M114" i="52"/>
  <c r="K423" i="19"/>
  <c r="J346" i="19"/>
  <c r="K732" i="19"/>
  <c r="J655" i="19"/>
  <c r="I120" i="63"/>
  <c r="I187" i="63" s="1"/>
  <c r="K35" i="19"/>
  <c r="I88" i="16"/>
  <c r="I154" i="16" s="1"/>
  <c r="I110" i="52"/>
  <c r="K108" i="19"/>
  <c r="J31" i="19"/>
  <c r="K725" i="19"/>
  <c r="J648" i="19"/>
  <c r="K724" i="19"/>
  <c r="J647" i="19"/>
  <c r="K27" i="19"/>
  <c r="I81" i="16"/>
  <c r="I147" i="16" s="1"/>
  <c r="I113" i="63"/>
  <c r="I180" i="63" s="1"/>
  <c r="I37" i="52"/>
  <c r="I103" i="52"/>
  <c r="K490" i="19"/>
  <c r="K567" i="19" s="1"/>
  <c r="L80" i="16"/>
  <c r="L112" i="63"/>
  <c r="L102" i="52"/>
  <c r="K101" i="19"/>
  <c r="J24" i="19"/>
  <c r="J487" i="19"/>
  <c r="K564" i="19"/>
  <c r="K873" i="19"/>
  <c r="J796" i="19"/>
  <c r="J176" i="19"/>
  <c r="K253" i="19"/>
  <c r="N141" i="16"/>
  <c r="N50" i="16"/>
  <c r="K562" i="19"/>
  <c r="J485" i="19"/>
  <c r="K252" i="19"/>
  <c r="J175" i="19"/>
  <c r="K638" i="19"/>
  <c r="M74" i="16"/>
  <c r="M106" i="63"/>
  <c r="M96" i="52"/>
  <c r="M81" i="52"/>
  <c r="K18" i="19"/>
  <c r="I96" i="52"/>
  <c r="K558" i="19"/>
  <c r="J481" i="19"/>
  <c r="K867" i="19"/>
  <c r="J790" i="19"/>
  <c r="K556" i="19"/>
  <c r="J479" i="19"/>
  <c r="N135" i="16"/>
  <c r="N52" i="16"/>
  <c r="N60" i="16" s="1"/>
  <c r="K865" i="19"/>
  <c r="J788" i="19"/>
  <c r="H821" i="19"/>
  <c r="H898" i="19" s="1"/>
  <c r="N121" i="62"/>
  <c r="L337" i="33" s="1"/>
  <c r="H201" i="19"/>
  <c r="H278" i="19" s="1"/>
  <c r="J121" i="62"/>
  <c r="H337" i="33" s="1"/>
  <c r="H659" i="19"/>
  <c r="H736" i="19" s="1"/>
  <c r="M115" i="62"/>
  <c r="K289" i="33" s="1"/>
  <c r="H39" i="19"/>
  <c r="H116" i="19" s="1"/>
  <c r="I115" i="62"/>
  <c r="H35" i="19"/>
  <c r="I111" i="62"/>
  <c r="H807" i="19"/>
  <c r="H884" i="19" s="1"/>
  <c r="N109" i="62"/>
  <c r="L241" i="33" s="1"/>
  <c r="H187" i="19"/>
  <c r="H264" i="19" s="1"/>
  <c r="J109" i="62"/>
  <c r="H241" i="33" s="1"/>
  <c r="H28" i="19"/>
  <c r="I105" i="62"/>
  <c r="H800" i="19"/>
  <c r="H877" i="19" s="1"/>
  <c r="N103" i="62"/>
  <c r="L194" i="33" s="1"/>
  <c r="H180" i="19"/>
  <c r="H257" i="19" s="1"/>
  <c r="J103" i="62"/>
  <c r="H194" i="33" s="1"/>
  <c r="H638" i="19"/>
  <c r="M97" i="62"/>
  <c r="K147" i="33" s="1"/>
  <c r="M82" i="62"/>
  <c r="M154" i="62" s="1"/>
  <c r="C10" i="48" s="1"/>
  <c r="K105" i="19"/>
  <c r="I82" i="16"/>
  <c r="I148" i="16" s="1"/>
  <c r="U237" i="19"/>
  <c r="U314" i="19" s="1"/>
  <c r="L86" i="16"/>
  <c r="J572" i="33"/>
  <c r="I524" i="33"/>
  <c r="J476" i="33"/>
  <c r="I428" i="33"/>
  <c r="I380" i="33"/>
  <c r="I925" i="19"/>
  <c r="N144" i="17"/>
  <c r="N210" i="17" s="1"/>
  <c r="I923" i="19"/>
  <c r="N142" i="17"/>
  <c r="N208" i="17" s="1"/>
  <c r="I921" i="19"/>
  <c r="N140" i="17"/>
  <c r="I909" i="19"/>
  <c r="N130" i="17"/>
  <c r="N196" i="17" s="1"/>
  <c r="I907" i="19"/>
  <c r="I835" i="19"/>
  <c r="N128" i="17"/>
  <c r="J889" i="19"/>
  <c r="I812" i="19"/>
  <c r="I883" i="19"/>
  <c r="N108" i="17"/>
  <c r="N174" i="17" s="1"/>
  <c r="J924" i="19"/>
  <c r="I847" i="19"/>
  <c r="J922" i="19"/>
  <c r="I845" i="19"/>
  <c r="J910" i="19"/>
  <c r="I833" i="19"/>
  <c r="J908" i="19"/>
  <c r="I831" i="19"/>
  <c r="J896" i="19"/>
  <c r="I819" i="19"/>
  <c r="J917" i="19"/>
  <c r="I840" i="19"/>
  <c r="J915" i="19"/>
  <c r="I838" i="19"/>
  <c r="I881" i="19"/>
  <c r="N106" i="17"/>
  <c r="N172" i="17" s="1"/>
  <c r="J875" i="19"/>
  <c r="I798" i="19"/>
  <c r="J777" i="19"/>
  <c r="I700" i="19"/>
  <c r="J775" i="19"/>
  <c r="I698" i="19"/>
  <c r="J701" i="19"/>
  <c r="J778" i="19" s="1"/>
  <c r="J773" i="19"/>
  <c r="I696" i="19"/>
  <c r="J770" i="19"/>
  <c r="I693" i="19"/>
  <c r="J768" i="19"/>
  <c r="I691" i="19"/>
  <c r="J766" i="19"/>
  <c r="I689" i="19"/>
  <c r="J763" i="19"/>
  <c r="I686" i="19"/>
  <c r="J761" i="19"/>
  <c r="I684" i="19"/>
  <c r="J687" i="19"/>
  <c r="J764" i="19" s="1"/>
  <c r="J759" i="19"/>
  <c r="I682" i="19"/>
  <c r="J756" i="19"/>
  <c r="I679" i="19"/>
  <c r="J754" i="19"/>
  <c r="I677" i="19"/>
  <c r="J680" i="19"/>
  <c r="J757" i="19" s="1"/>
  <c r="J752" i="19"/>
  <c r="I675" i="19"/>
  <c r="J749" i="19"/>
  <c r="I672" i="19"/>
  <c r="J747" i="19"/>
  <c r="I670" i="19"/>
  <c r="J673" i="19"/>
  <c r="J750" i="19" s="1"/>
  <c r="J745" i="19"/>
  <c r="I668" i="19"/>
  <c r="J742" i="19"/>
  <c r="I665" i="19"/>
  <c r="J735" i="19"/>
  <c r="I658" i="19"/>
  <c r="J903" i="19"/>
  <c r="I826" i="19"/>
  <c r="J901" i="19"/>
  <c r="I824" i="19"/>
  <c r="J882" i="19"/>
  <c r="I805" i="19"/>
  <c r="I734" i="19"/>
  <c r="M113" i="17"/>
  <c r="M179" i="17" s="1"/>
  <c r="J721" i="19"/>
  <c r="I644" i="19"/>
  <c r="J931" i="19"/>
  <c r="I854" i="19"/>
  <c r="J929" i="19"/>
  <c r="I852" i="19"/>
  <c r="I762" i="19"/>
  <c r="M137" i="17"/>
  <c r="M203" i="17" s="1"/>
  <c r="I760" i="19"/>
  <c r="M135" i="17"/>
  <c r="M201" i="17" s="1"/>
  <c r="I615" i="19"/>
  <c r="L144" i="17"/>
  <c r="L210" i="17" s="1"/>
  <c r="I613" i="19"/>
  <c r="L142" i="17"/>
  <c r="L208" i="17" s="1"/>
  <c r="I539" i="19"/>
  <c r="I611" i="19"/>
  <c r="L140" i="17"/>
  <c r="I601" i="19"/>
  <c r="L132" i="17"/>
  <c r="L198" i="17" s="1"/>
  <c r="I599" i="19"/>
  <c r="L130" i="17"/>
  <c r="L196" i="17" s="1"/>
  <c r="I597" i="19"/>
  <c r="L128" i="17"/>
  <c r="I587" i="19"/>
  <c r="L120" i="17"/>
  <c r="L186" i="17" s="1"/>
  <c r="J579" i="19"/>
  <c r="I502" i="19"/>
  <c r="I573" i="19"/>
  <c r="L108" i="17"/>
  <c r="L174" i="17" s="1"/>
  <c r="I571" i="19"/>
  <c r="L106" i="17"/>
  <c r="L172" i="17" s="1"/>
  <c r="J565" i="19"/>
  <c r="I488" i="19"/>
  <c r="I390" i="19"/>
  <c r="J467" i="19"/>
  <c r="J465" i="19"/>
  <c r="I388" i="19"/>
  <c r="J391" i="19"/>
  <c r="J468" i="19" s="1"/>
  <c r="I386" i="19"/>
  <c r="J463" i="19"/>
  <c r="J460" i="19"/>
  <c r="I383" i="19"/>
  <c r="J458" i="19"/>
  <c r="I381" i="19"/>
  <c r="J456" i="19"/>
  <c r="I379" i="19"/>
  <c r="I376" i="19"/>
  <c r="J453" i="19"/>
  <c r="J451" i="19"/>
  <c r="I374" i="19"/>
  <c r="J377" i="19"/>
  <c r="J454" i="19" s="1"/>
  <c r="I372" i="19"/>
  <c r="J449" i="19"/>
  <c r="J446" i="19"/>
  <c r="I369" i="19"/>
  <c r="J444" i="19"/>
  <c r="I367" i="19"/>
  <c r="J370" i="19"/>
  <c r="J447" i="19" s="1"/>
  <c r="J442" i="19"/>
  <c r="I365" i="19"/>
  <c r="I362" i="19"/>
  <c r="J439" i="19"/>
  <c r="J437" i="19"/>
  <c r="I360" i="19"/>
  <c r="J363" i="19"/>
  <c r="J440" i="19" s="1"/>
  <c r="I358" i="19"/>
  <c r="J435" i="19"/>
  <c r="J432" i="19"/>
  <c r="I355" i="19"/>
  <c r="J425" i="19"/>
  <c r="I348" i="19"/>
  <c r="J418" i="19"/>
  <c r="I341" i="19"/>
  <c r="J416" i="19"/>
  <c r="I339" i="19"/>
  <c r="I776" i="19"/>
  <c r="M149" i="17"/>
  <c r="M215" i="17" s="1"/>
  <c r="I774" i="19"/>
  <c r="M147" i="17"/>
  <c r="M213" i="17" s="1"/>
  <c r="J728" i="19"/>
  <c r="I651" i="19"/>
  <c r="I649" i="19"/>
  <c r="J726" i="19"/>
  <c r="I720" i="19"/>
  <c r="M101" i="17"/>
  <c r="M167" i="17" s="1"/>
  <c r="J621" i="19"/>
  <c r="I544" i="19"/>
  <c r="I542" i="19"/>
  <c r="J619" i="19"/>
  <c r="J607" i="19"/>
  <c r="I530" i="19"/>
  <c r="I528" i="19"/>
  <c r="J605" i="19"/>
  <c r="J593" i="19"/>
  <c r="I516" i="19"/>
  <c r="I514" i="19"/>
  <c r="J591" i="19"/>
  <c r="I424" i="19"/>
  <c r="K113" i="17"/>
  <c r="K179" i="17" s="1"/>
  <c r="J586" i="19"/>
  <c r="I509" i="19"/>
  <c r="J572" i="19"/>
  <c r="I495" i="19"/>
  <c r="J312" i="19"/>
  <c r="I235" i="19"/>
  <c r="J310" i="19"/>
  <c r="I233" i="19"/>
  <c r="J303" i="19"/>
  <c r="I226" i="19"/>
  <c r="J229" i="19"/>
  <c r="J306" i="19" s="1"/>
  <c r="J301" i="19"/>
  <c r="I224" i="19"/>
  <c r="J298" i="19"/>
  <c r="I221" i="19"/>
  <c r="J296" i="19"/>
  <c r="I219" i="19"/>
  <c r="J294" i="19"/>
  <c r="I217" i="19"/>
  <c r="J291" i="19"/>
  <c r="I214" i="19"/>
  <c r="J270" i="19"/>
  <c r="I193" i="19"/>
  <c r="J263" i="19"/>
  <c r="I186" i="19"/>
  <c r="I227" i="15"/>
  <c r="I160" i="15" s="1"/>
  <c r="I59" i="15" s="1"/>
  <c r="I155" i="15"/>
  <c r="I73" i="15"/>
  <c r="I179" i="15"/>
  <c r="I112" i="15" s="1"/>
  <c r="I51" i="15" s="1"/>
  <c r="I107" i="15"/>
  <c r="I106" i="15"/>
  <c r="I50" i="15" s="1"/>
  <c r="I138" i="46"/>
  <c r="AD67" i="19" s="1"/>
  <c r="AD144" i="19" s="1"/>
  <c r="G474" i="33"/>
  <c r="I120" i="46"/>
  <c r="AD46" i="19" s="1"/>
  <c r="AD123" i="19" s="1"/>
  <c r="G330" i="33"/>
  <c r="I108" i="46"/>
  <c r="AD32" i="19" s="1"/>
  <c r="AD109" i="19" s="1"/>
  <c r="G234" i="33"/>
  <c r="AD702" i="19"/>
  <c r="AD779" i="19" s="1"/>
  <c r="AD715" i="19"/>
  <c r="AD392" i="19"/>
  <c r="AD469" i="19" s="1"/>
  <c r="AD405" i="19"/>
  <c r="AB702" i="19"/>
  <c r="AB779" i="19" s="1"/>
  <c r="AA857" i="19"/>
  <c r="AA934" i="19" s="1"/>
  <c r="AA870" i="19"/>
  <c r="AA547" i="19"/>
  <c r="AA624" i="19" s="1"/>
  <c r="AA560" i="19"/>
  <c r="AA250" i="19"/>
  <c r="AA237" i="19"/>
  <c r="AA314" i="19" s="1"/>
  <c r="X857" i="19"/>
  <c r="X934" i="19" s="1"/>
  <c r="X237" i="19"/>
  <c r="X314" i="19" s="1"/>
  <c r="I138" i="40"/>
  <c r="X67" i="19" s="1"/>
  <c r="X144" i="19" s="1"/>
  <c r="G468" i="33"/>
  <c r="I114" i="40"/>
  <c r="X39" i="19" s="1"/>
  <c r="X116" i="19" s="1"/>
  <c r="G276" i="33"/>
  <c r="W702" i="19"/>
  <c r="W779" i="19" s="1"/>
  <c r="V857" i="19"/>
  <c r="V934" i="19" s="1"/>
  <c r="V547" i="19"/>
  <c r="V624" i="19" s="1"/>
  <c r="V237" i="19"/>
  <c r="V314" i="19" s="1"/>
  <c r="I138" i="37"/>
  <c r="V67" i="19" s="1"/>
  <c r="V144" i="19" s="1"/>
  <c r="G466" i="33"/>
  <c r="I114" i="37"/>
  <c r="V39" i="19" s="1"/>
  <c r="V116" i="19" s="1"/>
  <c r="G274" i="33"/>
  <c r="J600" i="19"/>
  <c r="I523" i="19"/>
  <c r="I521" i="19"/>
  <c r="I525" i="19" s="1"/>
  <c r="J598" i="19"/>
  <c r="K125" i="17"/>
  <c r="K191" i="17" s="1"/>
  <c r="I438" i="19"/>
  <c r="I436" i="19"/>
  <c r="K123" i="17"/>
  <c r="K189" i="17" s="1"/>
  <c r="J411" i="19"/>
  <c r="I334" i="19"/>
  <c r="I227" i="19"/>
  <c r="I185" i="19"/>
  <c r="J249" i="19"/>
  <c r="I172" i="19"/>
  <c r="I215" i="15"/>
  <c r="I148" i="15" s="1"/>
  <c r="I57" i="15" s="1"/>
  <c r="I143" i="15"/>
  <c r="I71" i="15"/>
  <c r="N229" i="15"/>
  <c r="J229" i="15"/>
  <c r="I150" i="45"/>
  <c r="AC81" i="19" s="1"/>
  <c r="AC158" i="19" s="1"/>
  <c r="G569" i="33"/>
  <c r="I138" i="45"/>
  <c r="AC67" i="19" s="1"/>
  <c r="AC144" i="19" s="1"/>
  <c r="G473" i="33"/>
  <c r="I126" i="45"/>
  <c r="AC53" i="19" s="1"/>
  <c r="AC130" i="19" s="1"/>
  <c r="G377" i="33"/>
  <c r="I114" i="45"/>
  <c r="AC39" i="19" s="1"/>
  <c r="AC116" i="19" s="1"/>
  <c r="G281" i="33"/>
  <c r="I102" i="45"/>
  <c r="AC25" i="19" s="1"/>
  <c r="G186" i="33"/>
  <c r="N27" i="15"/>
  <c r="N42" i="15" s="1"/>
  <c r="N152" i="45"/>
  <c r="L27" i="15"/>
  <c r="L42" i="15" s="1"/>
  <c r="L152" i="45"/>
  <c r="J27" i="15"/>
  <c r="J152" i="45"/>
  <c r="I81" i="44"/>
  <c r="I152" i="44" s="1"/>
  <c r="AB870" i="19"/>
  <c r="AB857" i="19"/>
  <c r="AB934" i="19" s="1"/>
  <c r="AB560" i="19"/>
  <c r="AB547" i="19"/>
  <c r="AB624" i="19" s="1"/>
  <c r="AB237" i="19"/>
  <c r="AB314" i="19" s="1"/>
  <c r="AB250" i="19"/>
  <c r="Z547" i="19"/>
  <c r="Z624" i="19" s="1"/>
  <c r="I144" i="42"/>
  <c r="Z74" i="19" s="1"/>
  <c r="Z151" i="19" s="1"/>
  <c r="G518" i="33"/>
  <c r="I132" i="42"/>
  <c r="Z60" i="19" s="1"/>
  <c r="Z137" i="19" s="1"/>
  <c r="G422" i="33"/>
  <c r="I114" i="42"/>
  <c r="Z39" i="19" s="1"/>
  <c r="Z116" i="19" s="1"/>
  <c r="G278" i="33"/>
  <c r="M152" i="42"/>
  <c r="M24" i="15"/>
  <c r="M39" i="15" s="1"/>
  <c r="K152" i="42"/>
  <c r="K24" i="15"/>
  <c r="I96" i="42"/>
  <c r="Z18" i="19" s="1"/>
  <c r="I81" i="42"/>
  <c r="I152" i="42" s="1"/>
  <c r="G136" i="33"/>
  <c r="N23" i="15"/>
  <c r="N38" i="15" s="1"/>
  <c r="N152" i="41"/>
  <c r="J23" i="15"/>
  <c r="J152" i="41"/>
  <c r="I150" i="41"/>
  <c r="Y81" i="19" s="1"/>
  <c r="Y158" i="19" s="1"/>
  <c r="G565" i="33"/>
  <c r="I138" i="41"/>
  <c r="Y67" i="19" s="1"/>
  <c r="Y144" i="19" s="1"/>
  <c r="G469" i="33"/>
  <c r="I126" i="41"/>
  <c r="Y53" i="19" s="1"/>
  <c r="Y130" i="19" s="1"/>
  <c r="G373" i="33"/>
  <c r="I114" i="41"/>
  <c r="Y39" i="19" s="1"/>
  <c r="Y116" i="19" s="1"/>
  <c r="G277" i="33"/>
  <c r="I102" i="41"/>
  <c r="Y25" i="19" s="1"/>
  <c r="Y102" i="19" s="1"/>
  <c r="G182" i="33"/>
  <c r="M22" i="15"/>
  <c r="M37" i="15" s="1"/>
  <c r="M152" i="40"/>
  <c r="N21" i="15"/>
  <c r="N36" i="15" s="1"/>
  <c r="N152" i="38"/>
  <c r="J21" i="15"/>
  <c r="J152" i="38"/>
  <c r="I150" i="38"/>
  <c r="W81" i="19" s="1"/>
  <c r="W158" i="19" s="1"/>
  <c r="G563" i="33"/>
  <c r="I138" i="38"/>
  <c r="W67" i="19" s="1"/>
  <c r="W144" i="19" s="1"/>
  <c r="G467" i="33"/>
  <c r="I126" i="38"/>
  <c r="W53" i="19" s="1"/>
  <c r="W130" i="19" s="1"/>
  <c r="G371" i="33"/>
  <c r="I114" i="38"/>
  <c r="W39" i="19" s="1"/>
  <c r="W116" i="19" s="1"/>
  <c r="G275" i="33"/>
  <c r="I102" i="38"/>
  <c r="W25" i="19" s="1"/>
  <c r="W102" i="19" s="1"/>
  <c r="G180" i="33"/>
  <c r="AC702" i="19"/>
  <c r="AC779" i="19" s="1"/>
  <c r="Y392" i="19"/>
  <c r="Y469" i="19" s="1"/>
  <c r="X547" i="19"/>
  <c r="X624" i="19" s="1"/>
  <c r="I81" i="40"/>
  <c r="I152" i="40" s="1"/>
  <c r="U918" i="19"/>
  <c r="J841" i="19"/>
  <c r="U608" i="19"/>
  <c r="J531" i="19"/>
  <c r="U916" i="19"/>
  <c r="J839" i="19"/>
  <c r="U606" i="19"/>
  <c r="J529" i="19"/>
  <c r="U914" i="19"/>
  <c r="J837" i="19"/>
  <c r="U604" i="19"/>
  <c r="J527" i="19"/>
  <c r="U727" i="19"/>
  <c r="J650" i="19"/>
  <c r="U417" i="19"/>
  <c r="J340" i="19"/>
  <c r="U255" i="19"/>
  <c r="J178" i="19"/>
  <c r="K19" i="15"/>
  <c r="K152" i="14"/>
  <c r="L28" i="63"/>
  <c r="L152" i="61"/>
  <c r="L43" i="63" s="1"/>
  <c r="T74" i="19"/>
  <c r="T151" i="19" s="1"/>
  <c r="I144" i="61"/>
  <c r="T60" i="19"/>
  <c r="T137" i="19" s="1"/>
  <c r="I132" i="61"/>
  <c r="T46" i="19"/>
  <c r="T123" i="19" s="1"/>
  <c r="I120" i="61"/>
  <c r="T32" i="19"/>
  <c r="T109" i="19" s="1"/>
  <c r="I108" i="61"/>
  <c r="T18" i="19"/>
  <c r="I96" i="61"/>
  <c r="I81" i="61"/>
  <c r="I152" i="61" s="1"/>
  <c r="K27" i="63"/>
  <c r="K152" i="60"/>
  <c r="K42" i="63" s="1"/>
  <c r="R81" i="19"/>
  <c r="R158" i="19" s="1"/>
  <c r="I150" i="59"/>
  <c r="R67" i="19"/>
  <c r="R144" i="19" s="1"/>
  <c r="I138" i="59"/>
  <c r="R53" i="19"/>
  <c r="R130" i="19" s="1"/>
  <c r="I126" i="59"/>
  <c r="R356" i="19"/>
  <c r="R433" i="19" s="1"/>
  <c r="K120" i="59"/>
  <c r="R42" i="19"/>
  <c r="R119" i="19" s="1"/>
  <c r="I116" i="59"/>
  <c r="R814" i="19"/>
  <c r="R891" i="19" s="1"/>
  <c r="N114" i="59"/>
  <c r="R194" i="19"/>
  <c r="R271" i="19" s="1"/>
  <c r="J114" i="59"/>
  <c r="R342" i="19"/>
  <c r="R419" i="19" s="1"/>
  <c r="K108" i="59"/>
  <c r="R645" i="19"/>
  <c r="M102" i="59"/>
  <c r="R22" i="19"/>
  <c r="R99" i="19" s="1"/>
  <c r="I99" i="59"/>
  <c r="R20" i="19"/>
  <c r="R97" i="19" s="1"/>
  <c r="I97" i="59"/>
  <c r="I31" i="59"/>
  <c r="R483" i="19"/>
  <c r="L96" i="59"/>
  <c r="L81" i="59"/>
  <c r="R16" i="19"/>
  <c r="R93" i="19" s="1"/>
  <c r="I94" i="59"/>
  <c r="R14" i="19"/>
  <c r="R91" i="19" s="1"/>
  <c r="I92" i="59"/>
  <c r="Q74" i="19"/>
  <c r="Q151" i="19" s="1"/>
  <c r="I144" i="58"/>
  <c r="Q60" i="19"/>
  <c r="Q137" i="19" s="1"/>
  <c r="I132" i="58"/>
  <c r="Q666" i="19"/>
  <c r="Q743" i="19" s="1"/>
  <c r="M120" i="58"/>
  <c r="Q43" i="19"/>
  <c r="Q120" i="19" s="1"/>
  <c r="I117" i="58"/>
  <c r="Q41" i="19"/>
  <c r="Q118" i="19" s="1"/>
  <c r="I49" i="58"/>
  <c r="I115" i="58"/>
  <c r="Q504" i="19"/>
  <c r="Q581" i="19" s="1"/>
  <c r="L114" i="58"/>
  <c r="Q652" i="19"/>
  <c r="Q729" i="19" s="1"/>
  <c r="M108" i="58"/>
  <c r="Q32" i="19"/>
  <c r="Q109" i="19" s="1"/>
  <c r="I108" i="58"/>
  <c r="Q335" i="19"/>
  <c r="K102" i="58"/>
  <c r="Q21" i="19"/>
  <c r="Q98" i="19" s="1"/>
  <c r="I98" i="58"/>
  <c r="Q793" i="19"/>
  <c r="N96" i="58"/>
  <c r="N81" i="58"/>
  <c r="Q173" i="19"/>
  <c r="J96" i="58"/>
  <c r="J81" i="58"/>
  <c r="Q15" i="19"/>
  <c r="Q92" i="19" s="1"/>
  <c r="I93" i="58"/>
  <c r="Q13" i="19"/>
  <c r="Q90" i="19" s="1"/>
  <c r="I91" i="58"/>
  <c r="I25" i="58"/>
  <c r="P74" i="19"/>
  <c r="P151" i="19" s="1"/>
  <c r="I144" i="57"/>
  <c r="P60" i="19"/>
  <c r="P137" i="19" s="1"/>
  <c r="I132" i="57"/>
  <c r="P666" i="19"/>
  <c r="P743" i="19" s="1"/>
  <c r="M120" i="57"/>
  <c r="P43" i="19"/>
  <c r="P120" i="19" s="1"/>
  <c r="I117" i="57"/>
  <c r="P41" i="19"/>
  <c r="P118" i="19" s="1"/>
  <c r="I49" i="57"/>
  <c r="I115" i="57"/>
  <c r="P504" i="19"/>
  <c r="P581" i="19" s="1"/>
  <c r="L114" i="57"/>
  <c r="P652" i="19"/>
  <c r="P729" i="19" s="1"/>
  <c r="M108" i="57"/>
  <c r="P32" i="19"/>
  <c r="P109" i="19" s="1"/>
  <c r="I108" i="57"/>
  <c r="P335" i="19"/>
  <c r="P412" i="19" s="1"/>
  <c r="K102" i="57"/>
  <c r="P21" i="19"/>
  <c r="P98" i="19" s="1"/>
  <c r="I98" i="57"/>
  <c r="P793" i="19"/>
  <c r="N96" i="57"/>
  <c r="N81" i="57"/>
  <c r="P173" i="19"/>
  <c r="J96" i="57"/>
  <c r="J81" i="57"/>
  <c r="P15" i="19"/>
  <c r="P92" i="19" s="1"/>
  <c r="I93" i="57"/>
  <c r="P13" i="19"/>
  <c r="P90" i="19" s="1"/>
  <c r="I91" i="57"/>
  <c r="I25" i="57"/>
  <c r="M81" i="56"/>
  <c r="O821" i="19"/>
  <c r="O898" i="19" s="1"/>
  <c r="N120" i="56"/>
  <c r="O201" i="19"/>
  <c r="O278" i="19" s="1"/>
  <c r="J120" i="56"/>
  <c r="O349" i="19"/>
  <c r="O426" i="19" s="1"/>
  <c r="K114" i="56"/>
  <c r="O800" i="19"/>
  <c r="O877" i="19" s="1"/>
  <c r="N102" i="56"/>
  <c r="O180" i="19"/>
  <c r="O257" i="19" s="1"/>
  <c r="J102" i="56"/>
  <c r="N74" i="19"/>
  <c r="N151" i="19" s="1"/>
  <c r="I144" i="55"/>
  <c r="N60" i="19"/>
  <c r="N137" i="19" s="1"/>
  <c r="I132" i="55"/>
  <c r="N666" i="19"/>
  <c r="N743" i="19" s="1"/>
  <c r="M120" i="55"/>
  <c r="N43" i="19"/>
  <c r="N120" i="19" s="1"/>
  <c r="I117" i="55"/>
  <c r="N41" i="19"/>
  <c r="N118" i="19" s="1"/>
  <c r="I49" i="55"/>
  <c r="I115" i="55"/>
  <c r="N504" i="19"/>
  <c r="N581" i="19" s="1"/>
  <c r="L114" i="55"/>
  <c r="N652" i="19"/>
  <c r="N729" i="19" s="1"/>
  <c r="M108" i="55"/>
  <c r="N32" i="19"/>
  <c r="N109" i="19" s="1"/>
  <c r="I108" i="55"/>
  <c r="N335" i="19"/>
  <c r="N412" i="19" s="1"/>
  <c r="K102" i="55"/>
  <c r="N21" i="19"/>
  <c r="N98" i="19" s="1"/>
  <c r="I98" i="55"/>
  <c r="N793" i="19"/>
  <c r="N96" i="55"/>
  <c r="N81" i="55"/>
  <c r="N173" i="19"/>
  <c r="J96" i="55"/>
  <c r="J81" i="55"/>
  <c r="N15" i="19"/>
  <c r="N92" i="19" s="1"/>
  <c r="I93" i="55"/>
  <c r="N13" i="19"/>
  <c r="N90" i="19" s="1"/>
  <c r="I91" i="55"/>
  <c r="I25" i="55"/>
  <c r="I106" i="63" s="1"/>
  <c r="M81" i="19"/>
  <c r="M158" i="19" s="1"/>
  <c r="I150" i="54"/>
  <c r="M67" i="19"/>
  <c r="M144" i="19" s="1"/>
  <c r="I138" i="54"/>
  <c r="M53" i="19"/>
  <c r="M130" i="19" s="1"/>
  <c r="I126" i="54"/>
  <c r="M356" i="19"/>
  <c r="M433" i="19" s="1"/>
  <c r="K120" i="54"/>
  <c r="M814" i="19"/>
  <c r="M891" i="19" s="1"/>
  <c r="N114" i="54"/>
  <c r="M194" i="19"/>
  <c r="M271" i="19" s="1"/>
  <c r="J114" i="54"/>
  <c r="M342" i="19"/>
  <c r="M419" i="19" s="1"/>
  <c r="K108" i="54"/>
  <c r="M335" i="19"/>
  <c r="M412" i="19" s="1"/>
  <c r="K102" i="54"/>
  <c r="M793" i="19"/>
  <c r="N96" i="54"/>
  <c r="N81" i="54"/>
  <c r="M173" i="19"/>
  <c r="J96" i="54"/>
  <c r="J81" i="54"/>
  <c r="J162" i="63" s="1"/>
  <c r="N20" i="63"/>
  <c r="N152" i="53"/>
  <c r="N35" i="63" s="1"/>
  <c r="J20" i="63"/>
  <c r="J152" i="53"/>
  <c r="J35" i="63" s="1"/>
  <c r="L81" i="19"/>
  <c r="L158" i="19" s="1"/>
  <c r="I150" i="53"/>
  <c r="L67" i="19"/>
  <c r="L144" i="19" s="1"/>
  <c r="I138" i="53"/>
  <c r="L53" i="19"/>
  <c r="L130" i="19" s="1"/>
  <c r="I126" i="53"/>
  <c r="L356" i="19"/>
  <c r="L433" i="19" s="1"/>
  <c r="K120" i="53"/>
  <c r="L814" i="19"/>
  <c r="L891" i="19" s="1"/>
  <c r="N114" i="53"/>
  <c r="L194" i="19"/>
  <c r="L271" i="19" s="1"/>
  <c r="J114" i="53"/>
  <c r="L335" i="19"/>
  <c r="L412" i="19" s="1"/>
  <c r="K102" i="53"/>
  <c r="L162" i="63"/>
  <c r="L19" i="63"/>
  <c r="L152" i="52"/>
  <c r="L34" i="63" s="1"/>
  <c r="M227" i="63"/>
  <c r="M59" i="63"/>
  <c r="M74" i="63" s="1"/>
  <c r="K573" i="33" s="1"/>
  <c r="K128" i="16"/>
  <c r="K154" i="19"/>
  <c r="J77" i="19"/>
  <c r="M221" i="63"/>
  <c r="M58" i="63"/>
  <c r="M73" i="63" s="1"/>
  <c r="K525" i="33" s="1"/>
  <c r="K221" i="63"/>
  <c r="K58" i="63"/>
  <c r="K73" i="63" s="1"/>
  <c r="I525" i="33" s="1"/>
  <c r="K74" i="19"/>
  <c r="K151" i="19" s="1"/>
  <c r="I154" i="63"/>
  <c r="I144" i="52"/>
  <c r="K149" i="19"/>
  <c r="J72" i="19"/>
  <c r="I118" i="16"/>
  <c r="I184" i="16" s="1"/>
  <c r="M215" i="63"/>
  <c r="M57" i="63"/>
  <c r="M72" i="63" s="1"/>
  <c r="K477" i="33" s="1"/>
  <c r="K116" i="16"/>
  <c r="K140" i="19"/>
  <c r="J63" i="19"/>
  <c r="M209" i="63"/>
  <c r="M56" i="63"/>
  <c r="M71" i="63" s="1"/>
  <c r="K429" i="33" s="1"/>
  <c r="K60" i="19"/>
  <c r="K137" i="19" s="1"/>
  <c r="I142" i="63"/>
  <c r="I132" i="52"/>
  <c r="K135" i="19"/>
  <c r="J58" i="19"/>
  <c r="K133" i="19"/>
  <c r="J56" i="19"/>
  <c r="I106" i="16"/>
  <c r="I172" i="16" s="1"/>
  <c r="M203" i="63"/>
  <c r="M55" i="63"/>
  <c r="M70" i="63" s="1"/>
  <c r="K381" i="33" s="1"/>
  <c r="K104" i="16"/>
  <c r="K126" i="19"/>
  <c r="J49" i="19"/>
  <c r="M98" i="16"/>
  <c r="K666" i="19"/>
  <c r="K743" i="19" s="1"/>
  <c r="M130" i="63"/>
  <c r="M120" i="52"/>
  <c r="K46" i="19"/>
  <c r="K123" i="19" s="1"/>
  <c r="I120" i="52"/>
  <c r="K121" i="19"/>
  <c r="J44" i="19"/>
  <c r="K740" i="19"/>
  <c r="J663" i="19"/>
  <c r="I127" i="63"/>
  <c r="I194" i="63" s="1"/>
  <c r="K120" i="19"/>
  <c r="K429" i="19"/>
  <c r="J352" i="19"/>
  <c r="K119" i="19"/>
  <c r="J42" i="19"/>
  <c r="K738" i="19"/>
  <c r="J661" i="19"/>
  <c r="K428" i="19"/>
  <c r="J351" i="19"/>
  <c r="I125" i="63"/>
  <c r="I192" i="63" s="1"/>
  <c r="K118" i="19"/>
  <c r="K504" i="19"/>
  <c r="K581" i="19" s="1"/>
  <c r="L92" i="16"/>
  <c r="L124" i="63"/>
  <c r="L114" i="52"/>
  <c r="K115" i="19"/>
  <c r="J38" i="19"/>
  <c r="J501" i="19"/>
  <c r="K578" i="19"/>
  <c r="K268" i="19"/>
  <c r="J191" i="19"/>
  <c r="K887" i="19"/>
  <c r="J810" i="19"/>
  <c r="K267" i="19"/>
  <c r="J190" i="19"/>
  <c r="K576" i="19"/>
  <c r="J499" i="19"/>
  <c r="K266" i="19"/>
  <c r="J189" i="19"/>
  <c r="M118" i="63"/>
  <c r="M86" i="16"/>
  <c r="K118" i="63"/>
  <c r="K879" i="19"/>
  <c r="J802" i="19"/>
  <c r="K335" i="19"/>
  <c r="K412" i="19" s="1"/>
  <c r="K112" i="63"/>
  <c r="K80" i="16"/>
  <c r="K102" i="52"/>
  <c r="I109" i="63"/>
  <c r="I176" i="63" s="1"/>
  <c r="J641" i="19"/>
  <c r="K718" i="19"/>
  <c r="I76" i="16"/>
  <c r="I108" i="63"/>
  <c r="K407" i="19"/>
  <c r="J330" i="19"/>
  <c r="I107" i="63"/>
  <c r="N74" i="16"/>
  <c r="K870" i="19"/>
  <c r="L106" i="63"/>
  <c r="J74" i="16"/>
  <c r="J106" i="63"/>
  <c r="K713" i="19"/>
  <c r="J636" i="19"/>
  <c r="I104" i="63"/>
  <c r="I171" i="63" s="1"/>
  <c r="I72" i="16"/>
  <c r="I138" i="16" s="1"/>
  <c r="I71" i="16"/>
  <c r="I137" i="16" s="1"/>
  <c r="K711" i="19"/>
  <c r="J634" i="19"/>
  <c r="I102" i="63"/>
  <c r="I169" i="63" s="1"/>
  <c r="I70" i="16"/>
  <c r="I136" i="16" s="1"/>
  <c r="K400" i="19"/>
  <c r="J323" i="19"/>
  <c r="I69" i="16"/>
  <c r="G529" i="33"/>
  <c r="G433" i="33"/>
  <c r="H74" i="19"/>
  <c r="H151" i="19" s="1"/>
  <c r="I145" i="62"/>
  <c r="H60" i="19"/>
  <c r="H137" i="19" s="1"/>
  <c r="I133" i="62"/>
  <c r="H666" i="19"/>
  <c r="H743" i="19" s="1"/>
  <c r="M121" i="62"/>
  <c r="K337" i="33" s="1"/>
  <c r="H814" i="19"/>
  <c r="H891" i="19" s="1"/>
  <c r="N115" i="62"/>
  <c r="L289" i="33" s="1"/>
  <c r="H194" i="19"/>
  <c r="H271" i="19" s="1"/>
  <c r="J115" i="62"/>
  <c r="H289" i="33" s="1"/>
  <c r="H342" i="19"/>
  <c r="H419" i="19" s="1"/>
  <c r="K109" i="62"/>
  <c r="I241" i="33" s="1"/>
  <c r="H645" i="19"/>
  <c r="H722" i="19" s="1"/>
  <c r="M103" i="62"/>
  <c r="K194" i="33" s="1"/>
  <c r="H793" i="19"/>
  <c r="N97" i="62"/>
  <c r="L147" i="33" s="1"/>
  <c r="N82" i="62"/>
  <c r="N154" i="62" s="1"/>
  <c r="C11" i="48" s="1"/>
  <c r="H173" i="19"/>
  <c r="J97" i="62"/>
  <c r="H147" i="33" s="1"/>
  <c r="J82" i="62"/>
  <c r="J154" i="62" s="1"/>
  <c r="C7" i="48" s="1"/>
  <c r="Y237" i="19"/>
  <c r="Y314" i="19" s="1"/>
  <c r="X702" i="19"/>
  <c r="X779" i="19" s="1"/>
  <c r="X392" i="19"/>
  <c r="X469" i="19" s="1"/>
  <c r="W857" i="19"/>
  <c r="W934" i="19" s="1"/>
  <c r="W547" i="19"/>
  <c r="W624" i="19" s="1"/>
  <c r="I108" i="37"/>
  <c r="V32" i="19" s="1"/>
  <c r="V109" i="19" s="1"/>
  <c r="G226" i="33"/>
  <c r="M20" i="15"/>
  <c r="M35" i="15" s="1"/>
  <c r="M152" i="37"/>
  <c r="K20" i="15"/>
  <c r="K152" i="37"/>
  <c r="I96" i="37"/>
  <c r="V18" i="19" s="1"/>
  <c r="I81" i="37"/>
  <c r="I152" i="37" s="1"/>
  <c r="G132" i="33"/>
  <c r="U769" i="19"/>
  <c r="J692" i="19"/>
  <c r="U459" i="19"/>
  <c r="J382" i="19"/>
  <c r="J690" i="19"/>
  <c r="U767" i="19"/>
  <c r="J380" i="19"/>
  <c r="U457" i="19"/>
  <c r="J220" i="19"/>
  <c r="U297" i="19"/>
  <c r="U295" i="19"/>
  <c r="J218" i="19"/>
  <c r="U904" i="19"/>
  <c r="J827" i="19"/>
  <c r="U594" i="19"/>
  <c r="J517" i="19"/>
  <c r="U902" i="19"/>
  <c r="J825" i="19"/>
  <c r="U592" i="19"/>
  <c r="J515" i="19"/>
  <c r="U900" i="19"/>
  <c r="J823" i="19"/>
  <c r="U590" i="19"/>
  <c r="J513" i="19"/>
  <c r="U876" i="19"/>
  <c r="J799" i="19"/>
  <c r="J489" i="19"/>
  <c r="U566" i="19"/>
  <c r="U410" i="19"/>
  <c r="J333" i="19"/>
  <c r="U869" i="19"/>
  <c r="J792" i="19"/>
  <c r="U559" i="19"/>
  <c r="J482" i="19"/>
  <c r="L19" i="15"/>
  <c r="L152" i="14"/>
  <c r="L130" i="16" s="1"/>
  <c r="L196" i="16" s="1"/>
  <c r="I144" i="14"/>
  <c r="U74" i="19" s="1"/>
  <c r="U151" i="19" s="1"/>
  <c r="G513" i="33"/>
  <c r="G523" i="33" s="1"/>
  <c r="I132" i="14"/>
  <c r="U60" i="19" s="1"/>
  <c r="U137" i="19" s="1"/>
  <c r="G417" i="33"/>
  <c r="G427" i="33" s="1"/>
  <c r="I120" i="14"/>
  <c r="U46" i="19" s="1"/>
  <c r="U123" i="19" s="1"/>
  <c r="G321" i="33"/>
  <c r="G331" i="33" s="1"/>
  <c r="I108" i="14"/>
  <c r="U32" i="19" s="1"/>
  <c r="U109" i="19" s="1"/>
  <c r="G225" i="33"/>
  <c r="G235" i="33" s="1"/>
  <c r="I96" i="14"/>
  <c r="U18" i="19" s="1"/>
  <c r="I81" i="14"/>
  <c r="I152" i="14" s="1"/>
  <c r="G131" i="33"/>
  <c r="G141" i="33" s="1"/>
  <c r="K28" i="63"/>
  <c r="K152" i="61"/>
  <c r="K43" i="63" s="1"/>
  <c r="L27" i="63"/>
  <c r="L152" i="60"/>
  <c r="L42" i="63" s="1"/>
  <c r="S74" i="19"/>
  <c r="S151" i="19" s="1"/>
  <c r="I144" i="60"/>
  <c r="S60" i="19"/>
  <c r="S137" i="19" s="1"/>
  <c r="I132" i="60"/>
  <c r="S46" i="19"/>
  <c r="S123" i="19" s="1"/>
  <c r="I120" i="60"/>
  <c r="S32" i="19"/>
  <c r="S109" i="19" s="1"/>
  <c r="I108" i="60"/>
  <c r="S18" i="19"/>
  <c r="I96" i="60"/>
  <c r="I81" i="60"/>
  <c r="I152" i="60" s="1"/>
  <c r="M81" i="59"/>
  <c r="R821" i="19"/>
  <c r="R898" i="19" s="1"/>
  <c r="N120" i="59"/>
  <c r="R201" i="19"/>
  <c r="R278" i="19" s="1"/>
  <c r="J120" i="59"/>
  <c r="R349" i="19"/>
  <c r="R426" i="19" s="1"/>
  <c r="K114" i="59"/>
  <c r="R800" i="19"/>
  <c r="R877" i="19" s="1"/>
  <c r="N102" i="59"/>
  <c r="R180" i="19"/>
  <c r="R257" i="19" s="1"/>
  <c r="J102" i="59"/>
  <c r="M81" i="58"/>
  <c r="Q821" i="19"/>
  <c r="Q898" i="19" s="1"/>
  <c r="N120" i="58"/>
  <c r="Q201" i="19"/>
  <c r="Q278" i="19" s="1"/>
  <c r="J120" i="58"/>
  <c r="Q349" i="19"/>
  <c r="Q426" i="19" s="1"/>
  <c r="K114" i="58"/>
  <c r="Q800" i="19"/>
  <c r="Q877" i="19" s="1"/>
  <c r="N102" i="58"/>
  <c r="Q180" i="19"/>
  <c r="Q257" i="19" s="1"/>
  <c r="J102" i="58"/>
  <c r="P511" i="19"/>
  <c r="P588" i="19" s="1"/>
  <c r="L120" i="57"/>
  <c r="P659" i="19"/>
  <c r="P736" i="19" s="1"/>
  <c r="M114" i="57"/>
  <c r="P39" i="19"/>
  <c r="P116" i="19" s="1"/>
  <c r="I114" i="57"/>
  <c r="P497" i="19"/>
  <c r="P574" i="19" s="1"/>
  <c r="L108" i="57"/>
  <c r="P800" i="19"/>
  <c r="P877" i="19" s="1"/>
  <c r="N102" i="57"/>
  <c r="P180" i="19"/>
  <c r="P257" i="19" s="1"/>
  <c r="J102" i="57"/>
  <c r="P328" i="19"/>
  <c r="K96" i="57"/>
  <c r="K81" i="57"/>
  <c r="O74" i="19"/>
  <c r="O151" i="19" s="1"/>
  <c r="I144" i="56"/>
  <c r="O60" i="19"/>
  <c r="O137" i="19" s="1"/>
  <c r="I132" i="56"/>
  <c r="O666" i="19"/>
  <c r="O743" i="19" s="1"/>
  <c r="M120" i="56"/>
  <c r="O43" i="19"/>
  <c r="O120" i="19" s="1"/>
  <c r="I117" i="56"/>
  <c r="O41" i="19"/>
  <c r="O118" i="19" s="1"/>
  <c r="I115" i="56"/>
  <c r="I49" i="56"/>
  <c r="I98" i="16" s="1"/>
  <c r="O504" i="19"/>
  <c r="O581" i="19" s="1"/>
  <c r="L114" i="56"/>
  <c r="O652" i="19"/>
  <c r="O729" i="19" s="1"/>
  <c r="M108" i="56"/>
  <c r="O32" i="19"/>
  <c r="O109" i="19" s="1"/>
  <c r="I108" i="56"/>
  <c r="O335" i="19"/>
  <c r="K102" i="56"/>
  <c r="O21" i="19"/>
  <c r="O98" i="19" s="1"/>
  <c r="I98" i="56"/>
  <c r="O793" i="19"/>
  <c r="N96" i="56"/>
  <c r="N81" i="56"/>
  <c r="O173" i="19"/>
  <c r="J96" i="56"/>
  <c r="J81" i="56"/>
  <c r="O15" i="19"/>
  <c r="O92" i="19" s="1"/>
  <c r="I93" i="56"/>
  <c r="O13" i="19"/>
  <c r="O90" i="19" s="1"/>
  <c r="I91" i="56"/>
  <c r="I25" i="56"/>
  <c r="N511" i="19"/>
  <c r="N588" i="19" s="1"/>
  <c r="L120" i="55"/>
  <c r="N659" i="19"/>
  <c r="N736" i="19" s="1"/>
  <c r="M114" i="55"/>
  <c r="N39" i="19"/>
  <c r="N116" i="19" s="1"/>
  <c r="I114" i="55"/>
  <c r="N490" i="19"/>
  <c r="N567" i="19" s="1"/>
  <c r="L102" i="55"/>
  <c r="N638" i="19"/>
  <c r="M96" i="55"/>
  <c r="M81" i="55"/>
  <c r="M511" i="19"/>
  <c r="M588" i="19" s="1"/>
  <c r="L120" i="54"/>
  <c r="M659" i="19"/>
  <c r="M736" i="19" s="1"/>
  <c r="M114" i="54"/>
  <c r="M36" i="19"/>
  <c r="M113" i="19" s="1"/>
  <c r="I111" i="54"/>
  <c r="M34" i="19"/>
  <c r="M111" i="19" s="1"/>
  <c r="I109" i="54"/>
  <c r="I43" i="54"/>
  <c r="M497" i="19"/>
  <c r="M574" i="19" s="1"/>
  <c r="L108" i="54"/>
  <c r="M28" i="19"/>
  <c r="M105" i="19" s="1"/>
  <c r="I104" i="54"/>
  <c r="M800" i="19"/>
  <c r="M877" i="19" s="1"/>
  <c r="N102" i="54"/>
  <c r="M180" i="19"/>
  <c r="M257" i="19" s="1"/>
  <c r="J102" i="54"/>
  <c r="M328" i="19"/>
  <c r="K96" i="54"/>
  <c r="K81" i="54"/>
  <c r="L821" i="19"/>
  <c r="L898" i="19" s="1"/>
  <c r="N120" i="53"/>
  <c r="L201" i="19"/>
  <c r="L278" i="19" s="1"/>
  <c r="J120" i="53"/>
  <c r="L349" i="19"/>
  <c r="L426" i="19" s="1"/>
  <c r="K114" i="53"/>
  <c r="L35" i="19"/>
  <c r="L112" i="19" s="1"/>
  <c r="I110" i="53"/>
  <c r="L807" i="19"/>
  <c r="L884" i="19" s="1"/>
  <c r="N108" i="53"/>
  <c r="L187" i="19"/>
  <c r="L264" i="19" s="1"/>
  <c r="J108" i="53"/>
  <c r="L27" i="19"/>
  <c r="L104" i="19" s="1"/>
  <c r="I37" i="53"/>
  <c r="I103" i="53"/>
  <c r="L490" i="19"/>
  <c r="L102" i="53"/>
  <c r="L638" i="19"/>
  <c r="M96" i="53"/>
  <c r="M81" i="53"/>
  <c r="L18" i="19"/>
  <c r="I96" i="53"/>
  <c r="I81" i="53"/>
  <c r="I152" i="53" s="1"/>
  <c r="N59" i="63"/>
  <c r="N74" i="63" s="1"/>
  <c r="L573" i="33" s="1"/>
  <c r="N227" i="63"/>
  <c r="L128" i="16"/>
  <c r="J128" i="16"/>
  <c r="K155" i="19"/>
  <c r="J78" i="19"/>
  <c r="N122" i="16"/>
  <c r="L221" i="63"/>
  <c r="L58" i="63"/>
  <c r="L73" i="63" s="1"/>
  <c r="J525" i="33" s="1"/>
  <c r="J221" i="63"/>
  <c r="J58" i="63"/>
  <c r="J73" i="63" s="1"/>
  <c r="H525" i="33" s="1"/>
  <c r="J71" i="19"/>
  <c r="K148" i="19"/>
  <c r="I117" i="16"/>
  <c r="I183" i="16" s="1"/>
  <c r="N57" i="63"/>
  <c r="N72" i="63" s="1"/>
  <c r="L477" i="33" s="1"/>
  <c r="N215" i="63"/>
  <c r="L116" i="16"/>
  <c r="J57" i="63"/>
  <c r="J72" i="63" s="1"/>
  <c r="H477" i="33" s="1"/>
  <c r="J215" i="63"/>
  <c r="J116" i="16"/>
  <c r="K141" i="19"/>
  <c r="J64" i="19"/>
  <c r="N110" i="16"/>
  <c r="L209" i="63"/>
  <c r="L56" i="63"/>
  <c r="L71" i="63" s="1"/>
  <c r="J429" i="33" s="1"/>
  <c r="J209" i="63"/>
  <c r="J56" i="63"/>
  <c r="J71" i="63" s="1"/>
  <c r="H429" i="33" s="1"/>
  <c r="J57" i="19"/>
  <c r="K134" i="19"/>
  <c r="I105" i="16"/>
  <c r="I171" i="16" s="1"/>
  <c r="N55" i="63"/>
  <c r="N70" i="63" s="1"/>
  <c r="L381" i="33" s="1"/>
  <c r="N203" i="63"/>
  <c r="L104" i="16"/>
  <c r="J104" i="16"/>
  <c r="K127" i="19"/>
  <c r="J50" i="19"/>
  <c r="K821" i="19"/>
  <c r="K898" i="19" s="1"/>
  <c r="N130" i="63"/>
  <c r="N98" i="16"/>
  <c r="N120" i="52"/>
  <c r="J130" i="63"/>
  <c r="J98" i="16"/>
  <c r="K201" i="19"/>
  <c r="K278" i="19" s="1"/>
  <c r="J120" i="52"/>
  <c r="K895" i="19"/>
  <c r="J818" i="19"/>
  <c r="K584" i="19"/>
  <c r="J507" i="19"/>
  <c r="K893" i="19"/>
  <c r="J816" i="19"/>
  <c r="K124" i="63"/>
  <c r="K92" i="16"/>
  <c r="K349" i="19"/>
  <c r="K426" i="19" s="1"/>
  <c r="K114" i="52"/>
  <c r="K114" i="19"/>
  <c r="J37" i="19"/>
  <c r="K733" i="19"/>
  <c r="J656" i="19"/>
  <c r="K36" i="19"/>
  <c r="I121" i="63"/>
  <c r="I188" i="63" s="1"/>
  <c r="I89" i="16"/>
  <c r="I155" i="16" s="1"/>
  <c r="I111" i="52"/>
  <c r="J345" i="19"/>
  <c r="K422" i="19"/>
  <c r="K731" i="19"/>
  <c r="J654" i="19"/>
  <c r="K421" i="19"/>
  <c r="J344" i="19"/>
  <c r="K34" i="19"/>
  <c r="I119" i="63"/>
  <c r="I186" i="63" s="1"/>
  <c r="I87" i="16"/>
  <c r="I153" i="16" s="1"/>
  <c r="I109" i="52"/>
  <c r="I43" i="52"/>
  <c r="I81" i="52" s="1"/>
  <c r="J29" i="19"/>
  <c r="K106" i="19"/>
  <c r="K415" i="19"/>
  <c r="J338" i="19"/>
  <c r="K414" i="19"/>
  <c r="J337" i="19"/>
  <c r="K800" i="19"/>
  <c r="K877" i="19" s="1"/>
  <c r="N80" i="16"/>
  <c r="N112" i="63"/>
  <c r="N102" i="52"/>
  <c r="J80" i="16"/>
  <c r="K180" i="19"/>
  <c r="K257" i="19" s="1"/>
  <c r="J112" i="63"/>
  <c r="J102" i="52"/>
  <c r="K874" i="19"/>
  <c r="J797" i="19"/>
  <c r="K254" i="19"/>
  <c r="J177" i="19"/>
  <c r="K563" i="19"/>
  <c r="J486" i="19"/>
  <c r="J51" i="16"/>
  <c r="J59" i="16" s="1"/>
  <c r="J142" i="16"/>
  <c r="K872" i="19"/>
  <c r="J795" i="19"/>
  <c r="K328" i="19"/>
  <c r="K74" i="16"/>
  <c r="K106" i="63"/>
  <c r="K96" i="52"/>
  <c r="K81" i="52"/>
  <c r="K868" i="19"/>
  <c r="J791" i="19"/>
  <c r="K248" i="19"/>
  <c r="J171" i="19"/>
  <c r="J480" i="19"/>
  <c r="K557" i="19"/>
  <c r="K247" i="19"/>
  <c r="J170" i="19"/>
  <c r="K866" i="19"/>
  <c r="J789" i="19"/>
  <c r="K246" i="19"/>
  <c r="J169" i="19"/>
  <c r="N168" i="63"/>
  <c r="N84" i="63"/>
  <c r="N92" i="63" s="1"/>
  <c r="K555" i="19"/>
  <c r="J478" i="19"/>
  <c r="K245" i="19"/>
  <c r="J168" i="19"/>
  <c r="G577" i="33"/>
  <c r="G481" i="33"/>
  <c r="G385" i="33"/>
  <c r="H511" i="19"/>
  <c r="H588" i="19" s="1"/>
  <c r="L121" i="62"/>
  <c r="J337" i="33" s="1"/>
  <c r="H43" i="19"/>
  <c r="I118" i="62"/>
  <c r="H41" i="19"/>
  <c r="I116" i="62"/>
  <c r="I49" i="62"/>
  <c r="H349" i="19"/>
  <c r="H426" i="19" s="1"/>
  <c r="K115" i="62"/>
  <c r="I289" i="33" s="1"/>
  <c r="H497" i="19"/>
  <c r="H574" i="19" s="1"/>
  <c r="L109" i="62"/>
  <c r="J241" i="33" s="1"/>
  <c r="H490" i="19"/>
  <c r="H567" i="19" s="1"/>
  <c r="L103" i="62"/>
  <c r="J194" i="33" s="1"/>
  <c r="H22" i="19"/>
  <c r="I100" i="62"/>
  <c r="H20" i="19"/>
  <c r="I31" i="62"/>
  <c r="I98" i="62"/>
  <c r="H328" i="19"/>
  <c r="K97" i="62"/>
  <c r="I147" i="33" s="1"/>
  <c r="K82" i="62"/>
  <c r="K154" i="62" s="1"/>
  <c r="C8" i="48" s="1"/>
  <c r="H15" i="19"/>
  <c r="I94" i="62"/>
  <c r="H13" i="19"/>
  <c r="I92" i="62"/>
  <c r="I25" i="62"/>
  <c r="U702" i="19"/>
  <c r="U779" i="19" s="1"/>
  <c r="U392" i="19"/>
  <c r="U469" i="19" s="1"/>
  <c r="I114" i="63"/>
  <c r="I181" i="63" s="1"/>
  <c r="K572" i="33"/>
  <c r="I572" i="33"/>
  <c r="L524" i="33"/>
  <c r="J524" i="33"/>
  <c r="H524" i="33"/>
  <c r="K476" i="33"/>
  <c r="I476" i="33"/>
  <c r="L428" i="33"/>
  <c r="J428" i="33"/>
  <c r="H428" i="33"/>
  <c r="L380" i="33"/>
  <c r="J380" i="33"/>
  <c r="H380" i="33"/>
  <c r="U857" i="19"/>
  <c r="U934" i="19" s="1"/>
  <c r="U547" i="19"/>
  <c r="U624" i="19" s="1"/>
  <c r="N118" i="63"/>
  <c r="L118" i="63"/>
  <c r="J86" i="16"/>
  <c r="K85" i="15"/>
  <c r="K93" i="15" s="1"/>
  <c r="K90" i="15"/>
  <c r="L166" i="43"/>
  <c r="L169" i="43" s="1"/>
  <c r="L162" i="43"/>
  <c r="M90" i="15"/>
  <c r="M85" i="15"/>
  <c r="M93" i="15" s="1"/>
  <c r="L85" i="63"/>
  <c r="L93" i="63" s="1"/>
  <c r="L90" i="63"/>
  <c r="K166" i="43"/>
  <c r="K169" i="43" s="1"/>
  <c r="K162" i="43"/>
  <c r="J168" i="41"/>
  <c r="I168" i="41" s="1"/>
  <c r="I161" i="41"/>
  <c r="I160" i="40"/>
  <c r="J167" i="40"/>
  <c r="I167" i="40" s="1"/>
  <c r="M162" i="14"/>
  <c r="M166" i="14"/>
  <c r="M169" i="14" s="1"/>
  <c r="L162" i="14"/>
  <c r="L166" i="14"/>
  <c r="L169" i="14" s="1"/>
  <c r="I160" i="42"/>
  <c r="J167" i="42"/>
  <c r="I167" i="42" s="1"/>
  <c r="I167" i="59"/>
  <c r="J160" i="59"/>
  <c r="I160" i="59" s="1"/>
  <c r="M169" i="58"/>
  <c r="M159" i="58"/>
  <c r="M162" i="58" s="1"/>
  <c r="N169" i="58"/>
  <c r="N159" i="58"/>
  <c r="N162" i="58" s="1"/>
  <c r="N169" i="57"/>
  <c r="N159" i="57"/>
  <c r="N162" i="57" s="1"/>
  <c r="I168" i="56"/>
  <c r="J161" i="56"/>
  <c r="I161" i="56" s="1"/>
  <c r="L159" i="59"/>
  <c r="L162" i="59" s="1"/>
  <c r="L169" i="59"/>
  <c r="K169" i="57"/>
  <c r="K159" i="57"/>
  <c r="K162" i="57" s="1"/>
  <c r="J169" i="56"/>
  <c r="I166" i="56"/>
  <c r="J159" i="56"/>
  <c r="I167" i="55"/>
  <c r="J160" i="55"/>
  <c r="I160" i="55" s="1"/>
  <c r="J162" i="46"/>
  <c r="I159" i="46"/>
  <c r="J166" i="46"/>
  <c r="M162" i="45"/>
  <c r="M166" i="45"/>
  <c r="M169" i="45" s="1"/>
  <c r="N162" i="45"/>
  <c r="N166" i="45"/>
  <c r="N169" i="45" s="1"/>
  <c r="K166" i="41"/>
  <c r="K169" i="41" s="1"/>
  <c r="K162" i="41"/>
  <c r="I159" i="14"/>
  <c r="J166" i="14"/>
  <c r="J162" i="14"/>
  <c r="N159" i="61"/>
  <c r="N162" i="61" s="1"/>
  <c r="N169" i="61"/>
  <c r="M159" i="56"/>
  <c r="M162" i="56" s="1"/>
  <c r="M169" i="56"/>
  <c r="J167" i="38"/>
  <c r="I167" i="38" s="1"/>
  <c r="I160" i="38"/>
  <c r="K162" i="38"/>
  <c r="K166" i="38"/>
  <c r="K169" i="38" s="1"/>
  <c r="J160" i="61"/>
  <c r="I160" i="61" s="1"/>
  <c r="I167" i="61"/>
  <c r="K169" i="54"/>
  <c r="K159" i="54"/>
  <c r="K162" i="54" s="1"/>
  <c r="K159" i="52"/>
  <c r="K162" i="52" s="1"/>
  <c r="K169" i="52"/>
  <c r="I168" i="37"/>
  <c r="K159" i="60"/>
  <c r="K162" i="60" s="1"/>
  <c r="K169" i="60"/>
  <c r="K159" i="59"/>
  <c r="K162" i="59" s="1"/>
  <c r="K169" i="59"/>
  <c r="J169" i="54"/>
  <c r="I166" i="54"/>
  <c r="J159" i="54"/>
  <c r="I168" i="54"/>
  <c r="J161" i="54"/>
  <c r="I161" i="54" s="1"/>
  <c r="M169" i="53"/>
  <c r="M159" i="53"/>
  <c r="M162" i="53" s="1"/>
  <c r="N169" i="53"/>
  <c r="N159" i="53"/>
  <c r="N162" i="53" s="1"/>
  <c r="J169" i="52"/>
  <c r="I166" i="52"/>
  <c r="J159" i="52"/>
  <c r="I168" i="52"/>
  <c r="J161" i="52"/>
  <c r="I161" i="52" s="1"/>
  <c r="L159" i="55"/>
  <c r="L162" i="55" s="1"/>
  <c r="L169" i="55"/>
  <c r="L159" i="52"/>
  <c r="L162" i="52" s="1"/>
  <c r="L169" i="52"/>
  <c r="M162" i="46"/>
  <c r="M166" i="46"/>
  <c r="M169" i="46" s="1"/>
  <c r="M53" i="16"/>
  <c r="M61" i="16" s="1"/>
  <c r="M58" i="16"/>
  <c r="I160" i="43"/>
  <c r="J167" i="43"/>
  <c r="I167" i="43" s="1"/>
  <c r="M90" i="63"/>
  <c r="M85" i="63"/>
  <c r="M93" i="63" s="1"/>
  <c r="K166" i="44"/>
  <c r="K169" i="44" s="1"/>
  <c r="K162" i="44"/>
  <c r="I91" i="15"/>
  <c r="K85" i="63"/>
  <c r="K93" i="63" s="1"/>
  <c r="K90" i="63"/>
  <c r="N162" i="40"/>
  <c r="N166" i="40"/>
  <c r="N169" i="40" s="1"/>
  <c r="J166" i="37"/>
  <c r="J162" i="37"/>
  <c r="I159" i="37"/>
  <c r="L162" i="37"/>
  <c r="L166" i="37"/>
  <c r="L169" i="37" s="1"/>
  <c r="N166" i="14"/>
  <c r="N169" i="14" s="1"/>
  <c r="N162" i="14"/>
  <c r="I167" i="58"/>
  <c r="J160" i="58"/>
  <c r="I160" i="58" s="1"/>
  <c r="I167" i="57"/>
  <c r="J160" i="57"/>
  <c r="I160" i="57" s="1"/>
  <c r="N169" i="55"/>
  <c r="N159" i="55"/>
  <c r="N162" i="55" s="1"/>
  <c r="M159" i="55"/>
  <c r="M162" i="55" s="1"/>
  <c r="M169" i="55"/>
  <c r="I160" i="45"/>
  <c r="J167" i="45"/>
  <c r="I167" i="45" s="1"/>
  <c r="N166" i="37"/>
  <c r="N169" i="37" s="1"/>
  <c r="N162" i="37"/>
  <c r="J162" i="41"/>
  <c r="J166" i="41"/>
  <c r="I159" i="41"/>
  <c r="M166" i="38"/>
  <c r="M169" i="38" s="1"/>
  <c r="M162" i="38"/>
  <c r="M159" i="61"/>
  <c r="M162" i="61" s="1"/>
  <c r="M169" i="61"/>
  <c r="I166" i="60"/>
  <c r="J159" i="60"/>
  <c r="J169" i="60"/>
  <c r="M169" i="60"/>
  <c r="M159" i="60"/>
  <c r="M162" i="60" s="1"/>
  <c r="M169" i="54"/>
  <c r="M159" i="54"/>
  <c r="M162" i="54" s="1"/>
  <c r="N169" i="54"/>
  <c r="N159" i="54"/>
  <c r="N162" i="54" s="1"/>
  <c r="I167" i="53"/>
  <c r="J160" i="53"/>
  <c r="I160" i="53" s="1"/>
  <c r="M169" i="52"/>
  <c r="M159" i="52"/>
  <c r="M162" i="52" s="1"/>
  <c r="N169" i="52"/>
  <c r="N159" i="52"/>
  <c r="N162" i="52" s="1"/>
  <c r="I171" i="62"/>
  <c r="H168" i="62"/>
  <c r="I161" i="62"/>
  <c r="H170" i="62"/>
  <c r="I163" i="62"/>
  <c r="H163" i="62" s="1"/>
  <c r="M162" i="44"/>
  <c r="M166" i="44"/>
  <c r="M169" i="44" s="1"/>
  <c r="L90" i="15"/>
  <c r="L85" i="15"/>
  <c r="L93" i="15" s="1"/>
  <c r="I159" i="44"/>
  <c r="M162" i="41"/>
  <c r="M166" i="41"/>
  <c r="M169" i="41" s="1"/>
  <c r="I161" i="40"/>
  <c r="J168" i="40"/>
  <c r="I168" i="40" s="1"/>
  <c r="L169" i="61"/>
  <c r="L159" i="61"/>
  <c r="L162" i="61" s="1"/>
  <c r="M166" i="40"/>
  <c r="M169" i="40" s="1"/>
  <c r="M162" i="40"/>
  <c r="K162" i="37"/>
  <c r="K166" i="37"/>
  <c r="K169" i="37" s="1"/>
  <c r="J159" i="61"/>
  <c r="J169" i="61"/>
  <c r="I166" i="61"/>
  <c r="J169" i="59"/>
  <c r="I166" i="59"/>
  <c r="J159" i="59"/>
  <c r="I168" i="59"/>
  <c r="J161" i="59"/>
  <c r="I161" i="59" s="1"/>
  <c r="L159" i="57"/>
  <c r="L162" i="57" s="1"/>
  <c r="L169" i="57"/>
  <c r="L159" i="58"/>
  <c r="L162" i="58" s="1"/>
  <c r="L169" i="58"/>
  <c r="I167" i="56"/>
  <c r="J160" i="56"/>
  <c r="I160" i="56" s="1"/>
  <c r="I168" i="55"/>
  <c r="J161" i="55"/>
  <c r="I161" i="55" s="1"/>
  <c r="J169" i="55"/>
  <c r="I166" i="55"/>
  <c r="J159" i="55"/>
  <c r="N162" i="46"/>
  <c r="N166" i="46"/>
  <c r="N169" i="46" s="1"/>
  <c r="I161" i="46"/>
  <c r="J168" i="46"/>
  <c r="I168" i="46" s="1"/>
  <c r="L166" i="46"/>
  <c r="L169" i="46" s="1"/>
  <c r="L162" i="46"/>
  <c r="L166" i="45"/>
  <c r="L169" i="45" s="1"/>
  <c r="L162" i="45"/>
  <c r="L166" i="42"/>
  <c r="L169" i="42" s="1"/>
  <c r="L162" i="42"/>
  <c r="L166" i="40"/>
  <c r="L169" i="40" s="1"/>
  <c r="L162" i="40"/>
  <c r="I161" i="14"/>
  <c r="J168" i="14"/>
  <c r="I168" i="14" s="1"/>
  <c r="J161" i="61"/>
  <c r="I161" i="61" s="1"/>
  <c r="I168" i="61"/>
  <c r="K166" i="42"/>
  <c r="K169" i="42" s="1"/>
  <c r="K162" i="42"/>
  <c r="N162" i="41"/>
  <c r="N166" i="41"/>
  <c r="N169" i="41" s="1"/>
  <c r="K162" i="40"/>
  <c r="K166" i="40"/>
  <c r="K169" i="40" s="1"/>
  <c r="J166" i="38"/>
  <c r="J162" i="38"/>
  <c r="I159" i="38"/>
  <c r="J168" i="38"/>
  <c r="I168" i="38" s="1"/>
  <c r="I161" i="38"/>
  <c r="J167" i="37"/>
  <c r="I167" i="37" s="1"/>
  <c r="I160" i="37"/>
  <c r="K159" i="53"/>
  <c r="K162" i="53" s="1"/>
  <c r="K169" i="53"/>
  <c r="J161" i="62"/>
  <c r="J164" i="62" s="1"/>
  <c r="J171" i="62"/>
  <c r="I168" i="60"/>
  <c r="J161" i="60"/>
  <c r="I161" i="60" s="1"/>
  <c r="L169" i="60"/>
  <c r="L159" i="60"/>
  <c r="L162" i="60" s="1"/>
  <c r="I167" i="54"/>
  <c r="J160" i="54"/>
  <c r="I160" i="54" s="1"/>
  <c r="I167" i="52"/>
  <c r="J160" i="52"/>
  <c r="I160" i="52" s="1"/>
  <c r="M171" i="62"/>
  <c r="M161" i="62"/>
  <c r="M164" i="62" s="1"/>
  <c r="L159" i="53"/>
  <c r="L162" i="53" s="1"/>
  <c r="L169" i="53"/>
  <c r="K161" i="62"/>
  <c r="K164" i="62" s="1"/>
  <c r="K171" i="62"/>
  <c r="L169" i="54"/>
  <c r="L53" i="16"/>
  <c r="L61" i="16" s="1"/>
  <c r="L58" i="16"/>
  <c r="N90" i="63"/>
  <c r="N85" i="15"/>
  <c r="N93" i="15" s="1"/>
  <c r="N90" i="15"/>
  <c r="J85" i="63"/>
  <c r="J93" i="63" s="1"/>
  <c r="J85" i="15"/>
  <c r="J93" i="15" s="1"/>
  <c r="J90" i="15"/>
  <c r="N162" i="43"/>
  <c r="N166" i="43"/>
  <c r="N169" i="43" s="1"/>
  <c r="M162" i="43"/>
  <c r="M166" i="43"/>
  <c r="M169" i="43" s="1"/>
  <c r="M162" i="42"/>
  <c r="M166" i="42"/>
  <c r="M169" i="42" s="1"/>
  <c r="I159" i="42"/>
  <c r="J166" i="42"/>
  <c r="J162" i="42"/>
  <c r="J162" i="40"/>
  <c r="I159" i="40"/>
  <c r="J166" i="40"/>
  <c r="N162" i="42"/>
  <c r="N166" i="42"/>
  <c r="N169" i="42" s="1"/>
  <c r="K58" i="16"/>
  <c r="K53" i="16"/>
  <c r="K61" i="16" s="1"/>
  <c r="I161" i="43"/>
  <c r="J168" i="43"/>
  <c r="I168" i="43" s="1"/>
  <c r="J162" i="43"/>
  <c r="I159" i="43"/>
  <c r="J166" i="43"/>
  <c r="L162" i="44"/>
  <c r="L166" i="44"/>
  <c r="L169" i="44" s="1"/>
  <c r="I92" i="15"/>
  <c r="I160" i="44"/>
  <c r="J167" i="44"/>
  <c r="I167" i="44" s="1"/>
  <c r="J162" i="44"/>
  <c r="I161" i="44"/>
  <c r="J168" i="44"/>
  <c r="I168" i="44" s="1"/>
  <c r="L166" i="41"/>
  <c r="L169" i="41" s="1"/>
  <c r="L162" i="41"/>
  <c r="K169" i="61"/>
  <c r="K159" i="61"/>
  <c r="K162" i="61" s="1"/>
  <c r="M169" i="59"/>
  <c r="M159" i="59"/>
  <c r="M162" i="59" s="1"/>
  <c r="N169" i="59"/>
  <c r="N159" i="59"/>
  <c r="N162" i="59" s="1"/>
  <c r="J169" i="58"/>
  <c r="I166" i="58"/>
  <c r="J159" i="58"/>
  <c r="I168" i="58"/>
  <c r="J161" i="58"/>
  <c r="I161" i="58" s="1"/>
  <c r="J169" i="57"/>
  <c r="J159" i="57"/>
  <c r="I166" i="57"/>
  <c r="J161" i="57"/>
  <c r="I161" i="57" s="1"/>
  <c r="I168" i="57"/>
  <c r="K159" i="56"/>
  <c r="K162" i="56" s="1"/>
  <c r="K169" i="56"/>
  <c r="K169" i="55"/>
  <c r="K159" i="55"/>
  <c r="K162" i="55" s="1"/>
  <c r="K166" i="14"/>
  <c r="K169" i="14" s="1"/>
  <c r="K162" i="14"/>
  <c r="N169" i="56"/>
  <c r="N159" i="56"/>
  <c r="N162" i="56" s="1"/>
  <c r="K166" i="46"/>
  <c r="K169" i="46" s="1"/>
  <c r="K162" i="46"/>
  <c r="I160" i="46"/>
  <c r="J167" i="46"/>
  <c r="I167" i="46" s="1"/>
  <c r="K166" i="45"/>
  <c r="K169" i="45" s="1"/>
  <c r="K162" i="45"/>
  <c r="J162" i="45"/>
  <c r="J166" i="45"/>
  <c r="I159" i="45"/>
  <c r="J168" i="45"/>
  <c r="I168" i="45" s="1"/>
  <c r="I161" i="45"/>
  <c r="I161" i="42"/>
  <c r="J168" i="42"/>
  <c r="I168" i="42" s="1"/>
  <c r="I160" i="14"/>
  <c r="J167" i="14"/>
  <c r="I167" i="14" s="1"/>
  <c r="K159" i="58"/>
  <c r="K162" i="58" s="1"/>
  <c r="K169" i="58"/>
  <c r="I160" i="41"/>
  <c r="J167" i="41"/>
  <c r="I167" i="41" s="1"/>
  <c r="N166" i="38"/>
  <c r="N169" i="38" s="1"/>
  <c r="N162" i="38"/>
  <c r="L162" i="38"/>
  <c r="L166" i="38"/>
  <c r="L169" i="38" s="1"/>
  <c r="M166" i="37"/>
  <c r="M169" i="37" s="1"/>
  <c r="M162" i="37"/>
  <c r="I161" i="37"/>
  <c r="I167" i="60"/>
  <c r="J160" i="60"/>
  <c r="I160" i="60" s="1"/>
  <c r="N159" i="60"/>
  <c r="N162" i="60" s="1"/>
  <c r="N169" i="60"/>
  <c r="M169" i="57"/>
  <c r="M159" i="57"/>
  <c r="M162" i="57" s="1"/>
  <c r="J169" i="53"/>
  <c r="I166" i="53"/>
  <c r="J159" i="53"/>
  <c r="I168" i="53"/>
  <c r="J161" i="53"/>
  <c r="I161" i="53" s="1"/>
  <c r="L171" i="62"/>
  <c r="L161" i="62"/>
  <c r="L164" i="62" s="1"/>
  <c r="H169" i="62"/>
  <c r="I162" i="62"/>
  <c r="H162" i="62" s="1"/>
  <c r="L159" i="56"/>
  <c r="L162" i="56" s="1"/>
  <c r="L169" i="56"/>
  <c r="L162" i="54"/>
  <c r="I169" i="53" l="1"/>
  <c r="H168" i="53" s="1"/>
  <c r="I162" i="40"/>
  <c r="H159" i="40" s="1"/>
  <c r="I162" i="43"/>
  <c r="H161" i="43" s="1"/>
  <c r="N85" i="63"/>
  <c r="N93" i="63" s="1"/>
  <c r="L45" i="17"/>
  <c r="L62" i="17" s="1"/>
  <c r="I602" i="19"/>
  <c r="J99" i="33"/>
  <c r="J86" i="33" s="1"/>
  <c r="I152" i="52"/>
  <c r="I164" i="16"/>
  <c r="I22" i="16"/>
  <c r="I173" i="63"/>
  <c r="I50" i="63"/>
  <c r="J152" i="16"/>
  <c r="J20" i="16"/>
  <c r="J35" i="16" s="1"/>
  <c r="N185" i="63"/>
  <c r="N52" i="63"/>
  <c r="N67" i="63" s="1"/>
  <c r="L237" i="33" s="1"/>
  <c r="H90" i="19"/>
  <c r="H392" i="19"/>
  <c r="H405" i="19"/>
  <c r="H97" i="19"/>
  <c r="J189" i="33"/>
  <c r="J236" i="33"/>
  <c r="I284" i="33"/>
  <c r="H120" i="19"/>
  <c r="J173" i="19"/>
  <c r="J245" i="19"/>
  <c r="I168" i="19"/>
  <c r="J555" i="19"/>
  <c r="J483" i="19"/>
  <c r="I478" i="19"/>
  <c r="J246" i="19"/>
  <c r="I169" i="19"/>
  <c r="J866" i="19"/>
  <c r="I789" i="19"/>
  <c r="J247" i="19"/>
  <c r="I170" i="19"/>
  <c r="J248" i="19"/>
  <c r="I171" i="19"/>
  <c r="J868" i="19"/>
  <c r="I791" i="19"/>
  <c r="K130" i="16"/>
  <c r="K196" i="16" s="1"/>
  <c r="K162" i="63"/>
  <c r="K19" i="63"/>
  <c r="K152" i="52"/>
  <c r="K34" i="63" s="1"/>
  <c r="K173" i="63"/>
  <c r="K50" i="63"/>
  <c r="K405" i="19"/>
  <c r="K392" i="19"/>
  <c r="K469" i="19" s="1"/>
  <c r="J51" i="63"/>
  <c r="J66" i="63" s="1"/>
  <c r="H190" i="33" s="1"/>
  <c r="J179" i="63"/>
  <c r="J19" i="16"/>
  <c r="J34" i="16" s="1"/>
  <c r="J146" i="16"/>
  <c r="N51" i="63"/>
  <c r="N66" i="63" s="1"/>
  <c r="L190" i="33" s="1"/>
  <c r="N179" i="63"/>
  <c r="J106" i="19"/>
  <c r="I29" i="19"/>
  <c r="I106" i="19" s="1"/>
  <c r="J349" i="19"/>
  <c r="J426" i="19" s="1"/>
  <c r="J421" i="19"/>
  <c r="I344" i="19"/>
  <c r="J659" i="19"/>
  <c r="J736" i="19" s="1"/>
  <c r="J731" i="19"/>
  <c r="I654" i="19"/>
  <c r="J733" i="19"/>
  <c r="I656" i="19"/>
  <c r="J114" i="19"/>
  <c r="I37" i="19"/>
  <c r="I114" i="19" s="1"/>
  <c r="K158" i="16"/>
  <c r="K21" i="16"/>
  <c r="K36" i="16" s="1"/>
  <c r="J893" i="19"/>
  <c r="J821" i="19"/>
  <c r="J898" i="19" s="1"/>
  <c r="I816" i="19"/>
  <c r="J584" i="19"/>
  <c r="I507" i="19"/>
  <c r="J895" i="19"/>
  <c r="I818" i="19"/>
  <c r="J164" i="16"/>
  <c r="J22" i="16"/>
  <c r="J37" i="16" s="1"/>
  <c r="N197" i="63"/>
  <c r="N54" i="63"/>
  <c r="N69" i="63" s="1"/>
  <c r="L333" i="33" s="1"/>
  <c r="J127" i="19"/>
  <c r="I50" i="19"/>
  <c r="I127" i="19" s="1"/>
  <c r="J23" i="16"/>
  <c r="J38" i="16" s="1"/>
  <c r="J170" i="16"/>
  <c r="J134" i="19"/>
  <c r="I57" i="19"/>
  <c r="I134" i="19" s="1"/>
  <c r="J141" i="19"/>
  <c r="I64" i="19"/>
  <c r="I141" i="19" s="1"/>
  <c r="J25" i="16"/>
  <c r="J40" i="16" s="1"/>
  <c r="J182" i="16"/>
  <c r="G477" i="33"/>
  <c r="G478" i="33" s="1"/>
  <c r="H478" i="33"/>
  <c r="H479" i="33"/>
  <c r="J148" i="19"/>
  <c r="I71" i="19"/>
  <c r="I148" i="19" s="1"/>
  <c r="J155" i="19"/>
  <c r="I78" i="19"/>
  <c r="I155" i="19" s="1"/>
  <c r="J27" i="16"/>
  <c r="J42" i="16" s="1"/>
  <c r="J194" i="16"/>
  <c r="L95" i="19"/>
  <c r="M39" i="19"/>
  <c r="M116" i="19" s="1"/>
  <c r="I114" i="54"/>
  <c r="O18" i="19"/>
  <c r="I96" i="56"/>
  <c r="I81" i="56"/>
  <c r="I152" i="56" s="1"/>
  <c r="N23" i="63"/>
  <c r="N152" i="56"/>
  <c r="N38" i="63" s="1"/>
  <c r="O857" i="19"/>
  <c r="O934" i="19" s="1"/>
  <c r="O870" i="19"/>
  <c r="O412" i="19"/>
  <c r="O392" i="19"/>
  <c r="O469" i="19" s="1"/>
  <c r="K24" i="63"/>
  <c r="K152" i="57"/>
  <c r="K39" i="63" s="1"/>
  <c r="P392" i="19"/>
  <c r="P469" i="19" s="1"/>
  <c r="P405" i="19"/>
  <c r="M26" i="63"/>
  <c r="M152" i="59"/>
  <c r="M41" i="63" s="1"/>
  <c r="U82" i="19"/>
  <c r="U159" i="19" s="1"/>
  <c r="U95" i="19"/>
  <c r="L29" i="15"/>
  <c r="L34" i="15"/>
  <c r="J566" i="19"/>
  <c r="I489" i="19"/>
  <c r="J297" i="19"/>
  <c r="I220" i="19"/>
  <c r="J457" i="19"/>
  <c r="I380" i="19"/>
  <c r="J767" i="19"/>
  <c r="I690" i="19"/>
  <c r="G147" i="33"/>
  <c r="H142" i="33"/>
  <c r="H870" i="19"/>
  <c r="H857" i="19"/>
  <c r="G55" i="33"/>
  <c r="G71" i="33" s="1"/>
  <c r="J400" i="19"/>
  <c r="J328" i="19"/>
  <c r="I323" i="19"/>
  <c r="J711" i="19"/>
  <c r="I634" i="19"/>
  <c r="J140" i="16"/>
  <c r="J18" i="16"/>
  <c r="N140" i="16"/>
  <c r="N18" i="16"/>
  <c r="J335" i="19"/>
  <c r="J412" i="19" s="1"/>
  <c r="J407" i="19"/>
  <c r="I330" i="19"/>
  <c r="I175" i="63"/>
  <c r="I83" i="63"/>
  <c r="I91" i="63" s="1"/>
  <c r="K146" i="16"/>
  <c r="K19" i="16"/>
  <c r="K34" i="16" s="1"/>
  <c r="M152" i="16"/>
  <c r="M20" i="16"/>
  <c r="M35" i="16" s="1"/>
  <c r="J194" i="19"/>
  <c r="J271" i="19" s="1"/>
  <c r="J266" i="19"/>
  <c r="I189" i="19"/>
  <c r="J576" i="19"/>
  <c r="J504" i="19"/>
  <c r="J581" i="19" s="1"/>
  <c r="I499" i="19"/>
  <c r="J267" i="19"/>
  <c r="I190" i="19"/>
  <c r="J887" i="19"/>
  <c r="I810" i="19"/>
  <c r="J268" i="19"/>
  <c r="I191" i="19"/>
  <c r="J115" i="19"/>
  <c r="I38" i="19"/>
  <c r="I115" i="19" s="1"/>
  <c r="L21" i="16"/>
  <c r="L36" i="16" s="1"/>
  <c r="L158" i="16"/>
  <c r="J41" i="19"/>
  <c r="J43" i="19"/>
  <c r="J120" i="19" s="1"/>
  <c r="J740" i="19"/>
  <c r="I663" i="19"/>
  <c r="J121" i="19"/>
  <c r="I44" i="19"/>
  <c r="I121" i="19" s="1"/>
  <c r="J126" i="19"/>
  <c r="I49" i="19"/>
  <c r="I126" i="19" s="1"/>
  <c r="K170" i="16"/>
  <c r="K23" i="16"/>
  <c r="K38" i="16" s="1"/>
  <c r="J133" i="19"/>
  <c r="I56" i="19"/>
  <c r="I133" i="19" s="1"/>
  <c r="J135" i="19"/>
  <c r="I58" i="19"/>
  <c r="I135" i="19" s="1"/>
  <c r="I110" i="16"/>
  <c r="K430" i="33"/>
  <c r="K431" i="33"/>
  <c r="J140" i="19"/>
  <c r="I63" i="19"/>
  <c r="I140" i="19" s="1"/>
  <c r="K182" i="16"/>
  <c r="K25" i="16"/>
  <c r="K40" i="16" s="1"/>
  <c r="J149" i="19"/>
  <c r="I72" i="19"/>
  <c r="I149" i="19" s="1"/>
  <c r="I122" i="16"/>
  <c r="I526" i="33"/>
  <c r="I527" i="33"/>
  <c r="K526" i="33"/>
  <c r="K527" i="33"/>
  <c r="J154" i="19"/>
  <c r="I77" i="19"/>
  <c r="I154" i="19" s="1"/>
  <c r="K194" i="16"/>
  <c r="K27" i="16"/>
  <c r="K42" i="16" s="1"/>
  <c r="N21" i="63"/>
  <c r="N152" i="54"/>
  <c r="N36" i="63" s="1"/>
  <c r="M857" i="19"/>
  <c r="M934" i="19" s="1"/>
  <c r="M870" i="19"/>
  <c r="J22" i="63"/>
  <c r="J152" i="55"/>
  <c r="J37" i="63" s="1"/>
  <c r="N237" i="19"/>
  <c r="N314" i="19" s="1"/>
  <c r="N250" i="19"/>
  <c r="P18" i="19"/>
  <c r="I96" i="57"/>
  <c r="I81" i="57"/>
  <c r="I152" i="57" s="1"/>
  <c r="N24" i="63"/>
  <c r="N152" i="57"/>
  <c r="N39" i="63" s="1"/>
  <c r="P870" i="19"/>
  <c r="P857" i="19"/>
  <c r="P934" i="19" s="1"/>
  <c r="P46" i="19"/>
  <c r="P123" i="19" s="1"/>
  <c r="I120" i="57"/>
  <c r="Q18" i="19"/>
  <c r="I96" i="58"/>
  <c r="I81" i="58"/>
  <c r="I152" i="58" s="1"/>
  <c r="N25" i="63"/>
  <c r="N152" i="58"/>
  <c r="N40" i="63" s="1"/>
  <c r="Q857" i="19"/>
  <c r="Q934" i="19" s="1"/>
  <c r="Q870" i="19"/>
  <c r="Q412" i="19"/>
  <c r="Q392" i="19"/>
  <c r="Q469" i="19" s="1"/>
  <c r="Q46" i="19"/>
  <c r="Q123" i="19" s="1"/>
  <c r="I120" i="58"/>
  <c r="L26" i="63"/>
  <c r="L152" i="59"/>
  <c r="L41" i="63" s="1"/>
  <c r="R560" i="19"/>
  <c r="R547" i="19"/>
  <c r="R624" i="19" s="1"/>
  <c r="T95" i="19"/>
  <c r="T82" i="19"/>
  <c r="T159" i="19" s="1"/>
  <c r="K34" i="15"/>
  <c r="K29" i="15"/>
  <c r="J36" i="15"/>
  <c r="I36" i="15" s="1"/>
  <c r="I21" i="15"/>
  <c r="J38" i="15"/>
  <c r="I38" i="15" s="1"/>
  <c r="I23" i="15"/>
  <c r="K39" i="15"/>
  <c r="I39" i="15" s="1"/>
  <c r="I24" i="15"/>
  <c r="J162" i="15"/>
  <c r="J200" i="16"/>
  <c r="I249" i="19"/>
  <c r="J96" i="17"/>
  <c r="J107" i="17"/>
  <c r="I262" i="19"/>
  <c r="I411" i="19"/>
  <c r="K102" i="17"/>
  <c r="K168" i="17" s="1"/>
  <c r="I600" i="19"/>
  <c r="L131" i="17"/>
  <c r="L197" i="17" s="1"/>
  <c r="I65" i="15"/>
  <c r="I60" i="15"/>
  <c r="H51" i="15"/>
  <c r="I66" i="15"/>
  <c r="H59" i="15"/>
  <c r="I74" i="15"/>
  <c r="I296" i="19"/>
  <c r="J136" i="17"/>
  <c r="I298" i="19"/>
  <c r="J138" i="17"/>
  <c r="I301" i="19"/>
  <c r="J140" i="17"/>
  <c r="I591" i="19"/>
  <c r="L123" i="17"/>
  <c r="L189" i="17" s="1"/>
  <c r="I605" i="19"/>
  <c r="L135" i="17"/>
  <c r="L201" i="17" s="1"/>
  <c r="I619" i="19"/>
  <c r="L147" i="17"/>
  <c r="L213" i="17" s="1"/>
  <c r="I726" i="19"/>
  <c r="M106" i="17"/>
  <c r="M172" i="17" s="1"/>
  <c r="I435" i="19"/>
  <c r="I363" i="19"/>
  <c r="K122" i="17"/>
  <c r="I437" i="19"/>
  <c r="K124" i="17"/>
  <c r="K190" i="17" s="1"/>
  <c r="I442" i="19"/>
  <c r="K128" i="17"/>
  <c r="I449" i="19"/>
  <c r="I377" i="19"/>
  <c r="K134" i="17"/>
  <c r="I451" i="19"/>
  <c r="K136" i="17"/>
  <c r="K202" i="17" s="1"/>
  <c r="I456" i="19"/>
  <c r="K140" i="17"/>
  <c r="J384" i="19"/>
  <c r="J461" i="19" s="1"/>
  <c r="I463" i="19"/>
  <c r="I391" i="19"/>
  <c r="K146" i="17"/>
  <c r="I465" i="19"/>
  <c r="K148" i="17"/>
  <c r="K214" i="17" s="1"/>
  <c r="I565" i="19"/>
  <c r="L101" i="17"/>
  <c r="L167" i="17" s="1"/>
  <c r="I579" i="19"/>
  <c r="L113" i="17"/>
  <c r="L179" i="17" s="1"/>
  <c r="L194" i="17"/>
  <c r="I929" i="19"/>
  <c r="N147" i="17"/>
  <c r="N213" i="17" s="1"/>
  <c r="I931" i="19"/>
  <c r="N149" i="17"/>
  <c r="N215" i="17" s="1"/>
  <c r="I721" i="19"/>
  <c r="M102" i="17"/>
  <c r="M168" i="17" s="1"/>
  <c r="I882" i="19"/>
  <c r="N107" i="17"/>
  <c r="N173" i="17" s="1"/>
  <c r="I901" i="19"/>
  <c r="N123" i="17"/>
  <c r="N189" i="17" s="1"/>
  <c r="I903" i="19"/>
  <c r="N125" i="17"/>
  <c r="N191" i="17" s="1"/>
  <c r="I735" i="19"/>
  <c r="M114" i="17"/>
  <c r="M180" i="17" s="1"/>
  <c r="I742" i="19"/>
  <c r="M120" i="17"/>
  <c r="M186" i="17" s="1"/>
  <c r="I745" i="19"/>
  <c r="I673" i="19"/>
  <c r="M122" i="17"/>
  <c r="I754" i="19"/>
  <c r="M130" i="17"/>
  <c r="M196" i="17" s="1"/>
  <c r="I756" i="19"/>
  <c r="M132" i="17"/>
  <c r="M198" i="17" s="1"/>
  <c r="I759" i="19"/>
  <c r="I687" i="19"/>
  <c r="M134" i="17"/>
  <c r="I768" i="19"/>
  <c r="M142" i="17"/>
  <c r="M208" i="17" s="1"/>
  <c r="I770" i="19"/>
  <c r="M144" i="17"/>
  <c r="M210" i="17" s="1"/>
  <c r="I773" i="19"/>
  <c r="I701" i="19"/>
  <c r="M146" i="17"/>
  <c r="I912" i="19"/>
  <c r="N45" i="17"/>
  <c r="N62" i="17" s="1"/>
  <c r="L99" i="33"/>
  <c r="L86" i="33" s="1"/>
  <c r="N206" i="17"/>
  <c r="L152" i="16"/>
  <c r="L20" i="16"/>
  <c r="L35" i="16" s="1"/>
  <c r="K142" i="33"/>
  <c r="G194" i="33"/>
  <c r="H189" i="33"/>
  <c r="L189" i="33"/>
  <c r="H105" i="19"/>
  <c r="J865" i="19"/>
  <c r="J793" i="19"/>
  <c r="I788" i="19"/>
  <c r="J556" i="19"/>
  <c r="I479" i="19"/>
  <c r="J867" i="19"/>
  <c r="I790" i="19"/>
  <c r="J558" i="19"/>
  <c r="I481" i="19"/>
  <c r="K95" i="19"/>
  <c r="M140" i="16"/>
  <c r="M18" i="16"/>
  <c r="J180" i="19"/>
  <c r="J257" i="19" s="1"/>
  <c r="J252" i="19"/>
  <c r="I175" i="19"/>
  <c r="J562" i="19"/>
  <c r="J490" i="19"/>
  <c r="J567" i="19" s="1"/>
  <c r="I485" i="19"/>
  <c r="N58" i="16"/>
  <c r="N53" i="16"/>
  <c r="N61" i="16" s="1"/>
  <c r="J873" i="19"/>
  <c r="I796" i="19"/>
  <c r="J101" i="19"/>
  <c r="I24" i="19"/>
  <c r="I101" i="19" s="1"/>
  <c r="L19" i="16"/>
  <c r="L34" i="16" s="1"/>
  <c r="L146" i="16"/>
  <c r="K104" i="19"/>
  <c r="J27" i="19"/>
  <c r="M158" i="16"/>
  <c r="M21" i="16"/>
  <c r="M36" i="16" s="1"/>
  <c r="L164" i="16"/>
  <c r="L22" i="16"/>
  <c r="L37" i="16" s="1"/>
  <c r="J129" i="19"/>
  <c r="I52" i="19"/>
  <c r="I129" i="19" s="1"/>
  <c r="N23" i="16"/>
  <c r="N38" i="16" s="1"/>
  <c r="N170" i="16"/>
  <c r="L176" i="16"/>
  <c r="L24" i="16"/>
  <c r="L39" i="16" s="1"/>
  <c r="J143" i="19"/>
  <c r="I66" i="19"/>
  <c r="I143" i="19" s="1"/>
  <c r="N25" i="16"/>
  <c r="N40" i="16" s="1"/>
  <c r="N182" i="16"/>
  <c r="L188" i="16"/>
  <c r="L26" i="16"/>
  <c r="L41" i="16" s="1"/>
  <c r="J157" i="19"/>
  <c r="I80" i="19"/>
  <c r="I157" i="19" s="1"/>
  <c r="N27" i="16"/>
  <c r="N42" i="16" s="1"/>
  <c r="N194" i="16"/>
  <c r="L39" i="19"/>
  <c r="L116" i="19" s="1"/>
  <c r="I114" i="53"/>
  <c r="M21" i="63"/>
  <c r="M152" i="54"/>
  <c r="M36" i="63" s="1"/>
  <c r="M715" i="19"/>
  <c r="M702" i="19"/>
  <c r="M779" i="19" s="1"/>
  <c r="M32" i="19"/>
  <c r="M109" i="19" s="1"/>
  <c r="I108" i="54"/>
  <c r="K22" i="63"/>
  <c r="K152" i="55"/>
  <c r="K37" i="63" s="1"/>
  <c r="N392" i="19"/>
  <c r="N469" i="19" s="1"/>
  <c r="N405" i="19"/>
  <c r="O25" i="19"/>
  <c r="O102" i="19" s="1"/>
  <c r="I102" i="56"/>
  <c r="O722" i="19"/>
  <c r="O702" i="19"/>
  <c r="O779" i="19" s="1"/>
  <c r="K26" i="63"/>
  <c r="K152" i="59"/>
  <c r="K41" i="63" s="1"/>
  <c r="I27" i="63"/>
  <c r="J34" i="15"/>
  <c r="J29" i="15"/>
  <c r="I19" i="15"/>
  <c r="N34" i="15"/>
  <c r="N29" i="15"/>
  <c r="J269" i="19"/>
  <c r="I192" i="19"/>
  <c r="J618" i="19"/>
  <c r="J546" i="19"/>
  <c r="J623" i="19" s="1"/>
  <c r="I541" i="19"/>
  <c r="J928" i="19"/>
  <c r="J856" i="19"/>
  <c r="J933" i="19" s="1"/>
  <c r="I851" i="19"/>
  <c r="J620" i="19"/>
  <c r="I543" i="19"/>
  <c r="J930" i="19"/>
  <c r="I853" i="19"/>
  <c r="J622" i="19"/>
  <c r="I545" i="19"/>
  <c r="J932" i="19"/>
  <c r="I855" i="19"/>
  <c r="H560" i="19"/>
  <c r="H547" i="19"/>
  <c r="G51" i="33"/>
  <c r="G67" i="33" s="1"/>
  <c r="K236" i="33"/>
  <c r="J284" i="33"/>
  <c r="I332" i="33"/>
  <c r="G56" i="33"/>
  <c r="G72" i="33" s="1"/>
  <c r="J15" i="19"/>
  <c r="J92" i="19" s="1"/>
  <c r="J403" i="19"/>
  <c r="I326" i="19"/>
  <c r="K547" i="19"/>
  <c r="K624" i="19" s="1"/>
  <c r="J20" i="19"/>
  <c r="I141" i="16"/>
  <c r="I50" i="16"/>
  <c r="J408" i="19"/>
  <c r="I331" i="19"/>
  <c r="J409" i="19"/>
  <c r="I332" i="19"/>
  <c r="J719" i="19"/>
  <c r="I642" i="19"/>
  <c r="J100" i="19"/>
  <c r="I23" i="19"/>
  <c r="I100" i="19" s="1"/>
  <c r="I112" i="63"/>
  <c r="M179" i="63"/>
  <c r="M51" i="63"/>
  <c r="M66" i="63" s="1"/>
  <c r="K190" i="33" s="1"/>
  <c r="J187" i="19"/>
  <c r="J264" i="19" s="1"/>
  <c r="J259" i="19"/>
  <c r="I182" i="19"/>
  <c r="J569" i="19"/>
  <c r="J497" i="19"/>
  <c r="J574" i="19" s="1"/>
  <c r="I492" i="19"/>
  <c r="J260" i="19"/>
  <c r="I183" i="19"/>
  <c r="J570" i="19"/>
  <c r="I493" i="19"/>
  <c r="J880" i="19"/>
  <c r="I803" i="19"/>
  <c r="J107" i="19"/>
  <c r="I30" i="19"/>
  <c r="I107" i="19" s="1"/>
  <c r="J886" i="19"/>
  <c r="J814" i="19"/>
  <c r="J891" i="19" s="1"/>
  <c r="I809" i="19"/>
  <c r="J577" i="19"/>
  <c r="I500" i="19"/>
  <c r="J53" i="63"/>
  <c r="J68" i="63" s="1"/>
  <c r="H285" i="33" s="1"/>
  <c r="J191" i="63"/>
  <c r="N21" i="16"/>
  <c r="N36" i="16" s="1"/>
  <c r="N158" i="16"/>
  <c r="J739" i="19"/>
  <c r="I662" i="19"/>
  <c r="J430" i="19"/>
  <c r="I353" i="19"/>
  <c r="K197" i="63"/>
  <c r="K54" i="63"/>
  <c r="K69" i="63" s="1"/>
  <c r="I333" i="33" s="1"/>
  <c r="I104" i="16"/>
  <c r="K176" i="16"/>
  <c r="K24" i="16"/>
  <c r="K39" i="16" s="1"/>
  <c r="J142" i="19"/>
  <c r="I65" i="19"/>
  <c r="I142" i="19" s="1"/>
  <c r="I215" i="63"/>
  <c r="I57" i="63"/>
  <c r="I478" i="33"/>
  <c r="I479" i="33"/>
  <c r="M182" i="16"/>
  <c r="M25" i="16"/>
  <c r="M40" i="16" s="1"/>
  <c r="M188" i="16"/>
  <c r="M26" i="16"/>
  <c r="M41" i="16" s="1"/>
  <c r="J156" i="19"/>
  <c r="I79" i="19"/>
  <c r="I156" i="19" s="1"/>
  <c r="I227" i="63"/>
  <c r="I59" i="63"/>
  <c r="I574" i="33"/>
  <c r="I575" i="33"/>
  <c r="M194" i="16"/>
  <c r="M27" i="16"/>
  <c r="M42" i="16" s="1"/>
  <c r="J130" i="16"/>
  <c r="J196" i="16" s="1"/>
  <c r="N130" i="16"/>
  <c r="N196" i="16" s="1"/>
  <c r="N162" i="63"/>
  <c r="L22" i="63"/>
  <c r="L152" i="55"/>
  <c r="L37" i="63" s="1"/>
  <c r="N560" i="19"/>
  <c r="N547" i="19"/>
  <c r="N624" i="19" s="1"/>
  <c r="L24" i="63"/>
  <c r="L152" i="57"/>
  <c r="L39" i="63" s="1"/>
  <c r="P560" i="19"/>
  <c r="P547" i="19"/>
  <c r="P624" i="19" s="1"/>
  <c r="L25" i="63"/>
  <c r="L152" i="58"/>
  <c r="L40" i="63" s="1"/>
  <c r="Q547" i="19"/>
  <c r="Q624" i="19" s="1"/>
  <c r="Q560" i="19"/>
  <c r="R18" i="19"/>
  <c r="I96" i="59"/>
  <c r="I81" i="59"/>
  <c r="I152" i="59" s="1"/>
  <c r="N26" i="63"/>
  <c r="N152" i="59"/>
  <c r="N41" i="63" s="1"/>
  <c r="R870" i="19"/>
  <c r="R857" i="19"/>
  <c r="R934" i="19" s="1"/>
  <c r="R412" i="19"/>
  <c r="R392" i="19"/>
  <c r="R469" i="19" s="1"/>
  <c r="R46" i="19"/>
  <c r="R123" i="19" s="1"/>
  <c r="I120" i="59"/>
  <c r="I43" i="63"/>
  <c r="J890" i="19"/>
  <c r="I813" i="19"/>
  <c r="J281" i="19"/>
  <c r="I204" i="19"/>
  <c r="J445" i="19"/>
  <c r="I368" i="19"/>
  <c r="J755" i="19"/>
  <c r="I678" i="19"/>
  <c r="J302" i="19"/>
  <c r="I225" i="19"/>
  <c r="Y82" i="19"/>
  <c r="Y159" i="19" s="1"/>
  <c r="Y95" i="19"/>
  <c r="K200" i="16"/>
  <c r="K162" i="15"/>
  <c r="J119" i="17"/>
  <c r="I276" i="19"/>
  <c r="J40" i="15"/>
  <c r="I40" i="15" s="1"/>
  <c r="I25" i="15"/>
  <c r="K43" i="15"/>
  <c r="I43" i="15" s="1"/>
  <c r="I28" i="15"/>
  <c r="M200" i="16"/>
  <c r="M162" i="15"/>
  <c r="J58" i="16"/>
  <c r="J53" i="16"/>
  <c r="J61" i="16" s="1"/>
  <c r="I282" i="19"/>
  <c r="J124" i="17"/>
  <c r="I284" i="19"/>
  <c r="J126" i="17"/>
  <c r="I287" i="19"/>
  <c r="J128" i="17"/>
  <c r="I404" i="19"/>
  <c r="K96" i="17"/>
  <c r="K162" i="17" s="1"/>
  <c r="I614" i="19"/>
  <c r="L143" i="17"/>
  <c r="L209" i="17" s="1"/>
  <c r="I714" i="19"/>
  <c r="M96" i="17"/>
  <c r="M162" i="17" s="1"/>
  <c r="H239" i="33"/>
  <c r="H243" i="33" s="1"/>
  <c r="N65" i="63"/>
  <c r="L143" i="33" s="1"/>
  <c r="I84" i="63"/>
  <c r="I169" i="57"/>
  <c r="H166" i="57" s="1"/>
  <c r="I162" i="44"/>
  <c r="H160" i="44" s="1"/>
  <c r="L185" i="63"/>
  <c r="L52" i="63"/>
  <c r="L67" i="63" s="1"/>
  <c r="J237" i="33" s="1"/>
  <c r="H18" i="19"/>
  <c r="I97" i="62"/>
  <c r="I82" i="62"/>
  <c r="H92" i="19"/>
  <c r="I15" i="19"/>
  <c r="I92" i="19" s="1"/>
  <c r="I142" i="33"/>
  <c r="H25" i="19"/>
  <c r="H102" i="19" s="1"/>
  <c r="I103" i="62"/>
  <c r="H31" i="62"/>
  <c r="H99" i="19"/>
  <c r="H46" i="19"/>
  <c r="H123" i="19" s="1"/>
  <c r="I121" i="62"/>
  <c r="H49" i="62"/>
  <c r="H118" i="19"/>
  <c r="I41" i="19"/>
  <c r="J332" i="33"/>
  <c r="J557" i="19"/>
  <c r="I480" i="19"/>
  <c r="K140" i="16"/>
  <c r="K18" i="16"/>
  <c r="J872" i="19"/>
  <c r="J800" i="19"/>
  <c r="J877" i="19" s="1"/>
  <c r="I795" i="19"/>
  <c r="J563" i="19"/>
  <c r="I486" i="19"/>
  <c r="J254" i="19"/>
  <c r="I177" i="19"/>
  <c r="J874" i="19"/>
  <c r="I797" i="19"/>
  <c r="N19" i="16"/>
  <c r="N34" i="16" s="1"/>
  <c r="N146" i="16"/>
  <c r="J342" i="19"/>
  <c r="J419" i="19" s="1"/>
  <c r="J414" i="19"/>
  <c r="I337" i="19"/>
  <c r="J415" i="19"/>
  <c r="I338" i="19"/>
  <c r="K39" i="19"/>
  <c r="K116" i="19" s="1"/>
  <c r="I124" i="63"/>
  <c r="I92" i="16"/>
  <c r="I114" i="52"/>
  <c r="K111" i="19"/>
  <c r="J34" i="19"/>
  <c r="J422" i="19"/>
  <c r="I345" i="19"/>
  <c r="K113" i="19"/>
  <c r="J36" i="19"/>
  <c r="K191" i="63"/>
  <c r="K53" i="63"/>
  <c r="K68" i="63" s="1"/>
  <c r="I285" i="33" s="1"/>
  <c r="J197" i="63"/>
  <c r="J54" i="63"/>
  <c r="J69" i="63" s="1"/>
  <c r="H333" i="33" s="1"/>
  <c r="N164" i="16"/>
  <c r="N22" i="16"/>
  <c r="N37" i="16" s="1"/>
  <c r="L23" i="16"/>
  <c r="L38" i="16" s="1"/>
  <c r="L170" i="16"/>
  <c r="L382" i="33"/>
  <c r="L383" i="33"/>
  <c r="H430" i="33"/>
  <c r="G429" i="33"/>
  <c r="G430" i="33" s="1"/>
  <c r="H431" i="33"/>
  <c r="J430" i="33"/>
  <c r="J431" i="33"/>
  <c r="N176" i="16"/>
  <c r="N24" i="16"/>
  <c r="N39" i="16" s="1"/>
  <c r="L25" i="16"/>
  <c r="L40" i="16" s="1"/>
  <c r="L182" i="16"/>
  <c r="L478" i="33"/>
  <c r="L479" i="33"/>
  <c r="H526" i="33"/>
  <c r="G525" i="33"/>
  <c r="G526" i="33" s="1"/>
  <c r="H527" i="33"/>
  <c r="J526" i="33"/>
  <c r="J527" i="33"/>
  <c r="N188" i="16"/>
  <c r="N26" i="16"/>
  <c r="N41" i="16" s="1"/>
  <c r="L27" i="16"/>
  <c r="L42" i="16" s="1"/>
  <c r="L194" i="16"/>
  <c r="L574" i="33"/>
  <c r="L575" i="33"/>
  <c r="M20" i="63"/>
  <c r="M152" i="53"/>
  <c r="M35" i="63" s="1"/>
  <c r="L702" i="19"/>
  <c r="L779" i="19" s="1"/>
  <c r="L715" i="19"/>
  <c r="L567" i="19"/>
  <c r="L547" i="19"/>
  <c r="L624" i="19" s="1"/>
  <c r="L32" i="19"/>
  <c r="L109" i="19" s="1"/>
  <c r="I108" i="53"/>
  <c r="K21" i="63"/>
  <c r="K152" i="54"/>
  <c r="K36" i="63" s="1"/>
  <c r="M405" i="19"/>
  <c r="M392" i="19"/>
  <c r="M469" i="19" s="1"/>
  <c r="M22" i="63"/>
  <c r="M152" i="55"/>
  <c r="M37" i="63" s="1"/>
  <c r="N702" i="19"/>
  <c r="N779" i="19" s="1"/>
  <c r="N715" i="19"/>
  <c r="J23" i="63"/>
  <c r="J152" i="56"/>
  <c r="J38" i="63" s="1"/>
  <c r="O250" i="19"/>
  <c r="O237" i="19"/>
  <c r="O314" i="19" s="1"/>
  <c r="O46" i="19"/>
  <c r="O123" i="19" s="1"/>
  <c r="I120" i="56"/>
  <c r="M25" i="63"/>
  <c r="M152" i="58"/>
  <c r="M40" i="63" s="1"/>
  <c r="S82" i="19"/>
  <c r="S159" i="19" s="1"/>
  <c r="S95" i="19"/>
  <c r="G428" i="33"/>
  <c r="G527" i="33"/>
  <c r="G531" i="33" s="1"/>
  <c r="G524" i="33"/>
  <c r="J559" i="19"/>
  <c r="I482" i="19"/>
  <c r="J869" i="19"/>
  <c r="I792" i="19"/>
  <c r="J410" i="19"/>
  <c r="I333" i="19"/>
  <c r="J876" i="19"/>
  <c r="I799" i="19"/>
  <c r="J590" i="19"/>
  <c r="J518" i="19"/>
  <c r="J595" i="19" s="1"/>
  <c r="I513" i="19"/>
  <c r="J900" i="19"/>
  <c r="J828" i="19"/>
  <c r="J905" i="19" s="1"/>
  <c r="I823" i="19"/>
  <c r="J592" i="19"/>
  <c r="I515" i="19"/>
  <c r="J902" i="19"/>
  <c r="I825" i="19"/>
  <c r="J594" i="19"/>
  <c r="I517" i="19"/>
  <c r="J904" i="19"/>
  <c r="I827" i="19"/>
  <c r="J295" i="19"/>
  <c r="I218" i="19"/>
  <c r="J459" i="19"/>
  <c r="I382" i="19"/>
  <c r="J769" i="19"/>
  <c r="I692" i="19"/>
  <c r="V95" i="19"/>
  <c r="V82" i="19"/>
  <c r="V159" i="19" s="1"/>
  <c r="K35" i="15"/>
  <c r="I35" i="15" s="1"/>
  <c r="I20" i="15"/>
  <c r="H237" i="19"/>
  <c r="H250" i="19"/>
  <c r="L142" i="33"/>
  <c r="K189" i="33"/>
  <c r="I236" i="33"/>
  <c r="G289" i="33"/>
  <c r="H284" i="33"/>
  <c r="L284" i="33"/>
  <c r="K332" i="33"/>
  <c r="G57" i="33"/>
  <c r="G73" i="33" s="1"/>
  <c r="I135" i="16"/>
  <c r="I52" i="16"/>
  <c r="J713" i="19"/>
  <c r="I636" i="19"/>
  <c r="J173" i="63"/>
  <c r="J229" i="63" s="1"/>
  <c r="J201" i="16" s="1"/>
  <c r="J50" i="63"/>
  <c r="L173" i="63"/>
  <c r="L50" i="63"/>
  <c r="K857" i="19"/>
  <c r="K934" i="19" s="1"/>
  <c r="I174" i="63"/>
  <c r="I82" i="63"/>
  <c r="I142" i="16"/>
  <c r="I51" i="16"/>
  <c r="I59" i="16" s="1"/>
  <c r="J718" i="19"/>
  <c r="I641" i="19"/>
  <c r="K179" i="63"/>
  <c r="K51" i="63"/>
  <c r="K66" i="63" s="1"/>
  <c r="I190" i="33" s="1"/>
  <c r="J879" i="19"/>
  <c r="J807" i="19"/>
  <c r="J884" i="19" s="1"/>
  <c r="I802" i="19"/>
  <c r="K185" i="63"/>
  <c r="K52" i="63"/>
  <c r="K67" i="63" s="1"/>
  <c r="I237" i="33" s="1"/>
  <c r="M185" i="63"/>
  <c r="M52" i="63"/>
  <c r="M67" i="63" s="1"/>
  <c r="K237" i="33" s="1"/>
  <c r="J578" i="19"/>
  <c r="I501" i="19"/>
  <c r="L53" i="63"/>
  <c r="L68" i="63" s="1"/>
  <c r="J285" i="33" s="1"/>
  <c r="L191" i="63"/>
  <c r="J356" i="19"/>
  <c r="J433" i="19" s="1"/>
  <c r="J428" i="19"/>
  <c r="I351" i="19"/>
  <c r="J666" i="19"/>
  <c r="J743" i="19" s="1"/>
  <c r="J738" i="19"/>
  <c r="I661" i="19"/>
  <c r="J119" i="19"/>
  <c r="I42" i="19"/>
  <c r="I119" i="19" s="1"/>
  <c r="J429" i="19"/>
  <c r="I352" i="19"/>
  <c r="I130" i="63"/>
  <c r="M197" i="63"/>
  <c r="M54" i="63"/>
  <c r="M69" i="63" s="1"/>
  <c r="K333" i="33" s="1"/>
  <c r="M164" i="16"/>
  <c r="M22" i="16"/>
  <c r="M37" i="16" s="1"/>
  <c r="K382" i="33"/>
  <c r="K383" i="33"/>
  <c r="I209" i="63"/>
  <c r="I56" i="63"/>
  <c r="K478" i="33"/>
  <c r="K479" i="33"/>
  <c r="I221" i="63"/>
  <c r="I58" i="63"/>
  <c r="K574" i="33"/>
  <c r="K575" i="33"/>
  <c r="J21" i="63"/>
  <c r="J152" i="54"/>
  <c r="J36" i="63" s="1"/>
  <c r="M250" i="19"/>
  <c r="M237" i="19"/>
  <c r="M314" i="19" s="1"/>
  <c r="N18" i="19"/>
  <c r="I96" i="55"/>
  <c r="I81" i="55"/>
  <c r="I152" i="55" s="1"/>
  <c r="N22" i="63"/>
  <c r="N152" i="55"/>
  <c r="N37" i="63" s="1"/>
  <c r="N870" i="19"/>
  <c r="N857" i="19"/>
  <c r="N934" i="19" s="1"/>
  <c r="N46" i="19"/>
  <c r="N123" i="19" s="1"/>
  <c r="I120" i="55"/>
  <c r="M23" i="63"/>
  <c r="M152" i="56"/>
  <c r="M38" i="63" s="1"/>
  <c r="J24" i="63"/>
  <c r="J152" i="57"/>
  <c r="J39" i="63" s="1"/>
  <c r="P237" i="19"/>
  <c r="P314" i="19" s="1"/>
  <c r="P250" i="19"/>
  <c r="J25" i="63"/>
  <c r="I25" i="63" s="1"/>
  <c r="J152" i="58"/>
  <c r="J40" i="63" s="1"/>
  <c r="I40" i="63" s="1"/>
  <c r="Q250" i="19"/>
  <c r="Q237" i="19"/>
  <c r="Q314" i="19" s="1"/>
  <c r="R25" i="19"/>
  <c r="R102" i="19" s="1"/>
  <c r="I102" i="59"/>
  <c r="R722" i="19"/>
  <c r="R702" i="19"/>
  <c r="R779" i="19" s="1"/>
  <c r="J255" i="19"/>
  <c r="I178" i="19"/>
  <c r="J417" i="19"/>
  <c r="I340" i="19"/>
  <c r="J727" i="19"/>
  <c r="I650" i="19"/>
  <c r="J604" i="19"/>
  <c r="J532" i="19"/>
  <c r="J609" i="19" s="1"/>
  <c r="I527" i="19"/>
  <c r="J914" i="19"/>
  <c r="J842" i="19"/>
  <c r="J919" i="19" s="1"/>
  <c r="I837" i="19"/>
  <c r="J606" i="19"/>
  <c r="I529" i="19"/>
  <c r="J916" i="19"/>
  <c r="I839" i="19"/>
  <c r="J608" i="19"/>
  <c r="I531" i="19"/>
  <c r="J918" i="19"/>
  <c r="I841" i="19"/>
  <c r="Z95" i="19"/>
  <c r="Z82" i="19"/>
  <c r="Z159" i="19" s="1"/>
  <c r="J42" i="15"/>
  <c r="I42" i="15" s="1"/>
  <c r="I27" i="15"/>
  <c r="AC102" i="19"/>
  <c r="AC82" i="19"/>
  <c r="AC159" i="19" s="1"/>
  <c r="N162" i="15"/>
  <c r="N200" i="16"/>
  <c r="H57" i="15"/>
  <c r="I72" i="15"/>
  <c r="J143" i="17"/>
  <c r="I304" i="19"/>
  <c r="I598" i="19"/>
  <c r="L129" i="17"/>
  <c r="L195" i="17" s="1"/>
  <c r="I229" i="15"/>
  <c r="I82" i="15"/>
  <c r="I263" i="19"/>
  <c r="J108" i="17"/>
  <c r="I270" i="19"/>
  <c r="J114" i="17"/>
  <c r="I291" i="19"/>
  <c r="J132" i="17"/>
  <c r="I294" i="19"/>
  <c r="I222" i="19"/>
  <c r="J134" i="17"/>
  <c r="J222" i="19"/>
  <c r="J299" i="19" s="1"/>
  <c r="I303" i="19"/>
  <c r="J142" i="17"/>
  <c r="I310" i="19"/>
  <c r="J148" i="17"/>
  <c r="I312" i="19"/>
  <c r="J150" i="17"/>
  <c r="I572" i="19"/>
  <c r="L107" i="17"/>
  <c r="L173" i="17" s="1"/>
  <c r="I586" i="19"/>
  <c r="L119" i="17"/>
  <c r="L185" i="17" s="1"/>
  <c r="I593" i="19"/>
  <c r="L125" i="17"/>
  <c r="L191" i="17" s="1"/>
  <c r="I607" i="19"/>
  <c r="L137" i="17"/>
  <c r="L203" i="17" s="1"/>
  <c r="I621" i="19"/>
  <c r="L149" i="17"/>
  <c r="L215" i="17" s="1"/>
  <c r="I728" i="19"/>
  <c r="M108" i="17"/>
  <c r="M174" i="17" s="1"/>
  <c r="I416" i="19"/>
  <c r="K106" i="17"/>
  <c r="K172" i="17" s="1"/>
  <c r="I418" i="19"/>
  <c r="K108" i="17"/>
  <c r="K174" i="17" s="1"/>
  <c r="I425" i="19"/>
  <c r="K114" i="17"/>
  <c r="K180" i="17" s="1"/>
  <c r="I432" i="19"/>
  <c r="K120" i="17"/>
  <c r="K186" i="17" s="1"/>
  <c r="I439" i="19"/>
  <c r="K126" i="17"/>
  <c r="K192" i="17" s="1"/>
  <c r="I444" i="19"/>
  <c r="K130" i="17"/>
  <c r="K196" i="17" s="1"/>
  <c r="I446" i="19"/>
  <c r="K132" i="17"/>
  <c r="K198" i="17" s="1"/>
  <c r="I453" i="19"/>
  <c r="K138" i="17"/>
  <c r="K204" i="17" s="1"/>
  <c r="I458" i="19"/>
  <c r="K142" i="17"/>
  <c r="K208" i="17" s="1"/>
  <c r="I460" i="19"/>
  <c r="K144" i="17"/>
  <c r="K210" i="17" s="1"/>
  <c r="I467" i="19"/>
  <c r="K150" i="17"/>
  <c r="K216" i="17" s="1"/>
  <c r="L206" i="17"/>
  <c r="L47" i="17"/>
  <c r="L64" i="17" s="1"/>
  <c r="I616" i="19"/>
  <c r="J101" i="33"/>
  <c r="J88" i="33" s="1"/>
  <c r="I747" i="19"/>
  <c r="M124" i="17"/>
  <c r="M190" i="17" s="1"/>
  <c r="I749" i="19"/>
  <c r="M126" i="17"/>
  <c r="M192" i="17" s="1"/>
  <c r="I752" i="19"/>
  <c r="M128" i="17"/>
  <c r="I761" i="19"/>
  <c r="M136" i="17"/>
  <c r="M202" i="17" s="1"/>
  <c r="I763" i="19"/>
  <c r="M138" i="17"/>
  <c r="M204" i="17" s="1"/>
  <c r="I766" i="19"/>
  <c r="I694" i="19"/>
  <c r="M140" i="17"/>
  <c r="J694" i="19"/>
  <c r="J771" i="19" s="1"/>
  <c r="I775" i="19"/>
  <c r="M148" i="17"/>
  <c r="M214" i="17" s="1"/>
  <c r="I777" i="19"/>
  <c r="M150" i="17"/>
  <c r="M216" i="17" s="1"/>
  <c r="I875" i="19"/>
  <c r="N101" i="17"/>
  <c r="N167" i="17" s="1"/>
  <c r="I915" i="19"/>
  <c r="N135" i="17"/>
  <c r="N201" i="17" s="1"/>
  <c r="I917" i="19"/>
  <c r="N137" i="17"/>
  <c r="N203" i="17" s="1"/>
  <c r="I896" i="19"/>
  <c r="N119" i="17"/>
  <c r="N185" i="17" s="1"/>
  <c r="I908" i="19"/>
  <c r="N129" i="17"/>
  <c r="N195" i="17" s="1"/>
  <c r="I910" i="19"/>
  <c r="N131" i="17"/>
  <c r="N197" i="17" s="1"/>
  <c r="I922" i="19"/>
  <c r="N141" i="17"/>
  <c r="N207" i="17" s="1"/>
  <c r="I924" i="19"/>
  <c r="N143" i="17"/>
  <c r="N209" i="17" s="1"/>
  <c r="I889" i="19"/>
  <c r="N113" i="17"/>
  <c r="N179" i="17" s="1"/>
  <c r="N133" i="17"/>
  <c r="N199" i="17" s="1"/>
  <c r="N194" i="17"/>
  <c r="I849" i="19"/>
  <c r="J28" i="19"/>
  <c r="J105" i="19" s="1"/>
  <c r="H702" i="19"/>
  <c r="H715" i="19"/>
  <c r="H245" i="33"/>
  <c r="G241" i="33"/>
  <c r="G236" i="33" s="1"/>
  <c r="H236" i="33"/>
  <c r="L236" i="33"/>
  <c r="H112" i="19"/>
  <c r="G52" i="33"/>
  <c r="G68" i="33" s="1"/>
  <c r="K284" i="33"/>
  <c r="G337" i="33"/>
  <c r="H332" i="33"/>
  <c r="L332" i="33"/>
  <c r="I74" i="16"/>
  <c r="M130" i="16"/>
  <c r="M196" i="16" s="1"/>
  <c r="M162" i="63"/>
  <c r="M19" i="63"/>
  <c r="M152" i="52"/>
  <c r="M34" i="63" s="1"/>
  <c r="M173" i="63"/>
  <c r="M229" i="63" s="1"/>
  <c r="M201" i="16" s="1"/>
  <c r="M50" i="63"/>
  <c r="K715" i="19"/>
  <c r="K702" i="19"/>
  <c r="K779" i="19" s="1"/>
  <c r="J253" i="19"/>
  <c r="I176" i="19"/>
  <c r="J564" i="19"/>
  <c r="I487" i="19"/>
  <c r="L51" i="63"/>
  <c r="L66" i="63" s="1"/>
  <c r="J190" i="33" s="1"/>
  <c r="L179" i="63"/>
  <c r="K32" i="19"/>
  <c r="K109" i="19" s="1"/>
  <c r="I86" i="16"/>
  <c r="I118" i="63"/>
  <c r="I108" i="52"/>
  <c r="J652" i="19"/>
  <c r="J729" i="19" s="1"/>
  <c r="J724" i="19"/>
  <c r="I647" i="19"/>
  <c r="J725" i="19"/>
  <c r="I648" i="19"/>
  <c r="J108" i="19"/>
  <c r="I31" i="19"/>
  <c r="I108" i="19" s="1"/>
  <c r="K112" i="19"/>
  <c r="J35" i="19"/>
  <c r="J112" i="19" s="1"/>
  <c r="J732" i="19"/>
  <c r="I655" i="19"/>
  <c r="J423" i="19"/>
  <c r="I346" i="19"/>
  <c r="M191" i="63"/>
  <c r="M53" i="63"/>
  <c r="M68" i="63" s="1"/>
  <c r="K285" i="33" s="1"/>
  <c r="J201" i="19"/>
  <c r="J278" i="19" s="1"/>
  <c r="J273" i="19"/>
  <c r="I196" i="19"/>
  <c r="J583" i="19"/>
  <c r="J511" i="19"/>
  <c r="J588" i="19" s="1"/>
  <c r="I506" i="19"/>
  <c r="J274" i="19"/>
  <c r="I197" i="19"/>
  <c r="J894" i="19"/>
  <c r="I817" i="19"/>
  <c r="J275" i="19"/>
  <c r="I198" i="19"/>
  <c r="J585" i="19"/>
  <c r="I508" i="19"/>
  <c r="J122" i="19"/>
  <c r="I45" i="19"/>
  <c r="I122" i="19" s="1"/>
  <c r="L197" i="63"/>
  <c r="L54" i="63"/>
  <c r="L69" i="63" s="1"/>
  <c r="J333" i="33" s="1"/>
  <c r="J125" i="19"/>
  <c r="J53" i="19"/>
  <c r="J130" i="19" s="1"/>
  <c r="I48" i="19"/>
  <c r="G381" i="33"/>
  <c r="G382" i="33" s="1"/>
  <c r="H382" i="33"/>
  <c r="H383" i="33"/>
  <c r="J382" i="33"/>
  <c r="J383" i="33"/>
  <c r="J132" i="19"/>
  <c r="J60" i="19"/>
  <c r="J137" i="19" s="1"/>
  <c r="I55" i="19"/>
  <c r="J136" i="19"/>
  <c r="I59" i="19"/>
  <c r="I136" i="19" s="1"/>
  <c r="J176" i="16"/>
  <c r="J24" i="16"/>
  <c r="J39" i="16" s="1"/>
  <c r="L430" i="33"/>
  <c r="L431" i="33"/>
  <c r="J139" i="19"/>
  <c r="J67" i="19"/>
  <c r="J144" i="19" s="1"/>
  <c r="I62" i="19"/>
  <c r="J478" i="33"/>
  <c r="J479" i="33"/>
  <c r="J146" i="19"/>
  <c r="J74" i="19"/>
  <c r="J151" i="19" s="1"/>
  <c r="I69" i="19"/>
  <c r="J150" i="19"/>
  <c r="I73" i="19"/>
  <c r="I150" i="19" s="1"/>
  <c r="J188" i="16"/>
  <c r="J26" i="16"/>
  <c r="J41" i="16" s="1"/>
  <c r="L526" i="33"/>
  <c r="L527" i="33"/>
  <c r="J153" i="19"/>
  <c r="J81" i="19"/>
  <c r="J158" i="19" s="1"/>
  <c r="I76" i="19"/>
  <c r="G573" i="33"/>
  <c r="G574" i="33" s="1"/>
  <c r="H574" i="33"/>
  <c r="H575" i="33"/>
  <c r="J574" i="33"/>
  <c r="J575" i="33"/>
  <c r="K20" i="63"/>
  <c r="I20" i="63" s="1"/>
  <c r="K152" i="53"/>
  <c r="K35" i="63" s="1"/>
  <c r="I35" i="63" s="1"/>
  <c r="L392" i="19"/>
  <c r="L469" i="19" s="1"/>
  <c r="L405" i="19"/>
  <c r="L257" i="19"/>
  <c r="L237" i="19"/>
  <c r="L314" i="19" s="1"/>
  <c r="L877" i="19"/>
  <c r="L857" i="19"/>
  <c r="L934" i="19" s="1"/>
  <c r="I81" i="54"/>
  <c r="I152" i="54" s="1"/>
  <c r="M82" i="19"/>
  <c r="M159" i="19" s="1"/>
  <c r="M95" i="19"/>
  <c r="L23" i="63"/>
  <c r="L152" i="56"/>
  <c r="L38" i="63" s="1"/>
  <c r="O547" i="19"/>
  <c r="O624" i="19" s="1"/>
  <c r="O560" i="19"/>
  <c r="M24" i="63"/>
  <c r="M152" i="57"/>
  <c r="M39" i="63" s="1"/>
  <c r="P702" i="19"/>
  <c r="P779" i="19" s="1"/>
  <c r="P715" i="19"/>
  <c r="I42" i="63"/>
  <c r="G188" i="33"/>
  <c r="G283" i="33"/>
  <c r="G379" i="33"/>
  <c r="G475" i="33"/>
  <c r="G571" i="33"/>
  <c r="J431" i="19"/>
  <c r="I354" i="19"/>
  <c r="J741" i="19"/>
  <c r="I664" i="19"/>
  <c r="J288" i="19"/>
  <c r="I211" i="19"/>
  <c r="J142" i="33"/>
  <c r="I189" i="33"/>
  <c r="G54" i="33"/>
  <c r="G70" i="33" s="1"/>
  <c r="G58" i="33"/>
  <c r="G74" i="33" s="1"/>
  <c r="J13" i="19"/>
  <c r="J710" i="19"/>
  <c r="J638" i="19"/>
  <c r="I633" i="19"/>
  <c r="J14" i="19"/>
  <c r="J401" i="19"/>
  <c r="I324" i="19"/>
  <c r="J402" i="19"/>
  <c r="I325" i="19"/>
  <c r="J712" i="19"/>
  <c r="I635" i="19"/>
  <c r="J16" i="19"/>
  <c r="J94" i="19"/>
  <c r="I17" i="19"/>
  <c r="I94" i="19" s="1"/>
  <c r="K237" i="19"/>
  <c r="K314" i="19" s="1"/>
  <c r="L140" i="16"/>
  <c r="L18" i="16"/>
  <c r="J645" i="19"/>
  <c r="J722" i="19" s="1"/>
  <c r="J717" i="19"/>
  <c r="I640" i="19"/>
  <c r="J21" i="19"/>
  <c r="J22" i="19"/>
  <c r="J99" i="19" s="1"/>
  <c r="I80" i="16"/>
  <c r="M146" i="16"/>
  <c r="M19" i="16"/>
  <c r="M34" i="16" s="1"/>
  <c r="J888" i="19"/>
  <c r="I811" i="19"/>
  <c r="J21" i="16"/>
  <c r="J36" i="16" s="1"/>
  <c r="J158" i="16"/>
  <c r="N53" i="63"/>
  <c r="N68" i="63" s="1"/>
  <c r="L285" i="33" s="1"/>
  <c r="N191" i="63"/>
  <c r="K164" i="16"/>
  <c r="K22" i="16"/>
  <c r="K37" i="16" s="1"/>
  <c r="J128" i="19"/>
  <c r="I51" i="19"/>
  <c r="I128" i="19" s="1"/>
  <c r="I203" i="63"/>
  <c r="I55" i="63"/>
  <c r="I382" i="33"/>
  <c r="I383" i="33"/>
  <c r="M170" i="16"/>
  <c r="M23" i="16"/>
  <c r="M38" i="16" s="1"/>
  <c r="I430" i="33"/>
  <c r="I431" i="33"/>
  <c r="M176" i="16"/>
  <c r="M24" i="16"/>
  <c r="M39" i="16" s="1"/>
  <c r="I116" i="16"/>
  <c r="J147" i="19"/>
  <c r="I70" i="19"/>
  <c r="I147" i="19" s="1"/>
  <c r="K188" i="16"/>
  <c r="K26" i="16"/>
  <c r="K41" i="16" s="1"/>
  <c r="I128" i="16"/>
  <c r="J44" i="63"/>
  <c r="D7" i="48" s="1"/>
  <c r="I34" i="63"/>
  <c r="I19" i="63"/>
  <c r="N44" i="63"/>
  <c r="D11" i="48" s="1"/>
  <c r="N29" i="63"/>
  <c r="L21" i="63"/>
  <c r="L29" i="63" s="1"/>
  <c r="L152" i="54"/>
  <c r="L36" i="63" s="1"/>
  <c r="L44" i="63" s="1"/>
  <c r="D9" i="48" s="1"/>
  <c r="M547" i="19"/>
  <c r="M624" i="19" s="1"/>
  <c r="M560" i="19"/>
  <c r="N25" i="19"/>
  <c r="N102" i="19" s="1"/>
  <c r="I102" i="55"/>
  <c r="P25" i="19"/>
  <c r="P102" i="19" s="1"/>
  <c r="I102" i="57"/>
  <c r="Q25" i="19"/>
  <c r="Q102" i="19" s="1"/>
  <c r="I102" i="58"/>
  <c r="Q722" i="19"/>
  <c r="Q702" i="19"/>
  <c r="Q779" i="19" s="1"/>
  <c r="J26" i="63"/>
  <c r="I26" i="63" s="1"/>
  <c r="J152" i="59"/>
  <c r="J41" i="63" s="1"/>
  <c r="I41" i="63" s="1"/>
  <c r="R237" i="19"/>
  <c r="R314" i="19" s="1"/>
  <c r="R250" i="19"/>
  <c r="I28" i="63"/>
  <c r="M34" i="15"/>
  <c r="M29" i="15"/>
  <c r="J580" i="19"/>
  <c r="I503" i="19"/>
  <c r="J283" i="19"/>
  <c r="I206" i="19"/>
  <c r="I208" i="19" s="1"/>
  <c r="J443" i="19"/>
  <c r="I366" i="19"/>
  <c r="J753" i="19"/>
  <c r="I676" i="19"/>
  <c r="J309" i="19"/>
  <c r="I232" i="19"/>
  <c r="J311" i="19"/>
  <c r="I234" i="19"/>
  <c r="X82" i="19"/>
  <c r="X159" i="19" s="1"/>
  <c r="W82" i="19"/>
  <c r="W159" i="19" s="1"/>
  <c r="W95" i="19"/>
  <c r="K37" i="15"/>
  <c r="I37" i="15" s="1"/>
  <c r="I22" i="15"/>
  <c r="J41" i="15"/>
  <c r="I41" i="15" s="1"/>
  <c r="I26" i="15"/>
  <c r="AB102" i="19"/>
  <c r="AB82" i="19"/>
  <c r="AB159" i="19" s="1"/>
  <c r="L200" i="16"/>
  <c r="L162" i="15"/>
  <c r="K65" i="15"/>
  <c r="K60" i="15"/>
  <c r="K75" i="15" s="1"/>
  <c r="H53" i="15"/>
  <c r="I68" i="15"/>
  <c r="I256" i="19"/>
  <c r="J102" i="17"/>
  <c r="J131" i="17"/>
  <c r="I290" i="19"/>
  <c r="AA102" i="19"/>
  <c r="AA82" i="19"/>
  <c r="AA159" i="19" s="1"/>
  <c r="AD95" i="19"/>
  <c r="AD82" i="19"/>
  <c r="AD159" i="19" s="1"/>
  <c r="M65" i="15"/>
  <c r="M60" i="15"/>
  <c r="M75" i="15" s="1"/>
  <c r="H55" i="15"/>
  <c r="I70" i="15"/>
  <c r="I261" i="19"/>
  <c r="J106" i="17"/>
  <c r="I277" i="19"/>
  <c r="J120" i="17"/>
  <c r="I280" i="19"/>
  <c r="J122" i="17"/>
  <c r="J208" i="19"/>
  <c r="J285" i="19" s="1"/>
  <c r="I289" i="19"/>
  <c r="J130" i="17"/>
  <c r="I305" i="19"/>
  <c r="J144" i="17"/>
  <c r="I236" i="19"/>
  <c r="J146" i="17"/>
  <c r="I308" i="19"/>
  <c r="I612" i="19"/>
  <c r="L141" i="17"/>
  <c r="L207" i="17" s="1"/>
  <c r="N229" i="63"/>
  <c r="N201" i="16" s="1"/>
  <c r="J169" i="38"/>
  <c r="I169" i="38" s="1"/>
  <c r="H168" i="38" s="1"/>
  <c r="I166" i="38"/>
  <c r="J162" i="59"/>
  <c r="I162" i="59" s="1"/>
  <c r="H161" i="59" s="1"/>
  <c r="I159" i="59"/>
  <c r="I169" i="61"/>
  <c r="H167" i="61" s="1"/>
  <c r="H171" i="62"/>
  <c r="G169" i="62" s="1"/>
  <c r="I162" i="37"/>
  <c r="H161" i="37" s="1"/>
  <c r="I166" i="44"/>
  <c r="J162" i="54"/>
  <c r="I162" i="54" s="1"/>
  <c r="H160" i="54" s="1"/>
  <c r="I159" i="54"/>
  <c r="I159" i="56"/>
  <c r="J162" i="56"/>
  <c r="I162" i="56" s="1"/>
  <c r="H160" i="56" s="1"/>
  <c r="I166" i="45"/>
  <c r="J169" i="45"/>
  <c r="I169" i="45" s="1"/>
  <c r="H168" i="45" s="1"/>
  <c r="J162" i="53"/>
  <c r="I162" i="53" s="1"/>
  <c r="H161" i="53" s="1"/>
  <c r="I159" i="53"/>
  <c r="I162" i="45"/>
  <c r="H161" i="45" s="1"/>
  <c r="I169" i="58"/>
  <c r="H168" i="58" s="1"/>
  <c r="I169" i="55"/>
  <c r="H166" i="55" s="1"/>
  <c r="J162" i="61"/>
  <c r="I162" i="61" s="1"/>
  <c r="H160" i="61" s="1"/>
  <c r="I159" i="61"/>
  <c r="I169" i="60"/>
  <c r="H168" i="60" s="1"/>
  <c r="I166" i="41"/>
  <c r="J169" i="41"/>
  <c r="I169" i="41" s="1"/>
  <c r="H167" i="41" s="1"/>
  <c r="J169" i="37"/>
  <c r="I169" i="37" s="1"/>
  <c r="H168" i="37" s="1"/>
  <c r="I166" i="37"/>
  <c r="J169" i="44"/>
  <c r="I169" i="44" s="1"/>
  <c r="H167" i="44" s="1"/>
  <c r="I169" i="52"/>
  <c r="H166" i="52" s="1"/>
  <c r="I162" i="46"/>
  <c r="H161" i="46" s="1"/>
  <c r="I162" i="42"/>
  <c r="H161" i="42" s="1"/>
  <c r="I169" i="59"/>
  <c r="H167" i="59" s="1"/>
  <c r="I164" i="62"/>
  <c r="H164" i="62" s="1"/>
  <c r="G163" i="62" s="1"/>
  <c r="H161" i="62"/>
  <c r="J162" i="60"/>
  <c r="I162" i="60" s="1"/>
  <c r="H160" i="60" s="1"/>
  <c r="I159" i="60"/>
  <c r="I162" i="41"/>
  <c r="H159" i="41" s="1"/>
  <c r="I169" i="54"/>
  <c r="H166" i="54" s="1"/>
  <c r="I162" i="14"/>
  <c r="H160" i="14" s="1"/>
  <c r="I169" i="56"/>
  <c r="H168" i="56" s="1"/>
  <c r="J169" i="43"/>
  <c r="I169" i="43" s="1"/>
  <c r="H168" i="43" s="1"/>
  <c r="I166" i="43"/>
  <c r="I159" i="57"/>
  <c r="J162" i="57"/>
  <c r="I162" i="57" s="1"/>
  <c r="H161" i="57" s="1"/>
  <c r="J162" i="58"/>
  <c r="I162" i="58" s="1"/>
  <c r="H161" i="58" s="1"/>
  <c r="I159" i="58"/>
  <c r="H161" i="44"/>
  <c r="I166" i="40"/>
  <c r="J169" i="40"/>
  <c r="I169" i="40" s="1"/>
  <c r="H168" i="40" s="1"/>
  <c r="J169" i="42"/>
  <c r="I169" i="42" s="1"/>
  <c r="H167" i="42" s="1"/>
  <c r="I166" i="42"/>
  <c r="I162" i="38"/>
  <c r="H161" i="38" s="1"/>
  <c r="I159" i="55"/>
  <c r="J162" i="55"/>
  <c r="I162" i="55" s="1"/>
  <c r="H161" i="55" s="1"/>
  <c r="J162" i="52"/>
  <c r="I162" i="52" s="1"/>
  <c r="H161" i="52" s="1"/>
  <c r="I159" i="52"/>
  <c r="J169" i="14"/>
  <c r="I169" i="14" s="1"/>
  <c r="H167" i="14" s="1"/>
  <c r="I166" i="14"/>
  <c r="J169" i="46"/>
  <c r="I169" i="46" s="1"/>
  <c r="H167" i="46" s="1"/>
  <c r="I166" i="46"/>
  <c r="G162" i="62" l="1"/>
  <c r="H167" i="58"/>
  <c r="H160" i="43"/>
  <c r="H159" i="43"/>
  <c r="H162" i="43" s="1"/>
  <c r="H167" i="53"/>
  <c r="H166" i="53"/>
  <c r="H168" i="59"/>
  <c r="H159" i="52"/>
  <c r="H167" i="52"/>
  <c r="H159" i="44"/>
  <c r="H162" i="44" s="1"/>
  <c r="H160" i="59"/>
  <c r="H166" i="61"/>
  <c r="H169" i="61" s="1"/>
  <c r="H168" i="61"/>
  <c r="H167" i="37"/>
  <c r="H167" i="57"/>
  <c r="H168" i="57"/>
  <c r="H167" i="38"/>
  <c r="G170" i="62"/>
  <c r="H167" i="40"/>
  <c r="H160" i="57"/>
  <c r="H161" i="40"/>
  <c r="H160" i="40"/>
  <c r="H168" i="54"/>
  <c r="H159" i="37"/>
  <c r="G168" i="62"/>
  <c r="H159" i="55"/>
  <c r="H166" i="40"/>
  <c r="H159" i="57"/>
  <c r="H162" i="57" s="1"/>
  <c r="H161" i="54"/>
  <c r="H159" i="54"/>
  <c r="H161" i="56"/>
  <c r="H166" i="60"/>
  <c r="H169" i="60" s="1"/>
  <c r="H159" i="45"/>
  <c r="H162" i="45" s="1"/>
  <c r="H160" i="41"/>
  <c r="H168" i="52"/>
  <c r="H160" i="45"/>
  <c r="H159" i="60"/>
  <c r="H162" i="60" s="1"/>
  <c r="H159" i="61"/>
  <c r="H162" i="61" s="1"/>
  <c r="H166" i="14"/>
  <c r="I285" i="19"/>
  <c r="J44" i="17"/>
  <c r="J61" i="17" s="1"/>
  <c r="H98" i="33"/>
  <c r="H85" i="33" s="1"/>
  <c r="H166" i="42"/>
  <c r="H169" i="42" s="1"/>
  <c r="H159" i="58"/>
  <c r="H166" i="43"/>
  <c r="H169" i="43" s="1"/>
  <c r="G161" i="62"/>
  <c r="H161" i="14"/>
  <c r="H166" i="37"/>
  <c r="H167" i="45"/>
  <c r="H160" i="53"/>
  <c r="H168" i="14"/>
  <c r="H167" i="54"/>
  <c r="H159" i="56"/>
  <c r="H166" i="38"/>
  <c r="H161" i="60"/>
  <c r="J212" i="17"/>
  <c r="J210" i="17"/>
  <c r="I144" i="17"/>
  <c r="I210" i="17" s="1"/>
  <c r="J196" i="17"/>
  <c r="I130" i="17"/>
  <c r="I196" i="17" s="1"/>
  <c r="J186" i="17"/>
  <c r="I120" i="17"/>
  <c r="I186" i="17" s="1"/>
  <c r="J172" i="17"/>
  <c r="I106" i="17"/>
  <c r="I172" i="17" s="1"/>
  <c r="J168" i="17"/>
  <c r="I194" i="16"/>
  <c r="I27" i="16"/>
  <c r="I435" i="33"/>
  <c r="I437" i="33"/>
  <c r="I387" i="33"/>
  <c r="I389" i="33"/>
  <c r="I70" i="63"/>
  <c r="I888" i="19"/>
  <c r="N112" i="17"/>
  <c r="N178" i="17" s="1"/>
  <c r="I146" i="16"/>
  <c r="I19" i="16"/>
  <c r="J98" i="19"/>
  <c r="I21" i="19"/>
  <c r="I98" i="19" s="1"/>
  <c r="L33" i="16"/>
  <c r="L28" i="16"/>
  <c r="L43" i="16" s="1"/>
  <c r="I712" i="19"/>
  <c r="M94" i="17"/>
  <c r="M160" i="17" s="1"/>
  <c r="I402" i="19"/>
  <c r="K94" i="17"/>
  <c r="K160" i="17" s="1"/>
  <c r="I401" i="19"/>
  <c r="K93" i="17"/>
  <c r="K159" i="17" s="1"/>
  <c r="J91" i="19"/>
  <c r="I14" i="19"/>
  <c r="I91" i="19" s="1"/>
  <c r="J702" i="19"/>
  <c r="J715" i="19"/>
  <c r="J90" i="19"/>
  <c r="J18" i="19"/>
  <c r="G479" i="33"/>
  <c r="G476" i="33"/>
  <c r="G284" i="33"/>
  <c r="J579" i="33"/>
  <c r="J581" i="33"/>
  <c r="H579" i="33"/>
  <c r="H581" i="33"/>
  <c r="L531" i="33"/>
  <c r="L533" i="33"/>
  <c r="I74" i="19"/>
  <c r="I146" i="19"/>
  <c r="L435" i="33"/>
  <c r="L437" i="33"/>
  <c r="I60" i="19"/>
  <c r="I132" i="19"/>
  <c r="I53" i="19"/>
  <c r="I125" i="19"/>
  <c r="I273" i="19"/>
  <c r="J116" i="17"/>
  <c r="I201" i="19"/>
  <c r="I152" i="16"/>
  <c r="I20" i="16"/>
  <c r="I564" i="19"/>
  <c r="L100" i="17"/>
  <c r="L166" i="17" s="1"/>
  <c r="I253" i="19"/>
  <c r="J74" i="17"/>
  <c r="J99" i="17"/>
  <c r="M65" i="63"/>
  <c r="K143" i="33" s="1"/>
  <c r="M60" i="63"/>
  <c r="M75" i="63" s="1"/>
  <c r="M44" i="63"/>
  <c r="D10" i="48" s="1"/>
  <c r="I140" i="16"/>
  <c r="I18" i="16"/>
  <c r="I35" i="19"/>
  <c r="I112" i="19" s="1"/>
  <c r="H779" i="19"/>
  <c r="M25" i="17" s="1"/>
  <c r="M15" i="17"/>
  <c r="I771" i="19"/>
  <c r="M47" i="17"/>
  <c r="M64" i="17" s="1"/>
  <c r="K101" i="33"/>
  <c r="K88" i="33" s="1"/>
  <c r="M194" i="17"/>
  <c r="J216" i="17"/>
  <c r="J214" i="17"/>
  <c r="J208" i="17"/>
  <c r="I142" i="17"/>
  <c r="I208" i="17" s="1"/>
  <c r="I299" i="19"/>
  <c r="J46" i="17"/>
  <c r="J63" i="17" s="1"/>
  <c r="H100" i="33"/>
  <c r="H87" i="33" s="1"/>
  <c r="J198" i="17"/>
  <c r="I132" i="17"/>
  <c r="I198" i="17" s="1"/>
  <c r="J180" i="17"/>
  <c r="J174" i="17"/>
  <c r="I108" i="17"/>
  <c r="I174" i="17" s="1"/>
  <c r="I200" i="16"/>
  <c r="I162" i="15"/>
  <c r="J209" i="17"/>
  <c r="I532" i="19"/>
  <c r="I604" i="19"/>
  <c r="L134" i="17"/>
  <c r="I24" i="63"/>
  <c r="I36" i="63"/>
  <c r="I429" i="19"/>
  <c r="K117" i="17"/>
  <c r="K183" i="17" s="1"/>
  <c r="I738" i="19"/>
  <c r="I666" i="19"/>
  <c r="M116" i="17"/>
  <c r="I578" i="19"/>
  <c r="L112" i="17"/>
  <c r="L178" i="17" s="1"/>
  <c r="K239" i="33"/>
  <c r="K238" i="33" s="1"/>
  <c r="I239" i="33"/>
  <c r="I238" i="33" s="1"/>
  <c r="I807" i="19"/>
  <c r="I879" i="19"/>
  <c r="N104" i="17"/>
  <c r="L65" i="63"/>
  <c r="J143" i="33" s="1"/>
  <c r="L60" i="63"/>
  <c r="L75" i="63" s="1"/>
  <c r="J65" i="63"/>
  <c r="H143" i="33" s="1"/>
  <c r="J60" i="63"/>
  <c r="J75" i="63" s="1"/>
  <c r="I713" i="19"/>
  <c r="M95" i="17"/>
  <c r="M161" i="17" s="1"/>
  <c r="I60" i="16"/>
  <c r="H314" i="19"/>
  <c r="J25" i="17" s="1"/>
  <c r="J15" i="17"/>
  <c r="I769" i="19"/>
  <c r="M143" i="17"/>
  <c r="M209" i="17" s="1"/>
  <c r="I459" i="19"/>
  <c r="K143" i="17"/>
  <c r="K209" i="17" s="1"/>
  <c r="I295" i="19"/>
  <c r="J135" i="17"/>
  <c r="I904" i="19"/>
  <c r="N126" i="17"/>
  <c r="N192" i="17" s="1"/>
  <c r="I594" i="19"/>
  <c r="L126" i="17"/>
  <c r="L192" i="17" s="1"/>
  <c r="I902" i="19"/>
  <c r="N124" i="17"/>
  <c r="N190" i="17" s="1"/>
  <c r="I592" i="19"/>
  <c r="L124" i="17"/>
  <c r="L190" i="17" s="1"/>
  <c r="I900" i="19"/>
  <c r="I828" i="19"/>
  <c r="N122" i="17"/>
  <c r="I876" i="19"/>
  <c r="N102" i="17"/>
  <c r="N168" i="17" s="1"/>
  <c r="I410" i="19"/>
  <c r="K101" i="17"/>
  <c r="K167" i="17" s="1"/>
  <c r="I869" i="19"/>
  <c r="N96" i="17"/>
  <c r="N162" i="17" s="1"/>
  <c r="I559" i="19"/>
  <c r="L96" i="17"/>
  <c r="L162" i="17" s="1"/>
  <c r="G332" i="33"/>
  <c r="I38" i="63"/>
  <c r="L579" i="33"/>
  <c r="L581" i="33"/>
  <c r="J531" i="33"/>
  <c r="J533" i="33"/>
  <c r="H531" i="33"/>
  <c r="H533" i="33"/>
  <c r="L387" i="33"/>
  <c r="L389" i="33"/>
  <c r="H334" i="33"/>
  <c r="G333" i="33"/>
  <c r="H335" i="33"/>
  <c r="I286" i="33"/>
  <c r="I287" i="33"/>
  <c r="I293" i="33" s="1"/>
  <c r="J113" i="19"/>
  <c r="I36" i="19"/>
  <c r="I113" i="19" s="1"/>
  <c r="I422" i="19"/>
  <c r="K111" i="17"/>
  <c r="K177" i="17" s="1"/>
  <c r="J111" i="19"/>
  <c r="J39" i="19"/>
  <c r="J116" i="19" s="1"/>
  <c r="I34" i="19"/>
  <c r="I191" i="63"/>
  <c r="I53" i="63"/>
  <c r="I415" i="19"/>
  <c r="K105" i="17"/>
  <c r="K171" i="17" s="1"/>
  <c r="I414" i="19"/>
  <c r="I342" i="19"/>
  <c r="K104" i="17"/>
  <c r="K33" i="16"/>
  <c r="K28" i="16"/>
  <c r="K43" i="16" s="1"/>
  <c r="I557" i="19"/>
  <c r="L94" i="17"/>
  <c r="L160" i="17" s="1"/>
  <c r="I118" i="19"/>
  <c r="G49" i="33"/>
  <c r="H95" i="19"/>
  <c r="H82" i="19"/>
  <c r="H159" i="19" s="1"/>
  <c r="N60" i="63"/>
  <c r="N75" i="63" s="1"/>
  <c r="H238" i="33"/>
  <c r="J194" i="17"/>
  <c r="I128" i="17"/>
  <c r="I194" i="17" s="1"/>
  <c r="J192" i="17"/>
  <c r="I126" i="17"/>
  <c r="I192" i="17" s="1"/>
  <c r="J190" i="17"/>
  <c r="I124" i="17"/>
  <c r="I190" i="17" s="1"/>
  <c r="M202" i="16"/>
  <c r="J185" i="17"/>
  <c r="J141" i="17"/>
  <c r="I302" i="19"/>
  <c r="I755" i="19"/>
  <c r="M131" i="17"/>
  <c r="M197" i="17" s="1"/>
  <c r="I445" i="19"/>
  <c r="K131" i="17"/>
  <c r="K197" i="17" s="1"/>
  <c r="I281" i="19"/>
  <c r="J123" i="17"/>
  <c r="I890" i="19"/>
  <c r="N114" i="17"/>
  <c r="N180" i="17" s="1"/>
  <c r="I334" i="33"/>
  <c r="I335" i="33"/>
  <c r="I430" i="19"/>
  <c r="K118" i="17"/>
  <c r="K184" i="17" s="1"/>
  <c r="I739" i="19"/>
  <c r="M117" i="17"/>
  <c r="M183" i="17" s="1"/>
  <c r="I577" i="19"/>
  <c r="L111" i="17"/>
  <c r="L177" i="17" s="1"/>
  <c r="I814" i="19"/>
  <c r="I886" i="19"/>
  <c r="N110" i="17"/>
  <c r="I259" i="19"/>
  <c r="J104" i="17"/>
  <c r="I187" i="19"/>
  <c r="I719" i="19"/>
  <c r="M100" i="17"/>
  <c r="M166" i="17" s="1"/>
  <c r="I409" i="19"/>
  <c r="K100" i="17"/>
  <c r="K166" i="17" s="1"/>
  <c r="I408" i="19"/>
  <c r="K99" i="17"/>
  <c r="K165" i="17" s="1"/>
  <c r="K74" i="17"/>
  <c r="K82" i="17" s="1"/>
  <c r="I58" i="16"/>
  <c r="I53" i="16"/>
  <c r="J97" i="19"/>
  <c r="J25" i="19"/>
  <c r="J102" i="19" s="1"/>
  <c r="I403" i="19"/>
  <c r="K95" i="17"/>
  <c r="K161" i="17" s="1"/>
  <c r="I932" i="19"/>
  <c r="N150" i="17"/>
  <c r="N216" i="17" s="1"/>
  <c r="I622" i="19"/>
  <c r="L150" i="17"/>
  <c r="L216" i="17" s="1"/>
  <c r="I930" i="19"/>
  <c r="N148" i="17"/>
  <c r="N214" i="17" s="1"/>
  <c r="I620" i="19"/>
  <c r="L148" i="17"/>
  <c r="L214" i="17" s="1"/>
  <c r="I928" i="19"/>
  <c r="I856" i="19"/>
  <c r="N146" i="17"/>
  <c r="I269" i="19"/>
  <c r="J113" i="17"/>
  <c r="N44" i="15"/>
  <c r="E11" i="48"/>
  <c r="I29" i="15"/>
  <c r="H29" i="15" s="1"/>
  <c r="H19" i="15"/>
  <c r="I34" i="15"/>
  <c r="J104" i="19"/>
  <c r="J32" i="19"/>
  <c r="J109" i="19" s="1"/>
  <c r="I27" i="19"/>
  <c r="I873" i="19"/>
  <c r="N74" i="17"/>
  <c r="N82" i="17" s="1"/>
  <c r="N99" i="17"/>
  <c r="N165" i="17" s="1"/>
  <c r="I490" i="19"/>
  <c r="I562" i="19"/>
  <c r="L98" i="17"/>
  <c r="L73" i="17"/>
  <c r="M33" i="16"/>
  <c r="M28" i="16"/>
  <c r="M43" i="16" s="1"/>
  <c r="I558" i="19"/>
  <c r="L95" i="17"/>
  <c r="L161" i="17" s="1"/>
  <c r="I867" i="19"/>
  <c r="N94" i="17"/>
  <c r="N160" i="17" s="1"/>
  <c r="I556" i="19"/>
  <c r="L93" i="17"/>
  <c r="L159" i="17" s="1"/>
  <c r="I865" i="19"/>
  <c r="I793" i="19"/>
  <c r="N92" i="17"/>
  <c r="N75" i="17"/>
  <c r="N83" i="17" s="1"/>
  <c r="I28" i="19"/>
  <c r="I105" i="19" s="1"/>
  <c r="I778" i="19"/>
  <c r="M48" i="17"/>
  <c r="M65" i="17" s="1"/>
  <c r="K102" i="33"/>
  <c r="K89" i="33" s="1"/>
  <c r="M139" i="17"/>
  <c r="M205" i="17" s="1"/>
  <c r="M200" i="17"/>
  <c r="I750" i="19"/>
  <c r="M44" i="17"/>
  <c r="M61" i="17" s="1"/>
  <c r="K98" i="33"/>
  <c r="K85" i="33" s="1"/>
  <c r="K151" i="17"/>
  <c r="K217" i="17" s="1"/>
  <c r="K212" i="17"/>
  <c r="K206" i="17"/>
  <c r="I454" i="19"/>
  <c r="K46" i="17"/>
  <c r="K63" i="17" s="1"/>
  <c r="I100" i="33"/>
  <c r="I87" i="33" s="1"/>
  <c r="K194" i="17"/>
  <c r="I440" i="19"/>
  <c r="K44" i="17"/>
  <c r="K61" i="17" s="1"/>
  <c r="I98" i="33"/>
  <c r="I85" i="33" s="1"/>
  <c r="I229" i="19"/>
  <c r="J162" i="17"/>
  <c r="I96" i="17"/>
  <c r="I162" i="17" s="1"/>
  <c r="P95" i="19"/>
  <c r="P82" i="19"/>
  <c r="P159" i="19" s="1"/>
  <c r="I22" i="63"/>
  <c r="K531" i="33"/>
  <c r="K533" i="33"/>
  <c r="I531" i="33"/>
  <c r="I533" i="33"/>
  <c r="I188" i="16"/>
  <c r="I26" i="16"/>
  <c r="I740" i="19"/>
  <c r="M118" i="17"/>
  <c r="M184" i="17" s="1"/>
  <c r="I268" i="19"/>
  <c r="J112" i="17"/>
  <c r="I887" i="19"/>
  <c r="N111" i="17"/>
  <c r="N177" i="17" s="1"/>
  <c r="I267" i="19"/>
  <c r="J111" i="17"/>
  <c r="I504" i="19"/>
  <c r="I576" i="19"/>
  <c r="L110" i="17"/>
  <c r="I407" i="19"/>
  <c r="I335" i="19"/>
  <c r="K98" i="17"/>
  <c r="K73" i="17"/>
  <c r="J392" i="19"/>
  <c r="J405" i="19"/>
  <c r="G533" i="33"/>
  <c r="H934" i="19"/>
  <c r="N25" i="17" s="1"/>
  <c r="N15" i="17"/>
  <c r="I767" i="19"/>
  <c r="M141" i="17"/>
  <c r="M207" i="17" s="1"/>
  <c r="I457" i="19"/>
  <c r="K141" i="17"/>
  <c r="K207" i="17" s="1"/>
  <c r="I297" i="19"/>
  <c r="J137" i="17"/>
  <c r="I566" i="19"/>
  <c r="L102" i="17"/>
  <c r="L168" i="17" s="1"/>
  <c r="G142" i="33"/>
  <c r="O82" i="19"/>
  <c r="O159" i="19" s="1"/>
  <c r="O95" i="19"/>
  <c r="L334" i="33"/>
  <c r="L335" i="33"/>
  <c r="I895" i="19"/>
  <c r="N118" i="17"/>
  <c r="N184" i="17" s="1"/>
  <c r="I584" i="19"/>
  <c r="L117" i="17"/>
  <c r="L183" i="17" s="1"/>
  <c r="I893" i="19"/>
  <c r="I821" i="19"/>
  <c r="N116" i="17"/>
  <c r="I421" i="19"/>
  <c r="I349" i="19"/>
  <c r="K110" i="17"/>
  <c r="L191" i="33"/>
  <c r="L192" i="33"/>
  <c r="G190" i="33"/>
  <c r="G191" i="33" s="1"/>
  <c r="H191" i="33"/>
  <c r="H192" i="33"/>
  <c r="K229" i="63"/>
  <c r="K201" i="16" s="1"/>
  <c r="K29" i="63"/>
  <c r="J560" i="19"/>
  <c r="J547" i="19"/>
  <c r="I245" i="19"/>
  <c r="J92" i="17"/>
  <c r="J75" i="17"/>
  <c r="I173" i="19"/>
  <c r="J237" i="19"/>
  <c r="J250" i="19"/>
  <c r="I20" i="19"/>
  <c r="I13" i="19"/>
  <c r="L239" i="33"/>
  <c r="L238" i="33" s="1"/>
  <c r="I65" i="63"/>
  <c r="I37" i="16"/>
  <c r="I130" i="16"/>
  <c r="I196" i="16" s="1"/>
  <c r="H160" i="55"/>
  <c r="H167" i="43"/>
  <c r="H160" i="52"/>
  <c r="H160" i="38"/>
  <c r="H166" i="58"/>
  <c r="I313" i="19"/>
  <c r="J48" i="17"/>
  <c r="J65" i="17" s="1"/>
  <c r="H102" i="33"/>
  <c r="H89" i="33" s="1"/>
  <c r="J188" i="17"/>
  <c r="J127" i="17"/>
  <c r="J197" i="17"/>
  <c r="I131" i="17"/>
  <c r="I197" i="17" s="1"/>
  <c r="I311" i="19"/>
  <c r="J149" i="17"/>
  <c r="I309" i="19"/>
  <c r="J147" i="17"/>
  <c r="I753" i="19"/>
  <c r="M129" i="17"/>
  <c r="M195" i="17" s="1"/>
  <c r="I443" i="19"/>
  <c r="K129" i="17"/>
  <c r="K195" i="17" s="1"/>
  <c r="I283" i="19"/>
  <c r="J125" i="17"/>
  <c r="I580" i="19"/>
  <c r="L114" i="17"/>
  <c r="L180" i="17" s="1"/>
  <c r="M44" i="15"/>
  <c r="E10" i="48"/>
  <c r="F11" i="48"/>
  <c r="M16" i="48"/>
  <c r="J29" i="63"/>
  <c r="J230" i="63" s="1"/>
  <c r="M15" i="48"/>
  <c r="I182" i="16"/>
  <c r="I25" i="16"/>
  <c r="L286" i="33"/>
  <c r="L287" i="33"/>
  <c r="L293" i="33" s="1"/>
  <c r="I717" i="19"/>
  <c r="I645" i="19"/>
  <c r="M98" i="17"/>
  <c r="M73" i="17"/>
  <c r="J93" i="19"/>
  <c r="I16" i="19"/>
  <c r="I93" i="19" s="1"/>
  <c r="I710" i="19"/>
  <c r="I638" i="19"/>
  <c r="M92" i="17"/>
  <c r="M75" i="17"/>
  <c r="M83" i="17" s="1"/>
  <c r="J129" i="17"/>
  <c r="I288" i="19"/>
  <c r="I741" i="19"/>
  <c r="M119" i="17"/>
  <c r="M185" i="17" s="1"/>
  <c r="I431" i="19"/>
  <c r="K119" i="17"/>
  <c r="K185" i="17" s="1"/>
  <c r="G575" i="33"/>
  <c r="G572" i="33"/>
  <c r="G383" i="33"/>
  <c r="G380" i="33"/>
  <c r="G189" i="33"/>
  <c r="G192" i="33" s="1"/>
  <c r="I81" i="19"/>
  <c r="I153" i="19"/>
  <c r="J483" i="33"/>
  <c r="J485" i="33"/>
  <c r="I67" i="19"/>
  <c r="I139" i="19"/>
  <c r="J387" i="33"/>
  <c r="J389" i="33"/>
  <c r="H387" i="33"/>
  <c r="H389" i="33"/>
  <c r="J334" i="33"/>
  <c r="J335" i="33"/>
  <c r="I585" i="19"/>
  <c r="L118" i="17"/>
  <c r="L184" i="17" s="1"/>
  <c r="I275" i="19"/>
  <c r="J118" i="17"/>
  <c r="I894" i="19"/>
  <c r="N117" i="17"/>
  <c r="N183" i="17" s="1"/>
  <c r="J117" i="17"/>
  <c r="I274" i="19"/>
  <c r="I511" i="19"/>
  <c r="L116" i="17"/>
  <c r="I583" i="19"/>
  <c r="K287" i="33"/>
  <c r="K293" i="33" s="1"/>
  <c r="I423" i="19"/>
  <c r="K112" i="17"/>
  <c r="K178" i="17" s="1"/>
  <c r="I732" i="19"/>
  <c r="M111" i="17"/>
  <c r="M177" i="17" s="1"/>
  <c r="I725" i="19"/>
  <c r="M105" i="17"/>
  <c r="M171" i="17" s="1"/>
  <c r="I724" i="19"/>
  <c r="I652" i="19"/>
  <c r="M104" i="17"/>
  <c r="I185" i="63"/>
  <c r="I52" i="63"/>
  <c r="J191" i="33"/>
  <c r="J192" i="33"/>
  <c r="M29" i="63"/>
  <c r="M230" i="63" s="1"/>
  <c r="I926" i="19"/>
  <c r="N47" i="17"/>
  <c r="N64" i="17" s="1"/>
  <c r="L101" i="33"/>
  <c r="L88" i="33" s="1"/>
  <c r="M206" i="17"/>
  <c r="M145" i="17"/>
  <c r="M211" i="17" s="1"/>
  <c r="I680" i="19"/>
  <c r="L145" i="17"/>
  <c r="L211" i="17" s="1"/>
  <c r="J200" i="17"/>
  <c r="J139" i="17"/>
  <c r="I85" i="15"/>
  <c r="H82" i="15" s="1"/>
  <c r="I90" i="15"/>
  <c r="N202" i="16"/>
  <c r="H27" i="15"/>
  <c r="I918" i="19"/>
  <c r="N138" i="17"/>
  <c r="N204" i="17" s="1"/>
  <c r="I608" i="19"/>
  <c r="L138" i="17"/>
  <c r="L204" i="17" s="1"/>
  <c r="I916" i="19"/>
  <c r="N136" i="17"/>
  <c r="N202" i="17" s="1"/>
  <c r="I606" i="19"/>
  <c r="L136" i="17"/>
  <c r="L202" i="17" s="1"/>
  <c r="I914" i="19"/>
  <c r="I842" i="19"/>
  <c r="N134" i="17"/>
  <c r="I727" i="19"/>
  <c r="M107" i="17"/>
  <c r="M173" i="17" s="1"/>
  <c r="I417" i="19"/>
  <c r="K107" i="17"/>
  <c r="K173" i="17" s="1"/>
  <c r="I255" i="19"/>
  <c r="J101" i="17"/>
  <c r="I39" i="63"/>
  <c r="N95" i="19"/>
  <c r="N82" i="19"/>
  <c r="N159" i="19" s="1"/>
  <c r="I21" i="63"/>
  <c r="K579" i="33"/>
  <c r="K581" i="33"/>
  <c r="I73" i="63"/>
  <c r="K483" i="33"/>
  <c r="K485" i="33"/>
  <c r="I71" i="63"/>
  <c r="K387" i="33"/>
  <c r="K389" i="33"/>
  <c r="K334" i="33"/>
  <c r="K335" i="33"/>
  <c r="I197" i="63"/>
  <c r="I54" i="63"/>
  <c r="I428" i="19"/>
  <c r="I356" i="19"/>
  <c r="K116" i="17"/>
  <c r="J286" i="33"/>
  <c r="J287" i="33"/>
  <c r="J293" i="33" s="1"/>
  <c r="I191" i="33"/>
  <c r="I192" i="33"/>
  <c r="I718" i="19"/>
  <c r="M99" i="17"/>
  <c r="M165" i="17" s="1"/>
  <c r="M74" i="17"/>
  <c r="M82" i="17" s="1"/>
  <c r="I85" i="63"/>
  <c r="I90" i="63"/>
  <c r="L229" i="63"/>
  <c r="L201" i="16" s="1"/>
  <c r="L202" i="16" s="1"/>
  <c r="I518" i="19"/>
  <c r="I590" i="19"/>
  <c r="L122" i="17"/>
  <c r="I122" i="17" s="1"/>
  <c r="I188" i="17" s="1"/>
  <c r="G431" i="33"/>
  <c r="I23" i="63"/>
  <c r="L483" i="33"/>
  <c r="L485" i="33"/>
  <c r="J435" i="33"/>
  <c r="J437" i="33"/>
  <c r="H435" i="33"/>
  <c r="H437" i="33"/>
  <c r="I158" i="16"/>
  <c r="I21" i="16"/>
  <c r="I874" i="19"/>
  <c r="N100" i="17"/>
  <c r="N166" i="17" s="1"/>
  <c r="I254" i="19"/>
  <c r="J100" i="17"/>
  <c r="I563" i="19"/>
  <c r="L99" i="17"/>
  <c r="L165" i="17" s="1"/>
  <c r="L74" i="17"/>
  <c r="L82" i="17" s="1"/>
  <c r="I872" i="19"/>
  <c r="I800" i="19"/>
  <c r="N98" i="17"/>
  <c r="N73" i="17"/>
  <c r="G53" i="33"/>
  <c r="G69" i="33" s="1"/>
  <c r="I22" i="19"/>
  <c r="I99" i="19" s="1"/>
  <c r="H103" i="62"/>
  <c r="G50" i="33"/>
  <c r="G66" i="33" s="1"/>
  <c r="H42" i="62"/>
  <c r="H41" i="62"/>
  <c r="H24" i="62"/>
  <c r="I154" i="62"/>
  <c r="H30" i="62"/>
  <c r="H32" i="62"/>
  <c r="H34" i="62"/>
  <c r="H36" i="62"/>
  <c r="H38" i="62"/>
  <c r="H40" i="62"/>
  <c r="H48" i="62"/>
  <c r="H50" i="62"/>
  <c r="H52" i="62"/>
  <c r="H54" i="62"/>
  <c r="H57" i="62"/>
  <c r="H59" i="62"/>
  <c r="H62" i="62"/>
  <c r="H64" i="62"/>
  <c r="H66" i="62"/>
  <c r="H69" i="62"/>
  <c r="H71" i="62"/>
  <c r="H74" i="62"/>
  <c r="H76" i="62"/>
  <c r="H78" i="62"/>
  <c r="H21" i="62"/>
  <c r="H23" i="62"/>
  <c r="H27" i="62"/>
  <c r="H29" i="62"/>
  <c r="H35" i="62"/>
  <c r="H45" i="62"/>
  <c r="H47" i="62"/>
  <c r="H51" i="62"/>
  <c r="H53" i="62"/>
  <c r="H56" i="62"/>
  <c r="H58" i="62"/>
  <c r="H60" i="62"/>
  <c r="H63" i="62"/>
  <c r="H65" i="62"/>
  <c r="H68" i="62"/>
  <c r="H70" i="62"/>
  <c r="H72" i="62"/>
  <c r="H75" i="62"/>
  <c r="H77" i="62"/>
  <c r="H67" i="62"/>
  <c r="H37" i="62"/>
  <c r="H39" i="62"/>
  <c r="H33" i="62"/>
  <c r="H61" i="62"/>
  <c r="H22" i="62"/>
  <c r="H79" i="62"/>
  <c r="H55" i="62"/>
  <c r="H43" i="62"/>
  <c r="H73" i="62"/>
  <c r="H46" i="62"/>
  <c r="H44" i="62"/>
  <c r="H28" i="62"/>
  <c r="H26" i="62"/>
  <c r="H20" i="62"/>
  <c r="H25" i="62"/>
  <c r="J239" i="33"/>
  <c r="I92" i="63"/>
  <c r="H84" i="63"/>
  <c r="L144" i="33"/>
  <c r="L145" i="33"/>
  <c r="G237" i="33"/>
  <c r="I215" i="19"/>
  <c r="H28" i="15"/>
  <c r="H25" i="15"/>
  <c r="K202" i="16"/>
  <c r="R95" i="19"/>
  <c r="R82" i="19"/>
  <c r="R159" i="19" s="1"/>
  <c r="I579" i="33"/>
  <c r="I581" i="33"/>
  <c r="I74" i="63"/>
  <c r="I483" i="33"/>
  <c r="I485" i="33"/>
  <c r="I72" i="63"/>
  <c r="I170" i="16"/>
  <c r="I23" i="16"/>
  <c r="G285" i="33"/>
  <c r="G287" i="33" s="1"/>
  <c r="G293" i="33" s="1"/>
  <c r="H286" i="33"/>
  <c r="H287" i="33"/>
  <c r="H293" i="33" s="1"/>
  <c r="I880" i="19"/>
  <c r="N105" i="17"/>
  <c r="N171" i="17" s="1"/>
  <c r="I570" i="19"/>
  <c r="L105" i="17"/>
  <c r="L171" i="17" s="1"/>
  <c r="J105" i="17"/>
  <c r="I260" i="19"/>
  <c r="I497" i="19"/>
  <c r="L104" i="17"/>
  <c r="I569" i="19"/>
  <c r="K191" i="33"/>
  <c r="K192" i="33"/>
  <c r="I179" i="63"/>
  <c r="I51" i="63"/>
  <c r="I60" i="63" s="1"/>
  <c r="H624" i="19"/>
  <c r="L25" i="17" s="1"/>
  <c r="L15" i="17"/>
  <c r="I546" i="19"/>
  <c r="I618" i="19"/>
  <c r="L146" i="17"/>
  <c r="I146" i="17" s="1"/>
  <c r="I212" i="17" s="1"/>
  <c r="J44" i="15"/>
  <c r="E7" i="48"/>
  <c r="I252" i="19"/>
  <c r="J98" i="17"/>
  <c r="J73" i="17"/>
  <c r="I180" i="19"/>
  <c r="K82" i="19"/>
  <c r="K159" i="19" s="1"/>
  <c r="J870" i="19"/>
  <c r="J857" i="19"/>
  <c r="N145" i="17"/>
  <c r="N211" i="17" s="1"/>
  <c r="M151" i="17"/>
  <c r="M217" i="17" s="1"/>
  <c r="M212" i="17"/>
  <c r="I764" i="19"/>
  <c r="M46" i="17"/>
  <c r="M63" i="17" s="1"/>
  <c r="K100" i="33"/>
  <c r="K87" i="33" s="1"/>
  <c r="M127" i="17"/>
  <c r="M193" i="17" s="1"/>
  <c r="M188" i="17"/>
  <c r="L133" i="17"/>
  <c r="L199" i="17" s="1"/>
  <c r="I468" i="19"/>
  <c r="K48" i="17"/>
  <c r="K65" i="17" s="1"/>
  <c r="I102" i="33"/>
  <c r="I89" i="33" s="1"/>
  <c r="I384" i="19"/>
  <c r="K139" i="17"/>
  <c r="K205" i="17" s="1"/>
  <c r="K200" i="17"/>
  <c r="I370" i="19"/>
  <c r="K127" i="17"/>
  <c r="K193" i="17" s="1"/>
  <c r="K188" i="17"/>
  <c r="J145" i="17"/>
  <c r="J206" i="17"/>
  <c r="I140" i="17"/>
  <c r="I206" i="17" s="1"/>
  <c r="J204" i="17"/>
  <c r="I138" i="17"/>
  <c r="I204" i="17" s="1"/>
  <c r="J202" i="17"/>
  <c r="I136" i="17"/>
  <c r="I202" i="17" s="1"/>
  <c r="H60" i="15"/>
  <c r="I75" i="15"/>
  <c r="H70" i="15" s="1"/>
  <c r="H54" i="15"/>
  <c r="H52" i="15"/>
  <c r="H56" i="15"/>
  <c r="H58" i="15"/>
  <c r="H50" i="15"/>
  <c r="J173" i="17"/>
  <c r="I107" i="17"/>
  <c r="I173" i="17" s="1"/>
  <c r="J202" i="16"/>
  <c r="H24" i="15"/>
  <c r="H23" i="15"/>
  <c r="H21" i="15"/>
  <c r="K44" i="15"/>
  <c r="E8" i="48"/>
  <c r="Q82" i="19"/>
  <c r="Q159" i="19" s="1"/>
  <c r="Q95" i="19"/>
  <c r="I37" i="63"/>
  <c r="K435" i="33"/>
  <c r="K437" i="33"/>
  <c r="I176" i="16"/>
  <c r="I24" i="16"/>
  <c r="J118" i="19"/>
  <c r="J46" i="19"/>
  <c r="J123" i="19" s="1"/>
  <c r="I266" i="19"/>
  <c r="I194" i="19"/>
  <c r="J110" i="17"/>
  <c r="N33" i="16"/>
  <c r="N28" i="16"/>
  <c r="N43" i="16" s="1"/>
  <c r="J33" i="16"/>
  <c r="J28" i="16"/>
  <c r="J43" i="16" s="1"/>
  <c r="I711" i="19"/>
  <c r="M93" i="17"/>
  <c r="M159" i="17" s="1"/>
  <c r="I400" i="19"/>
  <c r="K92" i="17"/>
  <c r="I328" i="19"/>
  <c r="K75" i="17"/>
  <c r="K83" i="17" s="1"/>
  <c r="L44" i="15"/>
  <c r="E9" i="48"/>
  <c r="F9" i="48" s="1"/>
  <c r="L82" i="19"/>
  <c r="L159" i="19" s="1"/>
  <c r="H483" i="33"/>
  <c r="H485" i="33"/>
  <c r="I733" i="19"/>
  <c r="M112" i="17"/>
  <c r="M178" i="17" s="1"/>
  <c r="I731" i="19"/>
  <c r="I659" i="19"/>
  <c r="M110" i="17"/>
  <c r="K65" i="63"/>
  <c r="I143" i="33" s="1"/>
  <c r="K60" i="63"/>
  <c r="K75" i="63" s="1"/>
  <c r="K44" i="63"/>
  <c r="D8" i="48" s="1"/>
  <c r="F8" i="48" s="1"/>
  <c r="I868" i="19"/>
  <c r="N95" i="17"/>
  <c r="N161" i="17" s="1"/>
  <c r="J95" i="17"/>
  <c r="I248" i="19"/>
  <c r="I247" i="19"/>
  <c r="J94" i="17"/>
  <c r="I866" i="19"/>
  <c r="N93" i="17"/>
  <c r="N159" i="17" s="1"/>
  <c r="J93" i="17"/>
  <c r="I246" i="19"/>
  <c r="I483" i="19"/>
  <c r="L92" i="17"/>
  <c r="I555" i="19"/>
  <c r="L75" i="17"/>
  <c r="L83" i="17" s="1"/>
  <c r="I43" i="19"/>
  <c r="I120" i="19" s="1"/>
  <c r="H469" i="19"/>
  <c r="K25" i="17" s="1"/>
  <c r="K15" i="17"/>
  <c r="I162" i="63"/>
  <c r="I229" i="63" s="1"/>
  <c r="I201" i="16" s="1"/>
  <c r="H168" i="46"/>
  <c r="H168" i="55"/>
  <c r="H160" i="46"/>
  <c r="H168" i="44"/>
  <c r="H167" i="55"/>
  <c r="H168" i="42"/>
  <c r="H168" i="41"/>
  <c r="H159" i="38"/>
  <c r="H161" i="41"/>
  <c r="H166" i="41"/>
  <c r="H166" i="59"/>
  <c r="H169" i="59" s="1"/>
  <c r="H167" i="60"/>
  <c r="H159" i="46"/>
  <c r="H162" i="46" s="1"/>
  <c r="H166" i="56"/>
  <c r="H161" i="61"/>
  <c r="H166" i="46"/>
  <c r="H169" i="46" s="1"/>
  <c r="H160" i="42"/>
  <c r="H160" i="37"/>
  <c r="H160" i="58"/>
  <c r="H167" i="56"/>
  <c r="H159" i="53"/>
  <c r="H166" i="45"/>
  <c r="H169" i="45" s="1"/>
  <c r="H159" i="14"/>
  <c r="H166" i="44"/>
  <c r="H169" i="44" s="1"/>
  <c r="H159" i="42"/>
  <c r="H162" i="42" s="1"/>
  <c r="H159" i="59"/>
  <c r="G164" i="62" l="1"/>
  <c r="H162" i="52"/>
  <c r="H169" i="55"/>
  <c r="H169" i="58"/>
  <c r="H162" i="41"/>
  <c r="H169" i="38"/>
  <c r="H169" i="57"/>
  <c r="H169" i="53"/>
  <c r="H169" i="37"/>
  <c r="H162" i="59"/>
  <c r="H162" i="37"/>
  <c r="H162" i="55"/>
  <c r="G171" i="62"/>
  <c r="H169" i="40"/>
  <c r="H162" i="58"/>
  <c r="H162" i="40"/>
  <c r="H169" i="52"/>
  <c r="H169" i="14"/>
  <c r="H162" i="54"/>
  <c r="H162" i="56"/>
  <c r="H169" i="54"/>
  <c r="H162" i="14"/>
  <c r="H162" i="53"/>
  <c r="H162" i="38"/>
  <c r="G9" i="48"/>
  <c r="H9" i="48"/>
  <c r="H60" i="63"/>
  <c r="I75" i="63"/>
  <c r="H75" i="63" s="1"/>
  <c r="H59" i="63"/>
  <c r="H57" i="63"/>
  <c r="H55" i="63"/>
  <c r="H50" i="63"/>
  <c r="H58" i="63"/>
  <c r="H56" i="63"/>
  <c r="G196" i="33"/>
  <c r="G198" i="33"/>
  <c r="L97" i="17"/>
  <c r="L158" i="17"/>
  <c r="J160" i="17"/>
  <c r="I94" i="17"/>
  <c r="I160" i="17" s="1"/>
  <c r="G8" i="48"/>
  <c r="H8" i="48"/>
  <c r="I405" i="19"/>
  <c r="I392" i="19"/>
  <c r="K39" i="17"/>
  <c r="K56" i="17" s="1"/>
  <c r="I93" i="33"/>
  <c r="I80" i="33" s="1"/>
  <c r="I271" i="19"/>
  <c r="J42" i="17"/>
  <c r="J59" i="17" s="1"/>
  <c r="H96" i="33"/>
  <c r="H83" i="33" s="1"/>
  <c r="I39" i="16"/>
  <c r="J211" i="17"/>
  <c r="I257" i="19"/>
  <c r="J40" i="17"/>
  <c r="J57" i="17" s="1"/>
  <c r="H94" i="33"/>
  <c r="H81" i="33" s="1"/>
  <c r="N76" i="17"/>
  <c r="N84" i="17" s="1"/>
  <c r="N81" i="17"/>
  <c r="I877" i="19"/>
  <c r="N40" i="17"/>
  <c r="N57" i="17" s="1"/>
  <c r="L94" i="33"/>
  <c r="L81" i="33" s="1"/>
  <c r="G435" i="33"/>
  <c r="G437" i="33"/>
  <c r="I93" i="63"/>
  <c r="H85" i="63"/>
  <c r="H83" i="63"/>
  <c r="K182" i="17"/>
  <c r="K121" i="17"/>
  <c r="K187" i="17" s="1"/>
  <c r="J167" i="17"/>
  <c r="I101" i="17"/>
  <c r="I167" i="17" s="1"/>
  <c r="N200" i="17"/>
  <c r="N139" i="17"/>
  <c r="N205" i="17" s="1"/>
  <c r="H83" i="15"/>
  <c r="H84" i="15"/>
  <c r="H85" i="15"/>
  <c r="I93" i="15"/>
  <c r="H90" i="15" s="1"/>
  <c r="I134" i="17"/>
  <c r="I200" i="17" s="1"/>
  <c r="I729" i="19"/>
  <c r="M41" i="17"/>
  <c r="M58" i="17" s="1"/>
  <c r="K95" i="33"/>
  <c r="K82" i="33" s="1"/>
  <c r="K291" i="33"/>
  <c r="L121" i="17"/>
  <c r="L187" i="17" s="1"/>
  <c r="L182" i="17"/>
  <c r="J184" i="17"/>
  <c r="I118" i="17"/>
  <c r="I184" i="17" s="1"/>
  <c r="J339" i="33"/>
  <c r="J341" i="33"/>
  <c r="I715" i="19"/>
  <c r="I702" i="19"/>
  <c r="M39" i="17"/>
  <c r="M56" i="17" s="1"/>
  <c r="K93" i="33"/>
  <c r="K80" i="33" s="1"/>
  <c r="M76" i="17"/>
  <c r="M84" i="17" s="1"/>
  <c r="M81" i="17"/>
  <c r="I722" i="19"/>
  <c r="M40" i="17"/>
  <c r="M57" i="17" s="1"/>
  <c r="K94" i="33"/>
  <c r="K81" i="33" s="1"/>
  <c r="L291" i="33"/>
  <c r="M17" i="48"/>
  <c r="M19" i="48"/>
  <c r="J191" i="17"/>
  <c r="I125" i="17"/>
  <c r="I191" i="17" s="1"/>
  <c r="J213" i="17"/>
  <c r="I147" i="17"/>
  <c r="I213" i="17" s="1"/>
  <c r="J215" i="17"/>
  <c r="I149" i="17"/>
  <c r="I215" i="17" s="1"/>
  <c r="H53" i="33"/>
  <c r="H69" i="33" s="1"/>
  <c r="I25" i="19"/>
  <c r="I97" i="19"/>
  <c r="J314" i="19"/>
  <c r="J24" i="17" s="1"/>
  <c r="J16" i="17"/>
  <c r="J18" i="17" s="1"/>
  <c r="I75" i="17"/>
  <c r="J83" i="17"/>
  <c r="L196" i="33"/>
  <c r="L198" i="33"/>
  <c r="K115" i="17"/>
  <c r="K181" i="17" s="1"/>
  <c r="K176" i="17"/>
  <c r="I898" i="19"/>
  <c r="N43" i="17"/>
  <c r="N60" i="17" s="1"/>
  <c r="L97" i="33"/>
  <c r="L84" i="33" s="1"/>
  <c r="L339" i="33"/>
  <c r="L341" i="33"/>
  <c r="J469" i="19"/>
  <c r="K24" i="17" s="1"/>
  <c r="K29" i="17" s="1"/>
  <c r="K16" i="17"/>
  <c r="K20" i="17" s="1"/>
  <c r="K103" i="17"/>
  <c r="K169" i="17" s="1"/>
  <c r="K164" i="17"/>
  <c r="J177" i="17"/>
  <c r="I111" i="17"/>
  <c r="I177" i="17" s="1"/>
  <c r="J178" i="17"/>
  <c r="I112" i="17"/>
  <c r="I178" i="17" s="1"/>
  <c r="I41" i="16"/>
  <c r="H65" i="15"/>
  <c r="K145" i="17"/>
  <c r="K211" i="17" s="1"/>
  <c r="I857" i="19"/>
  <c r="I870" i="19"/>
  <c r="N39" i="17"/>
  <c r="N56" i="17" s="1"/>
  <c r="L93" i="33"/>
  <c r="L80" i="33" s="1"/>
  <c r="L81" i="17"/>
  <c r="L76" i="17"/>
  <c r="L84" i="17" s="1"/>
  <c r="I44" i="15"/>
  <c r="H34" i="15"/>
  <c r="I933" i="19"/>
  <c r="N48" i="17"/>
  <c r="N65" i="17" s="1"/>
  <c r="L102" i="33"/>
  <c r="L89" i="33" s="1"/>
  <c r="H50" i="16"/>
  <c r="H51" i="16"/>
  <c r="H53" i="16"/>
  <c r="I61" i="16"/>
  <c r="J109" i="17"/>
  <c r="J170" i="17"/>
  <c r="I104" i="17"/>
  <c r="I170" i="17" s="1"/>
  <c r="N176" i="17"/>
  <c r="N115" i="17"/>
  <c r="N181" i="17" s="1"/>
  <c r="I891" i="19"/>
  <c r="N42" i="17"/>
  <c r="N59" i="17" s="1"/>
  <c r="L96" i="33"/>
  <c r="L83" i="33" s="1"/>
  <c r="J189" i="17"/>
  <c r="I123" i="17"/>
  <c r="I189" i="17" s="1"/>
  <c r="I119" i="17"/>
  <c r="I185" i="17" s="1"/>
  <c r="G65" i="33"/>
  <c r="G75" i="33" s="1"/>
  <c r="G59" i="33"/>
  <c r="K170" i="17"/>
  <c r="K109" i="17"/>
  <c r="K175" i="17" s="1"/>
  <c r="I291" i="33"/>
  <c r="G334" i="33"/>
  <c r="G335" i="33"/>
  <c r="N188" i="17"/>
  <c r="N127" i="17"/>
  <c r="N193" i="17" s="1"/>
  <c r="I15" i="17"/>
  <c r="N109" i="17"/>
  <c r="N175" i="17" s="1"/>
  <c r="N170" i="17"/>
  <c r="I884" i="19"/>
  <c r="N41" i="17"/>
  <c r="N58" i="17" s="1"/>
  <c r="L95" i="33"/>
  <c r="L82" i="33" s="1"/>
  <c r="I743" i="19"/>
  <c r="M43" i="17"/>
  <c r="M60" i="17" s="1"/>
  <c r="K97" i="33"/>
  <c r="K84" i="33" s="1"/>
  <c r="I202" i="16"/>
  <c r="I148" i="17"/>
  <c r="I214" i="17" s="1"/>
  <c r="I150" i="17"/>
  <c r="I216" i="17" s="1"/>
  <c r="M133" i="17"/>
  <c r="M199" i="17" s="1"/>
  <c r="J165" i="17"/>
  <c r="I99" i="17"/>
  <c r="I165" i="17" s="1"/>
  <c r="J121" i="17"/>
  <c r="J182" i="17"/>
  <c r="I116" i="17"/>
  <c r="I182" i="17" s="1"/>
  <c r="G483" i="33"/>
  <c r="G485" i="33"/>
  <c r="J779" i="19"/>
  <c r="M24" i="17" s="1"/>
  <c r="M29" i="17" s="1"/>
  <c r="M16" i="17"/>
  <c r="M20" i="17" s="1"/>
  <c r="H26" i="15"/>
  <c r="I102" i="17"/>
  <c r="I168" i="17" s="1"/>
  <c r="L230" i="63"/>
  <c r="I144" i="33"/>
  <c r="I145" i="33"/>
  <c r="I736" i="19"/>
  <c r="M42" i="17"/>
  <c r="M59" i="17" s="1"/>
  <c r="K96" i="33"/>
  <c r="K83" i="33" s="1"/>
  <c r="H75" i="15"/>
  <c r="H67" i="15"/>
  <c r="H71" i="15"/>
  <c r="H69" i="15"/>
  <c r="H73" i="15"/>
  <c r="H66" i="15"/>
  <c r="I461" i="19"/>
  <c r="K47" i="17"/>
  <c r="K64" i="17" s="1"/>
  <c r="I101" i="33"/>
  <c r="I88" i="33" s="1"/>
  <c r="J164" i="17"/>
  <c r="I98" i="17"/>
  <c r="I164" i="17" s="1"/>
  <c r="J103" i="17"/>
  <c r="H51" i="63"/>
  <c r="I66" i="63"/>
  <c r="H66" i="63" s="1"/>
  <c r="K196" i="33"/>
  <c r="K198" i="33"/>
  <c r="L41" i="17"/>
  <c r="L58" i="17" s="1"/>
  <c r="I574" i="19"/>
  <c r="J95" i="33"/>
  <c r="J82" i="33" s="1"/>
  <c r="J171" i="17"/>
  <c r="I105" i="17"/>
  <c r="I171" i="17" s="1"/>
  <c r="G291" i="33"/>
  <c r="G286" i="33"/>
  <c r="I292" i="19"/>
  <c r="J45" i="17"/>
  <c r="J62" i="17" s="1"/>
  <c r="H99" i="33"/>
  <c r="H86" i="33" s="1"/>
  <c r="L149" i="33"/>
  <c r="L151" i="33"/>
  <c r="J243" i="33"/>
  <c r="J245" i="33"/>
  <c r="H169" i="56"/>
  <c r="H169" i="41"/>
  <c r="K18" i="17"/>
  <c r="I547" i="19"/>
  <c r="L39" i="17"/>
  <c r="L56" i="17" s="1"/>
  <c r="I560" i="19"/>
  <c r="J93" i="33"/>
  <c r="J80" i="33" s="1"/>
  <c r="J159" i="17"/>
  <c r="I93" i="17"/>
  <c r="I159" i="17" s="1"/>
  <c r="J161" i="17"/>
  <c r="I95" i="17"/>
  <c r="I161" i="17" s="1"/>
  <c r="M115" i="17"/>
  <c r="M181" i="17" s="1"/>
  <c r="M176" i="17"/>
  <c r="I9" i="48"/>
  <c r="K158" i="17"/>
  <c r="K97" i="17"/>
  <c r="J176" i="17"/>
  <c r="I110" i="17"/>
  <c r="I176" i="17" s="1"/>
  <c r="J115" i="17"/>
  <c r="I8" i="48"/>
  <c r="H74" i="15"/>
  <c r="I447" i="19"/>
  <c r="K45" i="17"/>
  <c r="K62" i="17" s="1"/>
  <c r="I99" i="33"/>
  <c r="I86" i="33" s="1"/>
  <c r="J934" i="19"/>
  <c r="N24" i="17" s="1"/>
  <c r="N29" i="17" s="1"/>
  <c r="N16" i="17"/>
  <c r="N20" i="17" s="1"/>
  <c r="J76" i="17"/>
  <c r="J84" i="17" s="1"/>
  <c r="I73" i="17"/>
  <c r="J81" i="17"/>
  <c r="L212" i="17"/>
  <c r="L151" i="17"/>
  <c r="L217" i="17" s="1"/>
  <c r="I623" i="19"/>
  <c r="L48" i="17"/>
  <c r="L65" i="17" s="1"/>
  <c r="J102" i="33"/>
  <c r="J89" i="33" s="1"/>
  <c r="G89" i="33" s="1"/>
  <c r="L109" i="17"/>
  <c r="L175" i="17" s="1"/>
  <c r="L170" i="17"/>
  <c r="H291" i="33"/>
  <c r="I38" i="16"/>
  <c r="H72" i="63"/>
  <c r="H74" i="63"/>
  <c r="G239" i="33"/>
  <c r="G238" i="33" s="1"/>
  <c r="J238" i="33"/>
  <c r="H147" i="62"/>
  <c r="H144" i="62"/>
  <c r="H128" i="62"/>
  <c r="H123" i="62"/>
  <c r="H101" i="62"/>
  <c r="H96" i="62"/>
  <c r="H146" i="62"/>
  <c r="H141" i="62"/>
  <c r="H138" i="62"/>
  <c r="H122" i="62"/>
  <c r="H110" i="62"/>
  <c r="H149" i="62"/>
  <c r="H142" i="62"/>
  <c r="H137" i="62"/>
  <c r="H130" i="62"/>
  <c r="H125" i="62"/>
  <c r="H113" i="62"/>
  <c r="H104" i="62"/>
  <c r="H119" i="62"/>
  <c r="H114" i="62"/>
  <c r="H102" i="62"/>
  <c r="H93" i="62"/>
  <c r="H140" i="62"/>
  <c r="H135" i="62"/>
  <c r="H132" i="62"/>
  <c r="H108" i="62"/>
  <c r="H99" i="62"/>
  <c r="H150" i="62"/>
  <c r="H134" i="62"/>
  <c r="H129" i="62"/>
  <c r="H126" i="62"/>
  <c r="H112" i="62"/>
  <c r="H120" i="62"/>
  <c r="H106" i="62"/>
  <c r="H148" i="62"/>
  <c r="H143" i="62"/>
  <c r="H136" i="62"/>
  <c r="H131" i="62"/>
  <c r="H124" i="62"/>
  <c r="H117" i="62"/>
  <c r="H107" i="62"/>
  <c r="H95" i="62"/>
  <c r="H94" i="62"/>
  <c r="H116" i="62"/>
  <c r="H133" i="62"/>
  <c r="H111" i="62"/>
  <c r="H98" i="62"/>
  <c r="H100" i="62"/>
  <c r="H118" i="62"/>
  <c r="H145" i="62"/>
  <c r="H115" i="62"/>
  <c r="H105" i="62"/>
  <c r="H109" i="62"/>
  <c r="H139" i="62"/>
  <c r="H92" i="62"/>
  <c r="H127" i="62"/>
  <c r="H151" i="62"/>
  <c r="H121" i="62"/>
  <c r="N164" i="17"/>
  <c r="N103" i="17"/>
  <c r="N169" i="17" s="1"/>
  <c r="J166" i="17"/>
  <c r="I100" i="17"/>
  <c r="I166" i="17" s="1"/>
  <c r="I36" i="16"/>
  <c r="L188" i="17"/>
  <c r="L127" i="17"/>
  <c r="L193" i="17" s="1"/>
  <c r="I595" i="19"/>
  <c r="L44" i="17"/>
  <c r="L61" i="17" s="1"/>
  <c r="I61" i="17" s="1"/>
  <c r="I54" i="33" s="1"/>
  <c r="I70" i="33" s="1"/>
  <c r="J98" i="33"/>
  <c r="J85" i="33" s="1"/>
  <c r="H82" i="63"/>
  <c r="I196" i="33"/>
  <c r="I198" i="33"/>
  <c r="J291" i="33"/>
  <c r="I433" i="19"/>
  <c r="K43" i="17"/>
  <c r="K60" i="17" s="1"/>
  <c r="I97" i="33"/>
  <c r="I84" i="33" s="1"/>
  <c r="H54" i="63"/>
  <c r="I69" i="63"/>
  <c r="H69" i="63" s="1"/>
  <c r="K339" i="33"/>
  <c r="K341" i="33"/>
  <c r="H71" i="63"/>
  <c r="H73" i="63"/>
  <c r="I919" i="19"/>
  <c r="N46" i="17"/>
  <c r="N63" i="17" s="1"/>
  <c r="L100" i="33"/>
  <c r="L87" i="33" s="1"/>
  <c r="H72" i="15"/>
  <c r="J205" i="17"/>
  <c r="I757" i="19"/>
  <c r="M45" i="17"/>
  <c r="M62" i="17" s="1"/>
  <c r="K99" i="33"/>
  <c r="K86" i="33" s="1"/>
  <c r="J196" i="33"/>
  <c r="J198" i="33"/>
  <c r="H52" i="63"/>
  <c r="I67" i="63"/>
  <c r="H67" i="63" s="1"/>
  <c r="M170" i="17"/>
  <c r="M109" i="17"/>
  <c r="M175" i="17" s="1"/>
  <c r="K286" i="33"/>
  <c r="L43" i="17"/>
  <c r="L60" i="17" s="1"/>
  <c r="I588" i="19"/>
  <c r="J97" i="33"/>
  <c r="J84" i="33" s="1"/>
  <c r="J183" i="17"/>
  <c r="I117" i="17"/>
  <c r="I183" i="17" s="1"/>
  <c r="I46" i="17"/>
  <c r="I144" i="19"/>
  <c r="G100" i="33"/>
  <c r="I48" i="17"/>
  <c r="I158" i="19"/>
  <c r="G102" i="33"/>
  <c r="G387" i="33"/>
  <c r="G389" i="33"/>
  <c r="G579" i="33"/>
  <c r="G581" i="33"/>
  <c r="J195" i="17"/>
  <c r="I129" i="17"/>
  <c r="I195" i="17" s="1"/>
  <c r="M158" i="17"/>
  <c r="M97" i="17"/>
  <c r="M103" i="17"/>
  <c r="M169" i="17" s="1"/>
  <c r="M164" i="17"/>
  <c r="I40" i="16"/>
  <c r="F7" i="48"/>
  <c r="I7" i="48" s="1"/>
  <c r="G11" i="48"/>
  <c r="H11" i="48"/>
  <c r="J193" i="17"/>
  <c r="I65" i="17"/>
  <c r="I58" i="33" s="1"/>
  <c r="I74" i="33" s="1"/>
  <c r="H65" i="63"/>
  <c r="L243" i="33"/>
  <c r="L245" i="33"/>
  <c r="I18" i="19"/>
  <c r="I90" i="19"/>
  <c r="I250" i="19"/>
  <c r="J39" i="17"/>
  <c r="J56" i="17" s="1"/>
  <c r="I237" i="19"/>
  <c r="H93" i="33"/>
  <c r="H80" i="33" s="1"/>
  <c r="J97" i="17"/>
  <c r="J158" i="17"/>
  <c r="I92" i="17"/>
  <c r="I158" i="17" s="1"/>
  <c r="J624" i="19"/>
  <c r="L24" i="17" s="1"/>
  <c r="L29" i="17" s="1"/>
  <c r="L16" i="17"/>
  <c r="L20" i="17" s="1"/>
  <c r="K230" i="63"/>
  <c r="I230" i="63" s="1"/>
  <c r="H196" i="33"/>
  <c r="H198" i="33"/>
  <c r="I426" i="19"/>
  <c r="K42" i="17"/>
  <c r="K59" i="17" s="1"/>
  <c r="I96" i="33"/>
  <c r="I83" i="33" s="1"/>
  <c r="N121" i="17"/>
  <c r="N187" i="17" s="1"/>
  <c r="N182" i="17"/>
  <c r="J203" i="17"/>
  <c r="I137" i="17"/>
  <c r="I203" i="17" s="1"/>
  <c r="N27" i="17"/>
  <c r="K81" i="17"/>
  <c r="K76" i="17"/>
  <c r="K84" i="17" s="1"/>
  <c r="I412" i="19"/>
  <c r="K40" i="17"/>
  <c r="K57" i="17" s="1"/>
  <c r="I94" i="33"/>
  <c r="I81" i="33" s="1"/>
  <c r="L176" i="17"/>
  <c r="L115" i="17"/>
  <c r="L181" i="17" s="1"/>
  <c r="I581" i="19"/>
  <c r="L42" i="17"/>
  <c r="L59" i="17" s="1"/>
  <c r="J96" i="33"/>
  <c r="J83" i="33" s="1"/>
  <c r="J47" i="17"/>
  <c r="J64" i="17" s="1"/>
  <c r="I64" i="17" s="1"/>
  <c r="I57" i="33" s="1"/>
  <c r="I73" i="33" s="1"/>
  <c r="I306" i="19"/>
  <c r="H101" i="33"/>
  <c r="H88" i="33" s="1"/>
  <c r="G88" i="33" s="1"/>
  <c r="K133" i="17"/>
  <c r="K199" i="17" s="1"/>
  <c r="N97" i="17"/>
  <c r="N158" i="17"/>
  <c r="L164" i="17"/>
  <c r="L103" i="17"/>
  <c r="L169" i="17" s="1"/>
  <c r="I567" i="19"/>
  <c r="L40" i="17"/>
  <c r="L57" i="17" s="1"/>
  <c r="J94" i="33"/>
  <c r="J81" i="33" s="1"/>
  <c r="I32" i="19"/>
  <c r="I104" i="19"/>
  <c r="I11" i="48"/>
  <c r="J179" i="17"/>
  <c r="I113" i="17"/>
  <c r="I179" i="17" s="1"/>
  <c r="N212" i="17"/>
  <c r="N151" i="17"/>
  <c r="N217" i="17" s="1"/>
  <c r="I264" i="19"/>
  <c r="J41" i="17"/>
  <c r="J58" i="17" s="1"/>
  <c r="H95" i="33"/>
  <c r="H82" i="33" s="1"/>
  <c r="I339" i="33"/>
  <c r="I341" i="33"/>
  <c r="J207" i="17"/>
  <c r="I141" i="17"/>
  <c r="I207" i="17" s="1"/>
  <c r="J133" i="17"/>
  <c r="H97" i="62"/>
  <c r="I46" i="19"/>
  <c r="I419" i="19"/>
  <c r="K41" i="17"/>
  <c r="K58" i="17" s="1"/>
  <c r="I95" i="33"/>
  <c r="I82" i="33" s="1"/>
  <c r="H53" i="63"/>
  <c r="I68" i="63"/>
  <c r="H68" i="63" s="1"/>
  <c r="I39" i="19"/>
  <c r="I111" i="19"/>
  <c r="H339" i="33"/>
  <c r="H341" i="33"/>
  <c r="I905" i="19"/>
  <c r="N44" i="17"/>
  <c r="N61" i="17" s="1"/>
  <c r="L98" i="33"/>
  <c r="L85" i="33" s="1"/>
  <c r="J201" i="17"/>
  <c r="I135" i="17"/>
  <c r="I201" i="17" s="1"/>
  <c r="H20" i="15"/>
  <c r="I25" i="17"/>
  <c r="J27" i="17"/>
  <c r="H52" i="16"/>
  <c r="H144" i="33"/>
  <c r="G143" i="33"/>
  <c r="G144" i="33" s="1"/>
  <c r="H145" i="33"/>
  <c r="J144" i="33"/>
  <c r="J145" i="33"/>
  <c r="I243" i="33"/>
  <c r="I245" i="33"/>
  <c r="K243" i="33"/>
  <c r="K245" i="33"/>
  <c r="M182" i="17"/>
  <c r="M121" i="17"/>
  <c r="M187" i="17" s="1"/>
  <c r="L200" i="17"/>
  <c r="L139" i="17"/>
  <c r="L205" i="17" s="1"/>
  <c r="I609" i="19"/>
  <c r="L46" i="17"/>
  <c r="L63" i="17" s="1"/>
  <c r="I63" i="17" s="1"/>
  <c r="I56" i="33" s="1"/>
  <c r="I72" i="33" s="1"/>
  <c r="J100" i="33"/>
  <c r="J87" i="33" s="1"/>
  <c r="G87" i="33" s="1"/>
  <c r="I143" i="17"/>
  <c r="I209" i="17" s="1"/>
  <c r="I114" i="17"/>
  <c r="I180" i="17" s="1"/>
  <c r="M18" i="17"/>
  <c r="I33" i="16"/>
  <c r="I28" i="16"/>
  <c r="F10" i="48"/>
  <c r="I10" i="48" s="1"/>
  <c r="K144" i="33"/>
  <c r="K145" i="33"/>
  <c r="I74" i="17"/>
  <c r="J82" i="17"/>
  <c r="H20" i="16"/>
  <c r="I35" i="16"/>
  <c r="I278" i="19"/>
  <c r="J43" i="17"/>
  <c r="J60" i="17" s="1"/>
  <c r="I60" i="17" s="1"/>
  <c r="I53" i="33" s="1"/>
  <c r="I69" i="33" s="1"/>
  <c r="H97" i="33"/>
  <c r="H84" i="33" s="1"/>
  <c r="G84" i="33" s="1"/>
  <c r="I44" i="17"/>
  <c r="I130" i="19"/>
  <c r="G98" i="33"/>
  <c r="I137" i="19"/>
  <c r="I45" i="17"/>
  <c r="G99" i="33"/>
  <c r="I151" i="19"/>
  <c r="I47" i="17"/>
  <c r="G101" i="33"/>
  <c r="J95" i="19"/>
  <c r="J82" i="19"/>
  <c r="J159" i="19" s="1"/>
  <c r="H19" i="16"/>
  <c r="I34" i="16"/>
  <c r="H70" i="63"/>
  <c r="H27" i="16"/>
  <c r="I42" i="16"/>
  <c r="I44" i="63"/>
  <c r="H39" i="63" s="1"/>
  <c r="I29" i="63"/>
  <c r="N230" i="63"/>
  <c r="H22" i="15"/>
  <c r="H68" i="15"/>
  <c r="J151" i="17"/>
  <c r="G85" i="33"/>
  <c r="H51" i="33" l="1"/>
  <c r="H67" i="33" s="1"/>
  <c r="K149" i="33"/>
  <c r="K151" i="33"/>
  <c r="H49" i="33"/>
  <c r="H149" i="33"/>
  <c r="H151" i="33"/>
  <c r="J217" i="17"/>
  <c r="I151" i="17"/>
  <c r="I217" i="17" s="1"/>
  <c r="H29" i="63"/>
  <c r="H20" i="63"/>
  <c r="H28" i="63"/>
  <c r="H27" i="63"/>
  <c r="H19" i="63"/>
  <c r="H25" i="63"/>
  <c r="H26" i="63"/>
  <c r="H58" i="33"/>
  <c r="H74" i="33" s="1"/>
  <c r="I82" i="17"/>
  <c r="H28" i="16"/>
  <c r="I43" i="16"/>
  <c r="H35" i="16" s="1"/>
  <c r="H22" i="16"/>
  <c r="H18" i="16"/>
  <c r="H24" i="63"/>
  <c r="I42" i="17"/>
  <c r="I116" i="19"/>
  <c r="G96" i="33"/>
  <c r="I123" i="19"/>
  <c r="I43" i="17"/>
  <c r="G97" i="33"/>
  <c r="J199" i="17"/>
  <c r="I133" i="17"/>
  <c r="I199" i="17" s="1"/>
  <c r="I58" i="17"/>
  <c r="I51" i="33" s="1"/>
  <c r="I67" i="33" s="1"/>
  <c r="I109" i="19"/>
  <c r="I41" i="17"/>
  <c r="G95" i="33"/>
  <c r="G80" i="33"/>
  <c r="H90" i="33"/>
  <c r="I56" i="17"/>
  <c r="J66" i="17"/>
  <c r="I127" i="17"/>
  <c r="I193" i="17" s="1"/>
  <c r="H40" i="16"/>
  <c r="H56" i="33"/>
  <c r="H72" i="33" s="1"/>
  <c r="M163" i="17"/>
  <c r="M153" i="17"/>
  <c r="M219" i="17" s="1"/>
  <c r="H21" i="63"/>
  <c r="H36" i="16"/>
  <c r="H52" i="33"/>
  <c r="H68" i="33" s="1"/>
  <c r="H23" i="16"/>
  <c r="L27" i="17"/>
  <c r="I76" i="17"/>
  <c r="I81" i="17"/>
  <c r="K163" i="17"/>
  <c r="K153" i="17"/>
  <c r="K219" i="17" s="1"/>
  <c r="L49" i="17"/>
  <c r="I624" i="19"/>
  <c r="J103" i="33"/>
  <c r="G86" i="33"/>
  <c r="J169" i="17"/>
  <c r="I103" i="17"/>
  <c r="I169" i="17" s="1"/>
  <c r="M27" i="17"/>
  <c r="H36" i="63"/>
  <c r="G339" i="33"/>
  <c r="G341" i="33"/>
  <c r="H61" i="16"/>
  <c r="H59" i="16"/>
  <c r="H60" i="16"/>
  <c r="H58" i="16"/>
  <c r="H44" i="15"/>
  <c r="H43" i="15"/>
  <c r="H39" i="15"/>
  <c r="H36" i="15"/>
  <c r="H41" i="15"/>
  <c r="H42" i="15"/>
  <c r="H40" i="15"/>
  <c r="H38" i="15"/>
  <c r="H37" i="15"/>
  <c r="H35" i="15"/>
  <c r="N66" i="17"/>
  <c r="I934" i="19"/>
  <c r="N49" i="17"/>
  <c r="L103" i="33"/>
  <c r="H41" i="16"/>
  <c r="H57" i="33"/>
  <c r="H73" i="33" s="1"/>
  <c r="N18" i="17"/>
  <c r="I83" i="17"/>
  <c r="H75" i="17"/>
  <c r="J29" i="17"/>
  <c r="I24" i="17"/>
  <c r="I29" i="17" s="1"/>
  <c r="I40" i="17"/>
  <c r="I102" i="19"/>
  <c r="G94" i="33"/>
  <c r="M66" i="17"/>
  <c r="H93" i="15"/>
  <c r="H92" i="15"/>
  <c r="H91" i="15"/>
  <c r="G81" i="33"/>
  <c r="H39" i="16"/>
  <c r="H55" i="33"/>
  <c r="H71" i="33" s="1"/>
  <c r="G83" i="33"/>
  <c r="K66" i="17"/>
  <c r="L153" i="17"/>
  <c r="L219" i="17" s="1"/>
  <c r="L163" i="17"/>
  <c r="H44" i="63"/>
  <c r="H35" i="63"/>
  <c r="H43" i="63"/>
  <c r="H40" i="63"/>
  <c r="H41" i="63"/>
  <c r="H34" i="63"/>
  <c r="H42" i="63"/>
  <c r="H34" i="16"/>
  <c r="H50" i="33"/>
  <c r="H66" i="33" s="1"/>
  <c r="G10" i="48"/>
  <c r="H10" i="48"/>
  <c r="J149" i="33"/>
  <c r="J151" i="33"/>
  <c r="G82" i="33"/>
  <c r="N153" i="17"/>
  <c r="N219" i="17" s="1"/>
  <c r="N163" i="17"/>
  <c r="J153" i="17"/>
  <c r="J219" i="17" s="1"/>
  <c r="J163" i="17"/>
  <c r="I97" i="17"/>
  <c r="J49" i="17"/>
  <c r="I314" i="19"/>
  <c r="H103" i="33"/>
  <c r="I82" i="19"/>
  <c r="I95" i="19"/>
  <c r="I39" i="17"/>
  <c r="G93" i="33"/>
  <c r="G7" i="48"/>
  <c r="H7" i="48"/>
  <c r="H25" i="16"/>
  <c r="I139" i="17"/>
  <c r="I205" i="17" s="1"/>
  <c r="H23" i="63"/>
  <c r="H21" i="16"/>
  <c r="G243" i="33"/>
  <c r="G245" i="33"/>
  <c r="H38" i="16"/>
  <c r="H54" i="33"/>
  <c r="H70" i="33" s="1"/>
  <c r="J181" i="17"/>
  <c r="I115" i="17"/>
  <c r="I181" i="17" s="1"/>
  <c r="J90" i="33"/>
  <c r="L66" i="17"/>
  <c r="I62" i="17"/>
  <c r="I55" i="33" s="1"/>
  <c r="I71" i="33" s="1"/>
  <c r="I149" i="33"/>
  <c r="I151" i="33"/>
  <c r="J187" i="17"/>
  <c r="I121" i="17"/>
  <c r="I187" i="17" s="1"/>
  <c r="H38" i="63"/>
  <c r="J175" i="17"/>
  <c r="I109" i="17"/>
  <c r="I175" i="17" s="1"/>
  <c r="L90" i="33"/>
  <c r="H22" i="63"/>
  <c r="H26" i="16"/>
  <c r="G145" i="33"/>
  <c r="J20" i="17"/>
  <c r="I16" i="17"/>
  <c r="I20" i="17" s="1"/>
  <c r="K90" i="33"/>
  <c r="I779" i="19"/>
  <c r="M49" i="17"/>
  <c r="K103" i="33"/>
  <c r="H91" i="63"/>
  <c r="H90" i="63"/>
  <c r="H93" i="63"/>
  <c r="H92" i="63"/>
  <c r="L18" i="17"/>
  <c r="I18" i="17" s="1"/>
  <c r="I57" i="17"/>
  <c r="I50" i="33" s="1"/>
  <c r="I66" i="33" s="1"/>
  <c r="I145" i="17"/>
  <c r="I211" i="17" s="1"/>
  <c r="H37" i="63"/>
  <c r="H24" i="16"/>
  <c r="I59" i="17"/>
  <c r="I52" i="33" s="1"/>
  <c r="I68" i="33" s="1"/>
  <c r="I90" i="33"/>
  <c r="I469" i="19"/>
  <c r="K49" i="17"/>
  <c r="I103" i="33"/>
  <c r="K27" i="17"/>
  <c r="I27" i="17" s="1"/>
  <c r="I49" i="17" l="1"/>
  <c r="I159" i="19"/>
  <c r="G103" i="33"/>
  <c r="I163" i="17"/>
  <c r="I153" i="17"/>
  <c r="I219" i="17" s="1"/>
  <c r="H42" i="16"/>
  <c r="H33" i="16"/>
  <c r="G149" i="33"/>
  <c r="G151" i="33"/>
  <c r="H73" i="17"/>
  <c r="I84" i="17"/>
  <c r="H81" i="17" s="1"/>
  <c r="I66" i="17"/>
  <c r="I49" i="33"/>
  <c r="G90" i="33"/>
  <c r="H43" i="16"/>
  <c r="H37" i="16"/>
  <c r="H74" i="17"/>
  <c r="H59" i="33"/>
  <c r="H65" i="33"/>
  <c r="H75" i="33" s="1"/>
  <c r="H76" i="17" l="1"/>
  <c r="I65" i="33"/>
  <c r="I75" i="33" s="1"/>
  <c r="I59" i="33"/>
  <c r="H82" i="17"/>
  <c r="H83" i="17"/>
  <c r="H84" i="1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tc={0420DBFB-0D03-4FF6-B4E5-B2FEE073724F}</author>
  </authors>
  <commentList>
    <comment ref="F40" authorId="0" shapeId="0" xr:uid="{0420DBFB-0D03-4FF6-B4E5-B2FEE073724F}">
      <text>
        <t>[Threaded comment]
Your version of Excel allows you to read this threaded comment; however, any edits to it will get removed if the file is opened in a newer version of Excel. Learn more: https://go.microsoft.com/fwlink/?linkid=870924
Comment:
    No me dejó cambiar a estimación de costos pues hay una fórmula aquí.</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1100-000001000000}">
      <text>
        <r>
          <rPr>
            <b/>
            <sz val="9"/>
            <rFont val="Tahoma"/>
            <family val="2"/>
          </rPr>
          <t>Instructions: 
Please input the source of information (Partners).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1200-000001000000}">
      <text>
        <r>
          <rPr>
            <b/>
            <sz val="9"/>
            <rFont val="Tahoma"/>
            <family val="2"/>
          </rPr>
          <t>Instructions: 
Please input the source of information (Partners).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1300-000001000000}">
      <text>
        <r>
          <rPr>
            <b/>
            <sz val="9"/>
            <rFont val="Tahoma"/>
            <family val="2"/>
          </rPr>
          <t>Instructions: 
Please input the source of information (Partners).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1400-000001000000}">
      <text>
        <r>
          <rPr>
            <b/>
            <sz val="9"/>
            <rFont val="Tahoma"/>
            <family val="2"/>
          </rPr>
          <t>Instructions: 
Please input the source of information (Partners).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1500-000001000000}">
      <text>
        <r>
          <rPr>
            <b/>
            <sz val="9"/>
            <rFont val="Tahoma"/>
            <family val="2"/>
          </rPr>
          <t xml:space="preserve">Instrucciones: 
</t>
        </r>
        <r>
          <rPr>
            <b/>
            <sz val="9"/>
            <rFont val="Tahoma"/>
            <family val="2"/>
          </rPr>
          <t>Introduzca la fuente de información (Socios).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1600-000001000000}">
      <text>
        <r>
          <rPr>
            <b/>
            <sz val="9"/>
            <rFont val="Tahoma"/>
            <family val="2"/>
          </rPr>
          <t>Instructions: 
Please input the source of information (Partners).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1700-000001000000}">
      <text>
        <r>
          <rPr>
            <b/>
            <sz val="9"/>
            <rFont val="Tahoma"/>
            <family val="2"/>
          </rPr>
          <t>Instructions: 
Please input the source of information (Partners).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1800-000001000000}">
      <text>
        <r>
          <rPr>
            <b/>
            <sz val="9"/>
            <rFont val="Tahoma"/>
            <family val="2"/>
          </rPr>
          <t>Instructions: 
Please input the source of information (Partners).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1900-000001000000}">
      <text>
        <r>
          <rPr>
            <b/>
            <sz val="9"/>
            <rFont val="Tahoma"/>
            <family val="2"/>
          </rPr>
          <t>Instructions: 
Please input the source of information (Partners).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1A00-000001000000}">
      <text>
        <r>
          <rPr>
            <b/>
            <sz val="9"/>
            <rFont val="Tahoma"/>
            <family val="2"/>
          </rPr>
          <t>Instructions: 
Please input the source of information (Partners).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Winthrop Morgan</author>
    <author>Winthrop Morgan, MPH</author>
  </authors>
  <commentList>
    <comment ref="G8" authorId="0" shapeId="0" xr:uid="{00000000-0006-0000-0900-000001000000}">
      <text>
        <r>
          <rPr>
            <b/>
            <sz val="9"/>
            <rFont val="Tahoma"/>
            <family val="2"/>
          </rPr>
          <t xml:space="preserve">Instrucciones: 
</t>
        </r>
        <r>
          <rPr>
            <b/>
            <sz val="9"/>
            <rFont val="Tahoma"/>
            <family val="2"/>
          </rPr>
          <t xml:space="preserve">Introduzca el país donde se utiliza esta herramienta de análisis.
</t>
        </r>
      </text>
    </comment>
    <comment ref="G12" authorId="0" shapeId="0" xr:uid="{00000000-0006-0000-0900-000002000000}">
      <text>
        <r>
          <rPr>
            <b/>
            <sz val="9"/>
            <rFont val="Tahoma"/>
            <family val="2"/>
          </rPr>
          <t xml:space="preserve">Instrucciones: 
</t>
        </r>
        <r>
          <rPr>
            <b/>
            <sz val="9"/>
            <rFont val="Tahoma"/>
            <family val="2"/>
          </rPr>
          <t xml:space="preserve">Introduzca el primer año del período de cinco años que esta herramienta cubrirá.
</t>
        </r>
      </text>
    </comment>
    <comment ref="F19" authorId="1" shapeId="0" xr:uid="{00000000-0006-0000-0900-000003000000}">
      <text>
        <r>
          <rPr>
            <b/>
            <sz val="9"/>
            <rFont val="Tahoma"/>
            <family val="2"/>
          </rPr>
          <t xml:space="preserve">Instrucciones: 
</t>
        </r>
        <r>
          <rPr>
            <b/>
            <sz val="9"/>
            <rFont val="Tahoma"/>
            <family val="2"/>
          </rPr>
          <t>Introduzca el nombre completo de una moneda internacional (p. ej., dólar estadounidense).</t>
        </r>
      </text>
    </comment>
    <comment ref="G19" authorId="1" shapeId="0" xr:uid="{00000000-0006-0000-0900-000004000000}">
      <text>
        <r>
          <rPr>
            <b/>
            <sz val="9"/>
            <rFont val="Tahoma"/>
            <family val="2"/>
          </rPr>
          <t xml:space="preserve">Instrucciones: 
</t>
        </r>
        <r>
          <rPr>
            <b/>
            <sz val="9"/>
            <rFont val="Tahoma"/>
            <family val="2"/>
          </rPr>
          <t>Introduzca la abreviatura de la moneda internacional (p. ej., USD).</t>
        </r>
      </text>
    </comment>
    <comment ref="F20" authorId="1" shapeId="0" xr:uid="{00000000-0006-0000-0900-000005000000}">
      <text>
        <r>
          <rPr>
            <b/>
            <sz val="9"/>
            <rFont val="Tahoma"/>
            <family val="2"/>
          </rPr>
          <t xml:space="preserve">Instrucciones: 
</t>
        </r>
        <r>
          <rPr>
            <b/>
            <sz val="9"/>
            <rFont val="Tahoma"/>
            <family val="2"/>
          </rPr>
          <t>Introduzca el nombre completo de la moneda local (p. ej., franco de Burundi).</t>
        </r>
      </text>
    </comment>
    <comment ref="G20" authorId="1" shapeId="0" xr:uid="{00000000-0006-0000-0900-000006000000}">
      <text>
        <r>
          <rPr>
            <b/>
            <sz val="9"/>
            <rFont val="Tahoma"/>
            <family val="2"/>
          </rPr>
          <t xml:space="preserve">Instrucciones: 
</t>
        </r>
        <r>
          <rPr>
            <b/>
            <sz val="9"/>
            <rFont val="Tahoma"/>
            <family val="2"/>
          </rPr>
          <t>Introduzca la abreviatura de la moneda local (p. ej., BIF).</t>
        </r>
      </text>
    </comment>
    <comment ref="G22" authorId="1" shapeId="0" xr:uid="{00000000-0006-0000-0900-000007000000}">
      <text>
        <r>
          <rPr>
            <b/>
            <sz val="9"/>
            <rFont val="Tahoma"/>
            <family val="2"/>
          </rPr>
          <t xml:space="preserve">Instrucciones: 
</t>
        </r>
        <r>
          <rPr>
            <b/>
            <sz val="9"/>
            <rFont val="Tahoma"/>
            <family val="2"/>
          </rPr>
          <t>Introduzca el tipo de cambio de la moneda internacional a la moneda local.</t>
        </r>
      </text>
    </comment>
    <comment ref="G23" authorId="1" shapeId="0" xr:uid="{00000000-0006-0000-0900-000008000000}">
      <text>
        <r>
          <rPr>
            <b/>
            <sz val="9"/>
            <rFont val="Tahoma"/>
            <family val="2"/>
          </rPr>
          <t xml:space="preserve">Instrucciones: 
</t>
        </r>
        <r>
          <rPr>
            <b/>
            <sz val="9"/>
            <rFont val="Tahoma"/>
            <family val="2"/>
          </rPr>
          <t>Introduzca la fecha en que se consulta el tipo de cambio.</t>
        </r>
      </text>
    </comment>
    <comment ref="G25" authorId="1" shapeId="0" xr:uid="{00000000-0006-0000-0900-000009000000}">
      <text>
        <r>
          <rPr>
            <b/>
            <sz val="9"/>
            <rFont val="Tahoma"/>
            <family val="2"/>
          </rPr>
          <t xml:space="preserve">Instrucciones: 
</t>
        </r>
        <r>
          <rPr>
            <b/>
            <sz val="9"/>
            <rFont val="Tahoma"/>
            <family val="2"/>
          </rPr>
          <t>Introduzca la fuente del tipo de cambio utilizado.</t>
        </r>
      </text>
    </comment>
    <comment ref="F34" authorId="0" shapeId="0" xr:uid="{00000000-0006-0000-0900-00000A000000}">
      <text>
        <r>
          <rPr>
            <b/>
            <sz val="9"/>
            <rFont val="Tahoma"/>
            <family val="2"/>
          </rPr>
          <t xml:space="preserve">Instrucciones:
</t>
        </r>
        <r>
          <rPr>
            <b/>
            <sz val="9"/>
            <rFont val="Tahoma"/>
            <family val="2"/>
          </rPr>
          <t xml:space="preserve">Inserte un objetivo estratégico aquí.
</t>
        </r>
      </text>
    </comment>
    <comment ref="G34" authorId="0" shapeId="0" xr:uid="{00000000-0006-0000-0900-00000B000000}">
      <text>
        <r>
          <rPr>
            <b/>
            <sz val="9"/>
            <rFont val="Tahoma"/>
            <family val="2"/>
          </rPr>
          <t xml:space="preserve">Instrucciones:
</t>
        </r>
        <r>
          <rPr>
            <b/>
            <sz val="9"/>
            <rFont val="Tahoma"/>
            <family val="2"/>
          </rPr>
          <t xml:space="preserve">Inserte un resultado o indicador aquí para el objetivo estratégico de la izquierda.
</t>
        </r>
      </text>
    </comment>
    <comment ref="G35" authorId="0" shapeId="0" xr:uid="{00000000-0006-0000-0900-00000C000000}">
      <text>
        <r>
          <rPr>
            <b/>
            <sz val="9"/>
            <rFont val="Tahoma"/>
            <family val="2"/>
          </rPr>
          <t xml:space="preserve">Instrucciones:
</t>
        </r>
        <r>
          <rPr>
            <b/>
            <sz val="9"/>
            <rFont val="Tahoma"/>
            <family val="2"/>
          </rPr>
          <t xml:space="preserve">Inserte un resultado o indicador aquí para el objetivo estratégico de la izquierda.
</t>
        </r>
      </text>
    </comment>
    <comment ref="G36" authorId="0" shapeId="0" xr:uid="{00000000-0006-0000-0900-00000D000000}">
      <text>
        <r>
          <rPr>
            <b/>
            <sz val="9"/>
            <rFont val="Tahoma"/>
            <family val="2"/>
          </rPr>
          <t xml:space="preserve">Instrucciones:
</t>
        </r>
        <r>
          <rPr>
            <b/>
            <sz val="9"/>
            <rFont val="Tahoma"/>
            <family val="2"/>
          </rPr>
          <t xml:space="preserve">Inserte un resultado o indicador aquí para el objetivo estratégico de la izquierda.
</t>
        </r>
      </text>
    </comment>
    <comment ref="G37" authorId="0" shapeId="0" xr:uid="{00000000-0006-0000-0900-00000E000000}">
      <text>
        <r>
          <rPr>
            <b/>
            <sz val="9"/>
            <rFont val="Tahoma"/>
            <family val="2"/>
          </rPr>
          <t xml:space="preserve">Instrucciones:
</t>
        </r>
        <r>
          <rPr>
            <b/>
            <sz val="9"/>
            <rFont val="Tahoma"/>
            <family val="2"/>
          </rPr>
          <t xml:space="preserve">Inserte un resultado o indicador aquí para el objetivo estratégico de la izquierda.
</t>
        </r>
      </text>
    </comment>
    <comment ref="G38" authorId="0" shapeId="0" xr:uid="{00000000-0006-0000-0900-00000F000000}">
      <text>
        <r>
          <rPr>
            <b/>
            <sz val="9"/>
            <rFont val="Tahoma"/>
            <family val="2"/>
          </rPr>
          <t xml:space="preserve">Instrucciones:
</t>
        </r>
        <r>
          <rPr>
            <b/>
            <sz val="9"/>
            <rFont val="Tahoma"/>
            <family val="2"/>
          </rPr>
          <t xml:space="preserve">Inserte un resultado o indicador aquí para el objetivo estratégico de la izquierda.
</t>
        </r>
      </text>
    </comment>
    <comment ref="F40" authorId="0" shapeId="0" xr:uid="{00000000-0006-0000-0900-000010000000}">
      <text>
        <r>
          <rPr>
            <b/>
            <sz val="9"/>
            <rFont val="Tahoma"/>
            <family val="2"/>
          </rPr>
          <t xml:space="preserve">Instrucciones:
</t>
        </r>
        <r>
          <rPr>
            <b/>
            <sz val="9"/>
            <rFont val="Tahoma"/>
            <family val="2"/>
          </rPr>
          <t xml:space="preserve">Inserte un objetivo estratégico aquí.
</t>
        </r>
      </text>
    </comment>
    <comment ref="G40" authorId="0" shapeId="0" xr:uid="{00000000-0006-0000-0900-000011000000}">
      <text>
        <r>
          <rPr>
            <b/>
            <sz val="9"/>
            <rFont val="Tahoma"/>
            <family val="2"/>
          </rPr>
          <t xml:space="preserve">Instrucciones:
</t>
        </r>
        <r>
          <rPr>
            <b/>
            <sz val="9"/>
            <rFont val="Tahoma"/>
            <family val="2"/>
          </rPr>
          <t xml:space="preserve">Inserte un resultado o indicador aquí para el objetivo estratégico de la izquierda.
</t>
        </r>
      </text>
    </comment>
    <comment ref="G41" authorId="0" shapeId="0" xr:uid="{00000000-0006-0000-0900-000012000000}">
      <text>
        <r>
          <rPr>
            <b/>
            <sz val="9"/>
            <rFont val="Tahoma"/>
            <family val="2"/>
          </rPr>
          <t xml:space="preserve">Instrucciones:
</t>
        </r>
        <r>
          <rPr>
            <b/>
            <sz val="9"/>
            <rFont val="Tahoma"/>
            <family val="2"/>
          </rPr>
          <t xml:space="preserve">Inserte un resultado o indicador aquí para el objetivo estratégico de la izquierda.
</t>
        </r>
      </text>
    </comment>
    <comment ref="G42" authorId="0" shapeId="0" xr:uid="{00000000-0006-0000-0900-000013000000}">
      <text>
        <r>
          <rPr>
            <b/>
            <sz val="9"/>
            <rFont val="Tahoma"/>
            <family val="2"/>
          </rPr>
          <t xml:space="preserve">Instrucciones:
</t>
        </r>
        <r>
          <rPr>
            <b/>
            <sz val="9"/>
            <rFont val="Tahoma"/>
            <family val="2"/>
          </rPr>
          <t xml:space="preserve">Inserte un resultado o indicador aquí para el objetivo estratégico de la izquierda.
</t>
        </r>
      </text>
    </comment>
    <comment ref="G43" authorId="0" shapeId="0" xr:uid="{00000000-0006-0000-0900-000014000000}">
      <text>
        <r>
          <rPr>
            <b/>
            <sz val="9"/>
            <rFont val="Tahoma"/>
            <family val="2"/>
          </rPr>
          <t xml:space="preserve">Instrucciones:
</t>
        </r>
        <r>
          <rPr>
            <b/>
            <sz val="9"/>
            <rFont val="Tahoma"/>
            <family val="2"/>
          </rPr>
          <t xml:space="preserve">Inserte un resultado o indicador aquí para el objetivo estratégico de la izquierda.
</t>
        </r>
      </text>
    </comment>
    <comment ref="G44" authorId="0" shapeId="0" xr:uid="{00000000-0006-0000-0900-000015000000}">
      <text>
        <r>
          <rPr>
            <b/>
            <sz val="9"/>
            <rFont val="Tahoma"/>
            <family val="2"/>
          </rPr>
          <t xml:space="preserve">Instrucciones:
</t>
        </r>
        <r>
          <rPr>
            <b/>
            <sz val="9"/>
            <rFont val="Tahoma"/>
            <family val="2"/>
          </rPr>
          <t xml:space="preserve">Inserte un resultado o indicador aquí para el objetivo estratégico de la izquierda.
</t>
        </r>
      </text>
    </comment>
    <comment ref="F46" authorId="0" shapeId="0" xr:uid="{00000000-0006-0000-0900-000016000000}">
      <text>
        <r>
          <rPr>
            <b/>
            <sz val="9"/>
            <rFont val="Tahoma"/>
            <family val="2"/>
          </rPr>
          <t xml:space="preserve">Instrucciones:
</t>
        </r>
        <r>
          <rPr>
            <b/>
            <sz val="9"/>
            <rFont val="Tahoma"/>
            <family val="2"/>
          </rPr>
          <t xml:space="preserve">Inserte un objetivo estratégico aquí.
</t>
        </r>
      </text>
    </comment>
    <comment ref="G46" authorId="0" shapeId="0" xr:uid="{00000000-0006-0000-0900-000017000000}">
      <text>
        <r>
          <rPr>
            <b/>
            <sz val="9"/>
            <rFont val="Tahoma"/>
            <family val="2"/>
          </rPr>
          <t xml:space="preserve">Instrucciones:
</t>
        </r>
        <r>
          <rPr>
            <b/>
            <sz val="9"/>
            <rFont val="Tahoma"/>
            <family val="2"/>
          </rPr>
          <t>Inserte un resultado o indicador aquí para el objetivo estratégico de la izquierda.</t>
        </r>
      </text>
    </comment>
    <comment ref="G47" authorId="0" shapeId="0" xr:uid="{00000000-0006-0000-0900-000018000000}">
      <text>
        <r>
          <rPr>
            <b/>
            <sz val="9"/>
            <rFont val="Tahoma"/>
            <family val="2"/>
          </rPr>
          <t xml:space="preserve">Instrucciones:
</t>
        </r>
        <r>
          <rPr>
            <b/>
            <sz val="9"/>
            <rFont val="Tahoma"/>
            <family val="2"/>
          </rPr>
          <t xml:space="preserve">Inserte un resultado o indicador aquí para el objetivo estratégico de la izquierda.
</t>
        </r>
      </text>
    </comment>
    <comment ref="G48" authorId="0" shapeId="0" xr:uid="{00000000-0006-0000-0900-000019000000}">
      <text>
        <r>
          <rPr>
            <b/>
            <sz val="9"/>
            <rFont val="Tahoma"/>
            <family val="2"/>
          </rPr>
          <t xml:space="preserve">Instrucciones:
</t>
        </r>
        <r>
          <rPr>
            <b/>
            <sz val="9"/>
            <rFont val="Tahoma"/>
            <family val="2"/>
          </rPr>
          <t xml:space="preserve">Inserte un resultado o indicador aquí para el objetivo estratégico de la izquierda.
</t>
        </r>
      </text>
    </comment>
    <comment ref="G49" authorId="0" shapeId="0" xr:uid="{00000000-0006-0000-0900-00001A000000}">
      <text>
        <r>
          <rPr>
            <b/>
            <sz val="9"/>
            <rFont val="Tahoma"/>
            <family val="2"/>
          </rPr>
          <t xml:space="preserve">Instrucciones:
</t>
        </r>
        <r>
          <rPr>
            <b/>
            <sz val="9"/>
            <rFont val="Tahoma"/>
            <family val="2"/>
          </rPr>
          <t xml:space="preserve">Inserte un resultado o indicador aquí para el objetivo estratégico de la izquierda.
</t>
        </r>
      </text>
    </comment>
    <comment ref="G50" authorId="0" shapeId="0" xr:uid="{00000000-0006-0000-0900-00001B000000}">
      <text>
        <r>
          <rPr>
            <b/>
            <sz val="9"/>
            <rFont val="Tahoma"/>
            <family val="2"/>
          </rPr>
          <t xml:space="preserve">Instrucciones:
</t>
        </r>
        <r>
          <rPr>
            <b/>
            <sz val="9"/>
            <rFont val="Tahoma"/>
            <family val="2"/>
          </rPr>
          <t xml:space="preserve">Inserte un resultado o indicador aquí para el objetivo estratégico de la izquierda.
</t>
        </r>
      </text>
    </comment>
    <comment ref="F52" authorId="0" shapeId="0" xr:uid="{00000000-0006-0000-0900-00001C000000}">
      <text>
        <r>
          <rPr>
            <b/>
            <sz val="9"/>
            <rFont val="Tahoma"/>
            <family val="2"/>
          </rPr>
          <t xml:space="preserve">Instrucciones:
</t>
        </r>
        <r>
          <rPr>
            <b/>
            <sz val="9"/>
            <rFont val="Tahoma"/>
            <family val="2"/>
          </rPr>
          <t xml:space="preserve">Inserte un objetivo estratégico aquí.
</t>
        </r>
      </text>
    </comment>
    <comment ref="G52" authorId="0" shapeId="0" xr:uid="{00000000-0006-0000-0900-00001D000000}">
      <text>
        <r>
          <rPr>
            <b/>
            <sz val="9"/>
            <rFont val="Tahoma"/>
            <family val="2"/>
          </rPr>
          <t xml:space="preserve">Instrucciones:
</t>
        </r>
        <r>
          <rPr>
            <b/>
            <sz val="9"/>
            <rFont val="Tahoma"/>
            <family val="2"/>
          </rPr>
          <t xml:space="preserve">Inserte un resultado o indicador aquí para el objetivo estratégico de la izquierda.
</t>
        </r>
      </text>
    </comment>
    <comment ref="G53" authorId="0" shapeId="0" xr:uid="{00000000-0006-0000-0900-00001E000000}">
      <text>
        <r>
          <rPr>
            <b/>
            <sz val="9"/>
            <rFont val="Tahoma"/>
            <family val="2"/>
          </rPr>
          <t xml:space="preserve">Instrucciones:
</t>
        </r>
        <r>
          <rPr>
            <b/>
            <sz val="9"/>
            <rFont val="Tahoma"/>
            <family val="2"/>
          </rPr>
          <t xml:space="preserve">Inserte un resultado o indicador aquí para el objetivo estratégico de la izquierda.
</t>
        </r>
      </text>
    </comment>
    <comment ref="G54" authorId="0" shapeId="0" xr:uid="{00000000-0006-0000-0900-00001F000000}">
      <text>
        <r>
          <rPr>
            <b/>
            <sz val="9"/>
            <rFont val="Tahoma"/>
            <family val="2"/>
          </rPr>
          <t xml:space="preserve">Instrucciones:
</t>
        </r>
        <r>
          <rPr>
            <b/>
            <sz val="9"/>
            <rFont val="Tahoma"/>
            <family val="2"/>
          </rPr>
          <t xml:space="preserve">Inserte un resultado o indicador aquí para el objetivo estratégico de la izquierda.
</t>
        </r>
      </text>
    </comment>
    <comment ref="G55" authorId="0" shapeId="0" xr:uid="{00000000-0006-0000-0900-000020000000}">
      <text>
        <r>
          <rPr>
            <b/>
            <sz val="9"/>
            <rFont val="Tahoma"/>
            <family val="2"/>
          </rPr>
          <t xml:space="preserve">Instrucciones:
</t>
        </r>
        <r>
          <rPr>
            <b/>
            <sz val="9"/>
            <rFont val="Tahoma"/>
            <family val="2"/>
          </rPr>
          <t xml:space="preserve">Inserte un resultado o indicador aquí para el objetivo estratégico de la izquierda.
</t>
        </r>
      </text>
    </comment>
    <comment ref="G56" authorId="0" shapeId="0" xr:uid="{00000000-0006-0000-0900-000021000000}">
      <text>
        <r>
          <rPr>
            <b/>
            <sz val="9"/>
            <rFont val="Tahoma"/>
            <family val="2"/>
          </rPr>
          <t xml:space="preserve">Instrucciones:
</t>
        </r>
        <r>
          <rPr>
            <b/>
            <sz val="9"/>
            <rFont val="Tahoma"/>
            <family val="2"/>
          </rPr>
          <t xml:space="preserve">Inserte un resultado o indicador aquí para el objetivo estratégico de la izquierda.
</t>
        </r>
      </text>
    </comment>
    <comment ref="F58" authorId="0" shapeId="0" xr:uid="{00000000-0006-0000-0900-000022000000}">
      <text>
        <r>
          <rPr>
            <b/>
            <sz val="9"/>
            <rFont val="Tahoma"/>
            <family val="2"/>
          </rPr>
          <t xml:space="preserve">Instrucciones:
</t>
        </r>
        <r>
          <rPr>
            <b/>
            <sz val="9"/>
            <rFont val="Tahoma"/>
            <family val="2"/>
          </rPr>
          <t xml:space="preserve">Inserte un objetivo estratégico aquí.
</t>
        </r>
      </text>
    </comment>
    <comment ref="G58" authorId="0" shapeId="0" xr:uid="{00000000-0006-0000-0900-000023000000}">
      <text>
        <r>
          <rPr>
            <b/>
            <sz val="9"/>
            <rFont val="Tahoma"/>
            <family val="2"/>
          </rPr>
          <t xml:space="preserve">Instrucciones:
</t>
        </r>
        <r>
          <rPr>
            <b/>
            <sz val="9"/>
            <rFont val="Tahoma"/>
            <family val="2"/>
          </rPr>
          <t xml:space="preserve">Inserte un resultado o indicador aquí para el objetivo estratégico de la izquierda.
</t>
        </r>
      </text>
    </comment>
    <comment ref="G59" authorId="0" shapeId="0" xr:uid="{00000000-0006-0000-0900-000024000000}">
      <text>
        <r>
          <rPr>
            <b/>
            <sz val="9"/>
            <rFont val="Tahoma"/>
            <family val="2"/>
          </rPr>
          <t xml:space="preserve">Instrucciones:
</t>
        </r>
        <r>
          <rPr>
            <b/>
            <sz val="9"/>
            <rFont val="Tahoma"/>
            <family val="2"/>
          </rPr>
          <t xml:space="preserve">Inserte un resultado o indicador aquí para el objetivo estratégico de la izquierda.
</t>
        </r>
      </text>
    </comment>
    <comment ref="G60" authorId="0" shapeId="0" xr:uid="{00000000-0006-0000-0900-000025000000}">
      <text>
        <r>
          <rPr>
            <b/>
            <sz val="9"/>
            <rFont val="Tahoma"/>
            <family val="2"/>
          </rPr>
          <t xml:space="preserve">Instrucciones:
</t>
        </r>
        <r>
          <rPr>
            <b/>
            <sz val="9"/>
            <rFont val="Tahoma"/>
            <family val="2"/>
          </rPr>
          <t xml:space="preserve">Inserte un resultado o indicador aquí para el objetivo estratégico de la izquierda.
</t>
        </r>
      </text>
    </comment>
    <comment ref="G61" authorId="0" shapeId="0" xr:uid="{00000000-0006-0000-0900-000026000000}">
      <text>
        <r>
          <rPr>
            <b/>
            <sz val="9"/>
            <rFont val="Tahoma"/>
            <family val="2"/>
          </rPr>
          <t xml:space="preserve">Instrucciones:
</t>
        </r>
        <r>
          <rPr>
            <b/>
            <sz val="9"/>
            <rFont val="Tahoma"/>
            <family val="2"/>
          </rPr>
          <t xml:space="preserve">Inserte un resultado o indicador aquí para el objetivo estratégico de la izquierda.
</t>
        </r>
      </text>
    </comment>
    <comment ref="G62" authorId="0" shapeId="0" xr:uid="{00000000-0006-0000-0900-000027000000}">
      <text>
        <r>
          <rPr>
            <b/>
            <sz val="9"/>
            <rFont val="Tahoma"/>
            <family val="2"/>
          </rPr>
          <t xml:space="preserve">Instrucciones:
</t>
        </r>
        <r>
          <rPr>
            <b/>
            <sz val="9"/>
            <rFont val="Tahoma"/>
            <family val="2"/>
          </rPr>
          <t xml:space="preserve">Inserte un resultado o indicador aquí para el objetivo estratégico de la izquierda.
</t>
        </r>
      </text>
    </comment>
    <comment ref="F64" authorId="0" shapeId="0" xr:uid="{00000000-0006-0000-0900-000028000000}">
      <text>
        <r>
          <rPr>
            <b/>
            <sz val="9"/>
            <rFont val="Tahoma"/>
            <family val="2"/>
          </rPr>
          <t xml:space="preserve">Instrucciones:
</t>
        </r>
        <r>
          <rPr>
            <b/>
            <sz val="9"/>
            <rFont val="Tahoma"/>
            <family val="2"/>
          </rPr>
          <t xml:space="preserve">Inserte un objetivo estratégico aquí.
</t>
        </r>
      </text>
    </comment>
    <comment ref="G64" authorId="0" shapeId="0" xr:uid="{00000000-0006-0000-0900-000029000000}">
      <text>
        <r>
          <rPr>
            <b/>
            <sz val="9"/>
            <rFont val="Tahoma"/>
            <family val="2"/>
          </rPr>
          <t xml:space="preserve">Instrucciones:
</t>
        </r>
        <r>
          <rPr>
            <b/>
            <sz val="9"/>
            <rFont val="Tahoma"/>
            <family val="2"/>
          </rPr>
          <t xml:space="preserve">Inserte un resultado o indicador aquí para el objetivo estratégico de la izquierda.
</t>
        </r>
      </text>
    </comment>
    <comment ref="G65" authorId="0" shapeId="0" xr:uid="{00000000-0006-0000-0900-00002A000000}">
      <text>
        <r>
          <rPr>
            <b/>
            <sz val="9"/>
            <rFont val="Tahoma"/>
            <family val="2"/>
          </rPr>
          <t xml:space="preserve">Instrucciones:
</t>
        </r>
        <r>
          <rPr>
            <b/>
            <sz val="9"/>
            <rFont val="Tahoma"/>
            <family val="2"/>
          </rPr>
          <t xml:space="preserve">Inserte un resultado o indicador aquí para el objetivo estratégico de la izquierda.
</t>
        </r>
      </text>
    </comment>
    <comment ref="G66" authorId="0" shapeId="0" xr:uid="{00000000-0006-0000-0900-00002B000000}">
      <text>
        <r>
          <rPr>
            <b/>
            <sz val="9"/>
            <rFont val="Tahoma"/>
            <family val="2"/>
          </rPr>
          <t xml:space="preserve">Instrucciones:
</t>
        </r>
        <r>
          <rPr>
            <b/>
            <sz val="9"/>
            <rFont val="Tahoma"/>
            <family val="2"/>
          </rPr>
          <t xml:space="preserve">Inserte un resultado o indicador aquí para el objetivo estratégico de la izquierda.
</t>
        </r>
      </text>
    </comment>
    <comment ref="G67" authorId="0" shapeId="0" xr:uid="{00000000-0006-0000-0900-00002C000000}">
      <text>
        <r>
          <rPr>
            <b/>
            <sz val="9"/>
            <rFont val="Tahoma"/>
            <family val="2"/>
          </rPr>
          <t xml:space="preserve">Instrucciones:
</t>
        </r>
        <r>
          <rPr>
            <b/>
            <sz val="9"/>
            <rFont val="Tahoma"/>
            <family val="2"/>
          </rPr>
          <t xml:space="preserve">Inserte un resultado o indicador aquí para el objetivo estratégico de la izquierda.
</t>
        </r>
      </text>
    </comment>
    <comment ref="G68" authorId="0" shapeId="0" xr:uid="{00000000-0006-0000-0900-00002D000000}">
      <text>
        <r>
          <rPr>
            <b/>
            <sz val="9"/>
            <rFont val="Tahoma"/>
            <family val="2"/>
          </rPr>
          <t xml:space="preserve">Instrucciones:
</t>
        </r>
        <r>
          <rPr>
            <b/>
            <sz val="9"/>
            <rFont val="Tahoma"/>
            <family val="2"/>
          </rPr>
          <t xml:space="preserve">Inserte un resultado o indicador aquí para el objetivo estratégico de la izquierda.
</t>
        </r>
      </text>
    </comment>
    <comment ref="F70" authorId="0" shapeId="0" xr:uid="{00000000-0006-0000-0900-00002E000000}">
      <text>
        <r>
          <rPr>
            <b/>
            <sz val="9"/>
            <rFont val="Tahoma"/>
            <family val="2"/>
          </rPr>
          <t xml:space="preserve">Instrucciones:
</t>
        </r>
        <r>
          <rPr>
            <b/>
            <sz val="9"/>
            <rFont val="Tahoma"/>
            <family val="2"/>
          </rPr>
          <t xml:space="preserve">Inserte un objetivo estratégico aquí.
</t>
        </r>
      </text>
    </comment>
    <comment ref="G70" authorId="0" shapeId="0" xr:uid="{00000000-0006-0000-0900-00002F000000}">
      <text>
        <r>
          <rPr>
            <b/>
            <sz val="9"/>
            <rFont val="Tahoma"/>
            <family val="2"/>
          </rPr>
          <t xml:space="preserve">Instrucciones:
</t>
        </r>
        <r>
          <rPr>
            <b/>
            <sz val="9"/>
            <rFont val="Tahoma"/>
            <family val="2"/>
          </rPr>
          <t xml:space="preserve">Inserte un resultado o indicador aquí para el objetivo estratégico de la izquierda.
</t>
        </r>
      </text>
    </comment>
    <comment ref="G71" authorId="0" shapeId="0" xr:uid="{00000000-0006-0000-0900-000030000000}">
      <text>
        <r>
          <rPr>
            <b/>
            <sz val="9"/>
            <rFont val="Tahoma"/>
            <family val="2"/>
          </rPr>
          <t xml:space="preserve">Instrucciones:
</t>
        </r>
        <r>
          <rPr>
            <b/>
            <sz val="9"/>
            <rFont val="Tahoma"/>
            <family val="2"/>
          </rPr>
          <t xml:space="preserve">Inserte un resultado o indicador aquí para el objetivo estratégico de la izquierda.
</t>
        </r>
      </text>
    </comment>
    <comment ref="G72" authorId="0" shapeId="0" xr:uid="{00000000-0006-0000-0900-000031000000}">
      <text>
        <r>
          <rPr>
            <b/>
            <sz val="9"/>
            <rFont val="Tahoma"/>
            <family val="2"/>
          </rPr>
          <t xml:space="preserve">Instrucciones:
</t>
        </r>
        <r>
          <rPr>
            <b/>
            <sz val="9"/>
            <rFont val="Tahoma"/>
            <family val="2"/>
          </rPr>
          <t xml:space="preserve">Inserte un resultado o indicador aquí para el objetivo estratégico de la izquierda.
</t>
        </r>
      </text>
    </comment>
    <comment ref="G73" authorId="0" shapeId="0" xr:uid="{00000000-0006-0000-0900-000032000000}">
      <text>
        <r>
          <rPr>
            <b/>
            <sz val="9"/>
            <rFont val="Tahoma"/>
            <family val="2"/>
          </rPr>
          <t xml:space="preserve">Instrucciones:
</t>
        </r>
        <r>
          <rPr>
            <b/>
            <sz val="9"/>
            <rFont val="Tahoma"/>
            <family val="2"/>
          </rPr>
          <t xml:space="preserve">Inserte un resultado o indicador aquí para el objetivo estratégico de la izquierda.
</t>
        </r>
      </text>
    </comment>
    <comment ref="G74" authorId="0" shapeId="0" xr:uid="{00000000-0006-0000-0900-000033000000}">
      <text>
        <r>
          <rPr>
            <b/>
            <sz val="9"/>
            <rFont val="Tahoma"/>
            <family val="2"/>
          </rPr>
          <t xml:space="preserve">Instrucciones:
</t>
        </r>
        <r>
          <rPr>
            <b/>
            <sz val="9"/>
            <rFont val="Tahoma"/>
            <family val="2"/>
          </rPr>
          <t xml:space="preserve">Inserte un resultado o indicador aquí para el objetivo estratégico de la izquierda.
</t>
        </r>
      </text>
    </comment>
    <comment ref="F76" authorId="0" shapeId="0" xr:uid="{00000000-0006-0000-0900-000034000000}">
      <text>
        <r>
          <rPr>
            <b/>
            <sz val="9"/>
            <rFont val="Tahoma"/>
            <family val="2"/>
          </rPr>
          <t xml:space="preserve">Instrucciones:
</t>
        </r>
        <r>
          <rPr>
            <b/>
            <sz val="9"/>
            <rFont val="Tahoma"/>
            <family val="2"/>
          </rPr>
          <t>Inserte un objetivo estratégico aquí.</t>
        </r>
      </text>
    </comment>
    <comment ref="G76" authorId="0" shapeId="0" xr:uid="{00000000-0006-0000-0900-000035000000}">
      <text>
        <r>
          <rPr>
            <b/>
            <sz val="9"/>
            <rFont val="Tahoma"/>
            <family val="2"/>
          </rPr>
          <t xml:space="preserve">Instrucciones:
</t>
        </r>
        <r>
          <rPr>
            <b/>
            <sz val="9"/>
            <rFont val="Tahoma"/>
            <family val="2"/>
          </rPr>
          <t xml:space="preserve">Inserte un resultado o indicador aquí para el objetivo estratégico de la izquierda.
</t>
        </r>
      </text>
    </comment>
    <comment ref="G77" authorId="0" shapeId="0" xr:uid="{00000000-0006-0000-0900-000036000000}">
      <text>
        <r>
          <rPr>
            <b/>
            <sz val="9"/>
            <rFont val="Tahoma"/>
            <family val="2"/>
          </rPr>
          <t xml:space="preserve">Instrucciones:
</t>
        </r>
        <r>
          <rPr>
            <b/>
            <sz val="9"/>
            <rFont val="Tahoma"/>
            <family val="2"/>
          </rPr>
          <t xml:space="preserve">Inserte un resultado o indicador aquí para el objetivo estratégico de la izquierda.
</t>
        </r>
      </text>
    </comment>
    <comment ref="G78" authorId="0" shapeId="0" xr:uid="{00000000-0006-0000-0900-000037000000}">
      <text>
        <r>
          <rPr>
            <b/>
            <sz val="9"/>
            <rFont val="Tahoma"/>
            <family val="2"/>
          </rPr>
          <t xml:space="preserve">Instrucciones:
</t>
        </r>
        <r>
          <rPr>
            <b/>
            <sz val="9"/>
            <rFont val="Tahoma"/>
            <family val="2"/>
          </rPr>
          <t xml:space="preserve">Inserte un resultado o indicador aquí para el objetivo estratégico de la izquierda.
</t>
        </r>
      </text>
    </comment>
    <comment ref="G79" authorId="0" shapeId="0" xr:uid="{00000000-0006-0000-0900-000038000000}">
      <text>
        <r>
          <rPr>
            <b/>
            <sz val="9"/>
            <rFont val="Tahoma"/>
            <family val="2"/>
          </rPr>
          <t xml:space="preserve">Instrucciones:
</t>
        </r>
        <r>
          <rPr>
            <b/>
            <sz val="9"/>
            <rFont val="Tahoma"/>
            <family val="2"/>
          </rPr>
          <t xml:space="preserve">Inserte un resultado o indicador aquí para el objetivo estratégico de la izquierda.
</t>
        </r>
      </text>
    </comment>
    <comment ref="G80" authorId="0" shapeId="0" xr:uid="{00000000-0006-0000-0900-000039000000}">
      <text>
        <r>
          <rPr>
            <b/>
            <sz val="9"/>
            <rFont val="Tahoma"/>
            <family val="2"/>
          </rPr>
          <t xml:space="preserve">Instrucciones:
</t>
        </r>
        <r>
          <rPr>
            <b/>
            <sz val="9"/>
            <rFont val="Tahoma"/>
            <family val="2"/>
          </rPr>
          <t xml:space="preserve">Inserte un resultado o indicador aquí para el objetivo estratégico de la izquierda.
</t>
        </r>
      </text>
    </comment>
    <comment ref="F82" authorId="0" shapeId="0" xr:uid="{00000000-0006-0000-0900-00003A000000}">
      <text>
        <r>
          <rPr>
            <b/>
            <sz val="9"/>
            <rFont val="Tahoma"/>
            <family val="2"/>
          </rPr>
          <t xml:space="preserve">Instrucciones:
</t>
        </r>
        <r>
          <rPr>
            <b/>
            <sz val="9"/>
            <rFont val="Tahoma"/>
            <family val="2"/>
          </rPr>
          <t xml:space="preserve">Inserte un objetivo estratégico aquí.
</t>
        </r>
      </text>
    </comment>
    <comment ref="G82" authorId="0" shapeId="0" xr:uid="{00000000-0006-0000-0900-00003B000000}">
      <text>
        <r>
          <rPr>
            <b/>
            <sz val="9"/>
            <rFont val="Tahoma"/>
            <family val="2"/>
          </rPr>
          <t xml:space="preserve">Instrucciones:
</t>
        </r>
        <r>
          <rPr>
            <b/>
            <sz val="9"/>
            <rFont val="Tahoma"/>
            <family val="2"/>
          </rPr>
          <t xml:space="preserve">Inserte un resultado o indicador aquí para el objetivo estratégico de la izquierda.
</t>
        </r>
      </text>
    </comment>
    <comment ref="G83" authorId="0" shapeId="0" xr:uid="{00000000-0006-0000-0900-00003C000000}">
      <text>
        <r>
          <rPr>
            <b/>
            <sz val="9"/>
            <rFont val="Tahoma"/>
            <family val="2"/>
          </rPr>
          <t xml:space="preserve">Instrucciones:
</t>
        </r>
        <r>
          <rPr>
            <b/>
            <sz val="9"/>
            <rFont val="Tahoma"/>
            <family val="2"/>
          </rPr>
          <t xml:space="preserve">Inserte un resultado o indicador aquí para el objetivo estratégico de la izquierda.
</t>
        </r>
      </text>
    </comment>
    <comment ref="G84" authorId="0" shapeId="0" xr:uid="{00000000-0006-0000-0900-00003D000000}">
      <text>
        <r>
          <rPr>
            <b/>
            <sz val="9"/>
            <rFont val="Tahoma"/>
            <family val="2"/>
          </rPr>
          <t xml:space="preserve">Instrucciones:
</t>
        </r>
        <r>
          <rPr>
            <b/>
            <sz val="9"/>
            <rFont val="Tahoma"/>
            <family val="2"/>
          </rPr>
          <t xml:space="preserve">Inserte un resultado o indicador aquí para el objetivo estratégico de la izquierda.
</t>
        </r>
      </text>
    </comment>
    <comment ref="G85" authorId="0" shapeId="0" xr:uid="{00000000-0006-0000-0900-00003E000000}">
      <text>
        <r>
          <rPr>
            <b/>
            <sz val="9"/>
            <rFont val="Tahoma"/>
            <family val="2"/>
          </rPr>
          <t xml:space="preserve">Instrucciones:
</t>
        </r>
        <r>
          <rPr>
            <b/>
            <sz val="9"/>
            <rFont val="Tahoma"/>
            <family val="2"/>
          </rPr>
          <t xml:space="preserve">Inserte un resultado o indicador aquí para el objetivo estratégico de la izquierda.
</t>
        </r>
      </text>
    </comment>
    <comment ref="G86" authorId="0" shapeId="0" xr:uid="{00000000-0006-0000-0900-00003F000000}">
      <text>
        <r>
          <rPr>
            <b/>
            <sz val="9"/>
            <rFont val="Tahoma"/>
            <family val="2"/>
          </rPr>
          <t xml:space="preserve">Instrucciones:
</t>
        </r>
        <r>
          <rPr>
            <b/>
            <sz val="9"/>
            <rFont val="Tahoma"/>
            <family val="2"/>
          </rPr>
          <t xml:space="preserve">Inserte un resultado o indicador aquí para el objetivo estratégico de la izquierda.
</t>
        </r>
      </text>
    </comment>
    <comment ref="F88" authorId="0" shapeId="0" xr:uid="{00000000-0006-0000-0900-000040000000}">
      <text>
        <r>
          <rPr>
            <b/>
            <sz val="9"/>
            <rFont val="Tahoma"/>
            <family val="2"/>
          </rPr>
          <t xml:space="preserve">Instrucciones:
</t>
        </r>
        <r>
          <rPr>
            <b/>
            <sz val="9"/>
            <rFont val="Tahoma"/>
            <family val="2"/>
          </rPr>
          <t xml:space="preserve">Inserte un objetivo estratégico aquí.
</t>
        </r>
      </text>
    </comment>
    <comment ref="G88" authorId="0" shapeId="0" xr:uid="{00000000-0006-0000-0900-000041000000}">
      <text>
        <r>
          <rPr>
            <b/>
            <sz val="9"/>
            <rFont val="Tahoma"/>
            <family val="2"/>
          </rPr>
          <t xml:space="preserve">Instrucciones:
</t>
        </r>
        <r>
          <rPr>
            <b/>
            <sz val="9"/>
            <rFont val="Tahoma"/>
            <family val="2"/>
          </rPr>
          <t xml:space="preserve">Inserte un resultado o indicador aquí para el objetivo estratégico de la izquierda.
</t>
        </r>
      </text>
    </comment>
    <comment ref="G89" authorId="0" shapeId="0" xr:uid="{00000000-0006-0000-0900-000042000000}">
      <text>
        <r>
          <rPr>
            <b/>
            <sz val="9"/>
            <rFont val="Tahoma"/>
            <family val="2"/>
          </rPr>
          <t xml:space="preserve">Instrucciones:
</t>
        </r>
        <r>
          <rPr>
            <b/>
            <sz val="9"/>
            <rFont val="Tahoma"/>
            <family val="2"/>
          </rPr>
          <t xml:space="preserve">Inserte un resultado o indicador aquí para el objetivo estratégico de la izquierda.
</t>
        </r>
      </text>
    </comment>
    <comment ref="G90" authorId="0" shapeId="0" xr:uid="{00000000-0006-0000-0900-000043000000}">
      <text>
        <r>
          <rPr>
            <b/>
            <sz val="9"/>
            <rFont val="Tahoma"/>
            <family val="2"/>
          </rPr>
          <t xml:space="preserve">Instrucciones:
</t>
        </r>
        <r>
          <rPr>
            <b/>
            <sz val="9"/>
            <rFont val="Tahoma"/>
            <family val="2"/>
          </rPr>
          <t xml:space="preserve">Inserte un resultado o indicador aquí para el objetivo estratégico de la izquierda.
</t>
        </r>
      </text>
    </comment>
    <comment ref="G91" authorId="0" shapeId="0" xr:uid="{00000000-0006-0000-0900-000044000000}">
      <text>
        <r>
          <rPr>
            <b/>
            <sz val="9"/>
            <rFont val="Tahoma"/>
            <family val="2"/>
          </rPr>
          <t xml:space="preserve">Instrucciones:
</t>
        </r>
        <r>
          <rPr>
            <b/>
            <sz val="9"/>
            <rFont val="Tahoma"/>
            <family val="2"/>
          </rPr>
          <t xml:space="preserve">Inserte un resultado o indicador aquí para el objetivo estratégico de la izquierda.
</t>
        </r>
      </text>
    </comment>
    <comment ref="G92" authorId="0" shapeId="0" xr:uid="{00000000-0006-0000-0900-000045000000}">
      <text>
        <r>
          <rPr>
            <b/>
            <sz val="9"/>
            <rFont val="Tahoma"/>
            <family val="2"/>
          </rPr>
          <t xml:space="preserve">Instrucciones:
</t>
        </r>
        <r>
          <rPr>
            <b/>
            <sz val="9"/>
            <rFont val="Tahoma"/>
            <family val="2"/>
          </rPr>
          <t xml:space="preserve">Inserte un resultado o indicador aquí para el objetivo estratégico de la izquierda.
</t>
        </r>
      </text>
    </comment>
    <comment ref="F97" authorId="1" shapeId="0" xr:uid="{00000000-0006-0000-0900-000046000000}">
      <text>
        <r>
          <rPr>
            <b/>
            <sz val="9"/>
            <rFont val="Tahoma"/>
            <family val="2"/>
          </rPr>
          <t xml:space="preserve">Instrucciones: 
</t>
        </r>
        <r>
          <rPr>
            <b/>
            <sz val="9"/>
            <rFont val="Tahoma"/>
            <family val="2"/>
          </rPr>
          <t>Indique la fuente de información (Estrategias e indicadores).</t>
        </r>
      </text>
    </comment>
    <comment ref="G108" authorId="0" shapeId="0" xr:uid="{00000000-0006-0000-0900-000047000000}">
      <text>
        <r>
          <rPr>
            <b/>
            <sz val="9"/>
            <rFont val="Tahoma"/>
            <family val="2"/>
          </rPr>
          <t xml:space="preserve">Instrucciones:
</t>
        </r>
        <r>
          <rPr>
            <b/>
            <sz val="9"/>
            <rFont val="Tahoma"/>
            <family val="2"/>
          </rPr>
          <t xml:space="preserve">Introduzca el nombre del socio que proporcionará apoyo financiero para el plan de nutrición.
</t>
        </r>
      </text>
    </comment>
    <comment ref="G109" authorId="0" shapeId="0" xr:uid="{00000000-0006-0000-0900-000048000000}">
      <text>
        <r>
          <rPr>
            <b/>
            <sz val="9"/>
            <rFont val="Tahoma"/>
            <family val="2"/>
          </rPr>
          <t xml:space="preserve">Instrucciones:
</t>
        </r>
        <r>
          <rPr>
            <b/>
            <sz val="9"/>
            <rFont val="Tahoma"/>
            <family val="2"/>
          </rPr>
          <t xml:space="preserve">Introduzca el nombre del socio que proporcionará apoyo financiero para el plan de nutrición.
</t>
        </r>
      </text>
    </comment>
    <comment ref="G110" authorId="0" shapeId="0" xr:uid="{00000000-0006-0000-0900-000049000000}">
      <text>
        <r>
          <rPr>
            <b/>
            <sz val="9"/>
            <rFont val="Tahoma"/>
            <family val="2"/>
          </rPr>
          <t xml:space="preserve">Instrucciones:
</t>
        </r>
        <r>
          <rPr>
            <b/>
            <sz val="9"/>
            <rFont val="Tahoma"/>
            <family val="2"/>
          </rPr>
          <t xml:space="preserve">Introduzca el nombre del socio que proporcionará apoyo financiero para el plan de nutrición.
</t>
        </r>
      </text>
    </comment>
    <comment ref="G111" authorId="0" shapeId="0" xr:uid="{00000000-0006-0000-0900-00004A000000}">
      <text>
        <r>
          <rPr>
            <b/>
            <sz val="9"/>
            <rFont val="Tahoma"/>
            <family val="2"/>
          </rPr>
          <t xml:space="preserve">Instrucciones:
</t>
        </r>
        <r>
          <rPr>
            <b/>
            <sz val="9"/>
            <rFont val="Tahoma"/>
            <family val="2"/>
          </rPr>
          <t xml:space="preserve">Introduzca el nombre del socio que proporcionará apoyo financiero para el plan de nutrición.
</t>
        </r>
      </text>
    </comment>
    <comment ref="G112" authorId="0" shapeId="0" xr:uid="{00000000-0006-0000-0900-00004B000000}">
      <text>
        <r>
          <rPr>
            <b/>
            <sz val="9"/>
            <rFont val="Tahoma"/>
            <family val="2"/>
          </rPr>
          <t xml:space="preserve">Instrucciones:
</t>
        </r>
        <r>
          <rPr>
            <b/>
            <sz val="9"/>
            <rFont val="Tahoma"/>
            <family val="2"/>
          </rPr>
          <t xml:space="preserve">Introduzca el nombre del socio que proporcionará apoyo financiero para el plan de nutrición.
</t>
        </r>
      </text>
    </comment>
    <comment ref="G113" authorId="0" shapeId="0" xr:uid="{00000000-0006-0000-0900-00004C000000}">
      <text>
        <r>
          <rPr>
            <b/>
            <sz val="9"/>
            <rFont val="Tahoma"/>
            <family val="2"/>
          </rPr>
          <t xml:space="preserve">Instrucciones:
</t>
        </r>
        <r>
          <rPr>
            <b/>
            <sz val="9"/>
            <rFont val="Tahoma"/>
            <family val="2"/>
          </rPr>
          <t xml:space="preserve">Introduzca el nombre del socio que proporcionará apoyo financiero para el plan de nutrición.
</t>
        </r>
      </text>
    </comment>
    <comment ref="G114" authorId="0" shapeId="0" xr:uid="{00000000-0006-0000-0900-00004D000000}">
      <text>
        <r>
          <rPr>
            <b/>
            <sz val="9"/>
            <rFont val="Tahoma"/>
            <family val="2"/>
          </rPr>
          <t xml:space="preserve">Instrucciones:
</t>
        </r>
        <r>
          <rPr>
            <b/>
            <sz val="9"/>
            <rFont val="Tahoma"/>
            <family val="2"/>
          </rPr>
          <t xml:space="preserve">Introduzca el nombre del socio que proporcionará apoyo financiero para el plan de nutrición.
</t>
        </r>
      </text>
    </comment>
    <comment ref="G115" authorId="0" shapeId="0" xr:uid="{00000000-0006-0000-0900-00004E000000}">
      <text>
        <r>
          <rPr>
            <b/>
            <sz val="9"/>
            <rFont val="Tahoma"/>
            <family val="2"/>
          </rPr>
          <t xml:space="preserve">Instrucciones:
</t>
        </r>
        <r>
          <rPr>
            <b/>
            <sz val="9"/>
            <rFont val="Tahoma"/>
            <family val="2"/>
          </rPr>
          <t xml:space="preserve">Introduzca el nombre del socio que proporcionará apoyo financiero para el plan de nutrición.
</t>
        </r>
      </text>
    </comment>
    <comment ref="G116" authorId="0" shapeId="0" xr:uid="{00000000-0006-0000-0900-00004F000000}">
      <text>
        <r>
          <rPr>
            <b/>
            <sz val="9"/>
            <rFont val="Tahoma"/>
            <family val="2"/>
          </rPr>
          <t xml:space="preserve">Instrucciones:
</t>
        </r>
        <r>
          <rPr>
            <b/>
            <sz val="9"/>
            <rFont val="Tahoma"/>
            <family val="2"/>
          </rPr>
          <t xml:space="preserve">Introduzca el nombre del socio que proporcionará apoyo financiero para el plan de nutrición.
</t>
        </r>
      </text>
    </comment>
    <comment ref="G117" authorId="0" shapeId="0" xr:uid="{00000000-0006-0000-0900-000050000000}">
      <text>
        <r>
          <rPr>
            <b/>
            <sz val="9"/>
            <rFont val="Tahoma"/>
            <family val="2"/>
          </rPr>
          <t xml:space="preserve">Instrucciones:
</t>
        </r>
        <r>
          <rPr>
            <b/>
            <sz val="9"/>
            <rFont val="Tahoma"/>
            <family val="2"/>
          </rPr>
          <t xml:space="preserve">Introduzca el nombre del socio que proporcionará apoyo financiero para el plan de nutrición.
</t>
        </r>
      </text>
    </comment>
    <comment ref="F120" authorId="1" shapeId="0" xr:uid="{00000000-0006-0000-0900-000051000000}">
      <text>
        <r>
          <rPr>
            <b/>
            <sz val="9"/>
            <rFont val="Tahoma"/>
            <family val="2"/>
          </rPr>
          <t xml:space="preserve">Instrucciones: 
</t>
        </r>
        <r>
          <rPr>
            <b/>
            <sz val="9"/>
            <rFont val="Tahoma"/>
            <family val="2"/>
          </rPr>
          <t>Introduzca la fuente de información (Socios).</t>
        </r>
      </text>
    </comment>
    <comment ref="G129" authorId="0" shapeId="0" xr:uid="{00000000-0006-0000-0900-000052000000}">
      <text>
        <r>
          <rPr>
            <b/>
            <sz val="9"/>
            <rFont val="Tahoma"/>
            <family val="2"/>
          </rPr>
          <t xml:space="preserve">Instrucciones: 
</t>
        </r>
        <r>
          <rPr>
            <b/>
            <sz val="9"/>
            <rFont val="Tahoma"/>
            <family val="2"/>
          </rPr>
          <t xml:space="preserve">Introduzca el nombre de una agencia del gobierno que tenga un presupuesto para implementar el plan de nutrición.
</t>
        </r>
      </text>
    </comment>
    <comment ref="G130" authorId="0" shapeId="0" xr:uid="{00000000-0006-0000-0900-000053000000}">
      <text>
        <r>
          <rPr>
            <b/>
            <sz val="9"/>
            <rFont val="Tahoma"/>
            <family val="2"/>
          </rPr>
          <t xml:space="preserve">Instrucciones: 
</t>
        </r>
        <r>
          <rPr>
            <b/>
            <sz val="9"/>
            <rFont val="Tahoma"/>
            <family val="2"/>
          </rPr>
          <t xml:space="preserve">Introduzca el nombre de una agencia del gobierno que tenga un presupuesto para implementar el plan de nutrición.
</t>
        </r>
      </text>
    </comment>
    <comment ref="G131" authorId="0" shapeId="0" xr:uid="{00000000-0006-0000-0900-000054000000}">
      <text>
        <r>
          <rPr>
            <b/>
            <sz val="9"/>
            <rFont val="Tahoma"/>
            <family val="2"/>
          </rPr>
          <t xml:space="preserve">Instrucciones: 
</t>
        </r>
        <r>
          <rPr>
            <b/>
            <sz val="9"/>
            <rFont val="Tahoma"/>
            <family val="2"/>
          </rPr>
          <t xml:space="preserve">Introduzca el nombre de una agencia del gobierno que tenga un presupuesto para implementar el plan de nutrición.
</t>
        </r>
      </text>
    </comment>
    <comment ref="G132" authorId="0" shapeId="0" xr:uid="{00000000-0006-0000-0900-000055000000}">
      <text>
        <r>
          <rPr>
            <b/>
            <sz val="9"/>
            <rFont val="Tahoma"/>
            <family val="2"/>
          </rPr>
          <t xml:space="preserve">Instrucciones: 
</t>
        </r>
        <r>
          <rPr>
            <b/>
            <sz val="9"/>
            <rFont val="Tahoma"/>
            <family val="2"/>
          </rPr>
          <t xml:space="preserve">Introduzca el nombre de una agencia del gobierno que tenga un presupuesto para implementar el plan de nutrición.
</t>
        </r>
      </text>
    </comment>
    <comment ref="G133" authorId="0" shapeId="0" xr:uid="{00000000-0006-0000-0900-000056000000}">
      <text>
        <r>
          <rPr>
            <b/>
            <sz val="9"/>
            <rFont val="Tahoma"/>
            <family val="2"/>
          </rPr>
          <t xml:space="preserve">Instrucciones: 
</t>
        </r>
        <r>
          <rPr>
            <b/>
            <sz val="9"/>
            <rFont val="Tahoma"/>
            <family val="2"/>
          </rPr>
          <t xml:space="preserve">Introduzca el nombre de una agencia del gobierno que tenga un presupuesto para implementar el plan de nutrición.
</t>
        </r>
      </text>
    </comment>
    <comment ref="G134" authorId="0" shapeId="0" xr:uid="{00000000-0006-0000-0900-000057000000}">
      <text>
        <r>
          <rPr>
            <b/>
            <sz val="9"/>
            <rFont val="Tahoma"/>
            <family val="2"/>
          </rPr>
          <t xml:space="preserve">Instrucciones: 
</t>
        </r>
        <r>
          <rPr>
            <b/>
            <sz val="9"/>
            <rFont val="Tahoma"/>
            <family val="2"/>
          </rPr>
          <t xml:space="preserve">Introduzca el nombre de una agencia del gobierno que tenga un presupuesto para implementar el plan de nutrición.
</t>
        </r>
      </text>
    </comment>
    <comment ref="G135" authorId="0" shapeId="0" xr:uid="{00000000-0006-0000-0900-000058000000}">
      <text>
        <r>
          <rPr>
            <b/>
            <sz val="9"/>
            <rFont val="Tahoma"/>
            <family val="2"/>
          </rPr>
          <t xml:space="preserve">Instrucciones: 
</t>
        </r>
        <r>
          <rPr>
            <b/>
            <sz val="9"/>
            <rFont val="Tahoma"/>
            <family val="2"/>
          </rPr>
          <t xml:space="preserve">Introduzca el nombre de una agencia del gobierno que tenga un presupuesto para implementar el plan de nutrición.
</t>
        </r>
      </text>
    </comment>
    <comment ref="G136" authorId="0" shapeId="0" xr:uid="{00000000-0006-0000-0900-000059000000}">
      <text>
        <r>
          <rPr>
            <b/>
            <sz val="9"/>
            <rFont val="Tahoma"/>
            <family val="2"/>
          </rPr>
          <t xml:space="preserve">Instrucciones: 
</t>
        </r>
        <r>
          <rPr>
            <b/>
            <sz val="9"/>
            <rFont val="Tahoma"/>
            <family val="2"/>
          </rPr>
          <t xml:space="preserve">Introduzca el nombre de una agencia del gobierno que tenga un presupuesto para implementar el plan de nutrición.
</t>
        </r>
      </text>
    </comment>
    <comment ref="G137" authorId="0" shapeId="0" xr:uid="{00000000-0006-0000-0900-00005A000000}">
      <text>
        <r>
          <rPr>
            <b/>
            <sz val="9"/>
            <rFont val="Tahoma"/>
            <family val="2"/>
          </rPr>
          <t xml:space="preserve">Instrucciones: 
</t>
        </r>
        <r>
          <rPr>
            <b/>
            <sz val="9"/>
            <rFont val="Tahoma"/>
            <family val="2"/>
          </rPr>
          <t xml:space="preserve">Introduzca el nombre de una agencia del gobierno que tenga un presupuesto para implementar el plan de nutrición.
</t>
        </r>
      </text>
    </comment>
    <comment ref="G138" authorId="0" shapeId="0" xr:uid="{00000000-0006-0000-0900-00005B000000}">
      <text>
        <r>
          <rPr>
            <b/>
            <sz val="9"/>
            <rFont val="Tahoma"/>
            <family val="2"/>
          </rPr>
          <t xml:space="preserve">Instrucciones: 
</t>
        </r>
        <r>
          <rPr>
            <b/>
            <sz val="9"/>
            <rFont val="Tahoma"/>
            <family val="2"/>
          </rPr>
          <t xml:space="preserve">Introduzca el nombre de una agencia del gobierno que tenga un presupuesto para implementar el plan de nutrición.
</t>
        </r>
      </text>
    </comment>
    <comment ref="F142" authorId="1" shapeId="0" xr:uid="{00000000-0006-0000-0900-00005C000000}">
      <text>
        <r>
          <rPr>
            <b/>
            <sz val="9"/>
            <rFont val="Tahoma"/>
            <family val="2"/>
          </rPr>
          <t xml:space="preserve">Instrucciones: 
</t>
        </r>
        <r>
          <rPr>
            <b/>
            <sz val="9"/>
            <rFont val="Tahoma"/>
            <family val="2"/>
          </rPr>
          <t>Introduzca la fuente de información (Agencias).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1B00-000001000000}">
      <text>
        <r>
          <rPr>
            <b/>
            <sz val="9"/>
            <rFont val="Tahoma"/>
            <family val="2"/>
          </rPr>
          <t>Instructions: 
Please input the source of information (Partners).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1C00-000001000000}">
      <text>
        <r>
          <rPr>
            <b/>
            <sz val="9"/>
            <rFont val="Tahoma"/>
            <family val="2"/>
          </rPr>
          <t>Instructions: 
Please input the source of information (Partners).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1D00-000001000000}">
      <text>
        <r>
          <rPr>
            <b/>
            <sz val="9"/>
            <rFont val="Tahoma"/>
            <family val="2"/>
          </rPr>
          <t>Instructions: 
Please input the source of information (Partners).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1E00-000001000000}">
      <text>
        <r>
          <rPr>
            <b/>
            <sz val="9"/>
            <rFont val="Tahoma"/>
            <family val="2"/>
          </rPr>
          <t>Instructions: 
Please input the source of information (Partners).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Winthrop Morgan</author>
  </authors>
  <commentList>
    <comment ref="I230" authorId="0" shapeId="0" xr:uid="{00000000-0006-0000-2000-000001000000}">
      <text>
        <r>
          <rPr>
            <b/>
            <sz val="9"/>
            <rFont val="Tahoma"/>
            <family val="2"/>
          </rPr>
          <t xml:space="preserve">Comprobación de errores
</t>
        </r>
        <r>
          <rPr>
            <b/>
            <sz val="9"/>
            <rFont val="Tahoma"/>
            <family val="2"/>
          </rPr>
          <t>Señala la existencia de errores.</t>
        </r>
      </text>
    </comment>
    <comment ref="J230" authorId="0" shapeId="0" xr:uid="{00000000-0006-0000-2000-000002000000}">
      <text>
        <r>
          <rPr>
            <b/>
            <sz val="9"/>
            <rFont val="Tahoma"/>
            <family val="2"/>
          </rPr>
          <t xml:space="preserve">Comprobación de errores
</t>
        </r>
        <r>
          <rPr>
            <b/>
            <sz val="9"/>
            <rFont val="Tahoma"/>
            <family val="2"/>
          </rPr>
          <t>Señala la existencia de errores.</t>
        </r>
      </text>
    </comment>
    <comment ref="K230" authorId="0" shapeId="0" xr:uid="{00000000-0006-0000-2000-000003000000}">
      <text>
        <r>
          <rPr>
            <b/>
            <sz val="9"/>
            <rFont val="Tahoma"/>
            <family val="2"/>
          </rPr>
          <t xml:space="preserve">Comprobación de errores
</t>
        </r>
        <r>
          <rPr>
            <b/>
            <sz val="9"/>
            <rFont val="Tahoma"/>
            <family val="2"/>
          </rPr>
          <t>Señala la existencia de errores.</t>
        </r>
      </text>
    </comment>
    <comment ref="L230" authorId="0" shapeId="0" xr:uid="{00000000-0006-0000-2000-000004000000}">
      <text>
        <r>
          <rPr>
            <b/>
            <sz val="9"/>
            <rFont val="Tahoma"/>
            <family val="2"/>
          </rPr>
          <t xml:space="preserve">Comprobación de errores
</t>
        </r>
        <r>
          <rPr>
            <b/>
            <sz val="9"/>
            <rFont val="Tahoma"/>
            <family val="2"/>
          </rPr>
          <t>Señala la existencia de errores.</t>
        </r>
      </text>
    </comment>
    <comment ref="M230" authorId="0" shapeId="0" xr:uid="{00000000-0006-0000-2000-000005000000}">
      <text>
        <r>
          <rPr>
            <b/>
            <sz val="9"/>
            <rFont val="Tahoma"/>
            <family val="2"/>
          </rPr>
          <t xml:space="preserve">Comprobación de errores
</t>
        </r>
        <r>
          <rPr>
            <b/>
            <sz val="9"/>
            <rFont val="Tahoma"/>
            <family val="2"/>
          </rPr>
          <t>Señala la existencia de errores.</t>
        </r>
      </text>
    </comment>
    <comment ref="N230" authorId="0" shapeId="0" xr:uid="{00000000-0006-0000-2000-000006000000}">
      <text>
        <r>
          <rPr>
            <b/>
            <sz val="9"/>
            <rFont val="Tahoma"/>
            <family val="2"/>
          </rPr>
          <t xml:space="preserve">Comprobación de errores
</t>
        </r>
        <r>
          <rPr>
            <b/>
            <sz val="9"/>
            <rFont val="Tahoma"/>
            <family val="2"/>
          </rPr>
          <t>Señala la existencia de errores.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E85" authorId="0" shapeId="0" xr:uid="{00000000-0006-0000-0A00-000001000000}">
      <text>
        <r>
          <rPr>
            <b/>
            <sz val="9"/>
            <rFont val="Tahoma"/>
            <family val="2"/>
          </rPr>
          <t xml:space="preserve">Instrucciones: 
</t>
        </r>
        <r>
          <rPr>
            <b/>
            <sz val="9"/>
            <rFont val="Tahoma"/>
            <family val="2"/>
          </rPr>
          <t>Introduzca la fuente de información (Socios).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0B00-000001000000}">
      <text>
        <r>
          <rPr>
            <b/>
            <sz val="9"/>
            <rFont val="Tahoma"/>
            <family val="2"/>
          </rPr>
          <t xml:space="preserve">Instrucciones: 
</t>
        </r>
        <r>
          <rPr>
            <b/>
            <sz val="9"/>
            <rFont val="Tahoma"/>
            <family val="2"/>
          </rPr>
          <t>Introduzca la fuente de información (Socios).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0C00-000001000000}">
      <text>
        <r>
          <rPr>
            <b/>
            <sz val="9"/>
            <rFont val="Tahoma"/>
            <family val="2"/>
          </rPr>
          <t>Instructions: 
Please input the source of information (Partners).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0D00-000001000000}">
      <text>
        <r>
          <rPr>
            <b/>
            <sz val="9"/>
            <rFont val="Tahoma"/>
            <family val="2"/>
          </rPr>
          <t>Instructions: 
Please input the source of information (Partners).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0E00-000001000000}">
      <text>
        <r>
          <rPr>
            <b/>
            <sz val="9"/>
            <rFont val="Tahoma"/>
            <family val="2"/>
          </rPr>
          <t>Instructions: 
Please input the source of information (Partners).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0F00-000001000000}">
      <text>
        <r>
          <rPr>
            <b/>
            <sz val="9"/>
            <rFont val="Tahoma"/>
            <family val="2"/>
          </rPr>
          <t>Instructions: 
Please input the source of information (Partners).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Winthrop Morgan, MPH</author>
  </authors>
  <commentList>
    <comment ref="F84" authorId="0" shapeId="0" xr:uid="{00000000-0006-0000-1000-000001000000}">
      <text>
        <r>
          <rPr>
            <b/>
            <sz val="9"/>
            <rFont val="Tahoma"/>
            <family val="2"/>
          </rPr>
          <t>Instructions: 
Please input the source of information (Partners).</t>
        </r>
      </text>
    </comment>
  </commentList>
</comments>
</file>

<file path=xl/sharedStrings.xml><?xml version="1.0" encoding="utf-8"?>
<sst xmlns="http://schemas.openxmlformats.org/spreadsheetml/2006/main" count="2002" uniqueCount="569">
  <si>
    <t>Índice</t>
  </si>
  <si>
    <t>Go to Table of Contents</t>
  </si>
  <si>
    <t>ç</t>
  </si>
  <si>
    <t>è</t>
  </si>
  <si>
    <t>Notas y fuentes de información</t>
  </si>
  <si>
    <t>Sub-Section Cover Notes:</t>
  </si>
  <si>
    <t>[Insert sub-section cover note 1]</t>
  </si>
  <si>
    <t>[Insert sub-section cover note 2]</t>
  </si>
  <si>
    <t>[Insert sub-section cover note 3]</t>
  </si>
  <si>
    <t>Checks</t>
  </si>
  <si>
    <t>é</t>
  </si>
  <si>
    <t>Check</t>
  </si>
  <si>
    <t>Descripción de colores / Propósito</t>
  </si>
  <si>
    <t>Ejemplo</t>
  </si>
  <si>
    <t>Constant</t>
  </si>
  <si>
    <t>Formula</t>
  </si>
  <si>
    <t>Indicates ranges contain pure formulas / output calculations.</t>
  </si>
  <si>
    <t>Mixed</t>
  </si>
  <si>
    <t>Indicates ranges contain a mixture of formulas and constants (e.g. formulas that contain embedded text or numbers).</t>
  </si>
  <si>
    <t>Indicates operative checks - normally used as a conditional format.</t>
  </si>
  <si>
    <t>Hyperlink</t>
  </si>
  <si>
    <t>Indica que las gamas contienen hipervínculos a otras gamas dentro del libro de trabajo o a otros modelos vinculados.</t>
  </si>
  <si>
    <t>Sección 1.</t>
  </si>
  <si>
    <t>Sección 2.</t>
  </si>
  <si>
    <t>Sección 3.</t>
  </si>
  <si>
    <t>a.</t>
  </si>
  <si>
    <t>x</t>
  </si>
  <si>
    <t>h</t>
  </si>
  <si>
    <t>O</t>
  </si>
  <si>
    <t>Time Series</t>
  </si>
  <si>
    <t>Lookup Tables</t>
  </si>
  <si>
    <t>Names</t>
  </si>
  <si>
    <t>Time Series - Assumptions</t>
  </si>
  <si>
    <t>Primary Periodicity</t>
  </si>
  <si>
    <t>Annual</t>
  </si>
  <si>
    <t>Financial Year End</t>
  </si>
  <si>
    <t>First Financial Year</t>
  </si>
  <si>
    <t>Term (Years)</t>
  </si>
  <si>
    <t>Model Start Date</t>
  </si>
  <si>
    <t>Model End Date</t>
  </si>
  <si>
    <t>Denomination</t>
  </si>
  <si>
    <t>$</t>
  </si>
  <si>
    <t>Denomination Conversion Factor</t>
  </si>
  <si>
    <t>Time Series - Lookups</t>
  </si>
  <si>
    <t>Month Days</t>
  </si>
  <si>
    <t>Month Day</t>
  </si>
  <si>
    <t>LU_Ts_Mth_Days</t>
  </si>
  <si>
    <t>Month Names</t>
  </si>
  <si>
    <t>Month Name</t>
  </si>
  <si>
    <t>LU_Ts_Mth_Names</t>
  </si>
  <si>
    <t>Periods In Periods</t>
  </si>
  <si>
    <t>Periods In Period</t>
  </si>
  <si>
    <t xml:space="preserve"> </t>
  </si>
  <si>
    <t>Ts_Secs_In_Min</t>
  </si>
  <si>
    <t>Ts_Mins_In_Hr</t>
  </si>
  <si>
    <t>Ts_Hrs_In_Day</t>
  </si>
  <si>
    <t>Ts_Days_In_Wk</t>
  </si>
  <si>
    <t>Ts_Mths_In_Qtr</t>
  </si>
  <si>
    <t>Ts_Mths_In_Half</t>
  </si>
  <si>
    <t>Ts_Mths_In_Yr</t>
  </si>
  <si>
    <t>Ts_Qtrs_In_Half</t>
  </si>
  <si>
    <t>Ts_Qtrs_In_Yr</t>
  </si>
  <si>
    <t>Ts_Halves_In_Yr</t>
  </si>
  <si>
    <t>Denominations</t>
  </si>
  <si>
    <t>LU_Ts_Denom</t>
  </si>
  <si>
    <t>Denomination Conversions</t>
  </si>
  <si>
    <t>Denomination Conversion</t>
  </si>
  <si>
    <t>LU_Ts_Denom_Conv</t>
  </si>
  <si>
    <t>Ts_Thousand</t>
  </si>
  <si>
    <t>Ts_Million</t>
  </si>
  <si>
    <t>Ts_Billion</t>
  </si>
  <si>
    <t>b.</t>
  </si>
  <si>
    <t>Period Start Date</t>
  </si>
  <si>
    <t>Period End Date</t>
  </si>
  <si>
    <t>Counter</t>
  </si>
  <si>
    <t>Financial Year</t>
  </si>
  <si>
    <t>ð</t>
  </si>
  <si>
    <t>ï</t>
  </si>
  <si>
    <t>c.</t>
  </si>
  <si>
    <t>d.</t>
  </si>
  <si>
    <t>Ir a la portada</t>
  </si>
  <si>
    <t>Títulos de las secciones y hojas</t>
  </si>
  <si>
    <t>Se refuerza la coordinación multisectorial en materia de nutrición</t>
  </si>
  <si>
    <t>Está en funcionamiento el sistema multisectorial de información sobre nutrición para la adopción de decisiones eficaces.</t>
  </si>
  <si>
    <t>El marco legislativo y reglamentario de la nutrición se ha fortalecido y está en funcionamiento.</t>
  </si>
  <si>
    <t>Se fortalece el acceso y la utilización sostenible de los servicios de salud y nutrición para los niños menores de 5 años, los adolescentes, las mujeres embarazadas y lactantes, y los demás grupos vulnerables</t>
  </si>
  <si>
    <t>Se refuerzan las intervenciones comunitarias en materia de nutrición.</t>
  </si>
  <si>
    <t xml:space="preserve">Aumenta la disponibilidad y el acceso a alimentos de alto valor nutritivo en los hogares. </t>
  </si>
  <si>
    <t xml:space="preserve"> La seguridad alimentaria está garantizada para toda la nación.</t>
  </si>
  <si>
    <t xml:space="preserve"> Se introducen eficazmente intervenciones para emergencias y catástrofes naturales integrales de la nutrición.</t>
  </si>
  <si>
    <t>Se mejoran las prácticas nutricionales favorables para los niños menores de 5 años, los adolescentes, las mujeres embarazadas y lactantes, y otros grupos vulnerables.</t>
  </si>
  <si>
    <t>Se promueven las buenas prácticas WASH a nivel comunitario y doméstico</t>
  </si>
  <si>
    <t>MQSUN+</t>
  </si>
  <si>
    <t>Monedas</t>
  </si>
  <si>
    <t>País:</t>
  </si>
  <si>
    <t>Nombre de la moneda</t>
  </si>
  <si>
    <t>Abreviatura de la moneda</t>
  </si>
  <si>
    <t>Dólar estadounidense</t>
  </si>
  <si>
    <t>USD</t>
  </si>
  <si>
    <t>Dependencia (% de las contribuciones de los socios a la necesidad total)</t>
  </si>
  <si>
    <t>Socio 1</t>
  </si>
  <si>
    <t>Socio 2</t>
  </si>
  <si>
    <t>Socio 3</t>
  </si>
  <si>
    <t>Socio 4</t>
  </si>
  <si>
    <t>Socio 5</t>
  </si>
  <si>
    <t>Banco Mundial</t>
  </si>
  <si>
    <t>TOTAL</t>
  </si>
  <si>
    <t>Subtotal Strategy 1</t>
  </si>
  <si>
    <t>Subtotal Strategy 2</t>
  </si>
  <si>
    <t>Subtotal Strategy 3</t>
  </si>
  <si>
    <t>Subtotal Strategy 4</t>
  </si>
  <si>
    <t>Subtotal Strategy 5</t>
  </si>
  <si>
    <t>TODAS las contribuciones de los socios</t>
  </si>
  <si>
    <t>Gobierno 1</t>
  </si>
  <si>
    <t>Gobierno 2</t>
  </si>
  <si>
    <t>Gobierno 3</t>
  </si>
  <si>
    <t>Gobierno 4</t>
  </si>
  <si>
    <t>Gobierno 5</t>
  </si>
  <si>
    <t>Gobierno 6</t>
  </si>
  <si>
    <t>Gobierno 7</t>
  </si>
  <si>
    <t>Gobierno 8</t>
  </si>
  <si>
    <t>Gobierno 9</t>
  </si>
  <si>
    <t>Gobierno 10</t>
  </si>
  <si>
    <t>Socio 6</t>
  </si>
  <si>
    <t>Socio 7</t>
  </si>
  <si>
    <t>Socio 8</t>
  </si>
  <si>
    <t>Socio 9</t>
  </si>
  <si>
    <t>Socio 10</t>
  </si>
  <si>
    <t>Ministerio de Agricultura y Ganadería</t>
  </si>
  <si>
    <t>Ministerio de Energía y Minas</t>
  </si>
  <si>
    <t>Ministerio de Educación Nacional, de Educación Superior e Investigación Científica</t>
  </si>
  <si>
    <t>Ministerio de Medioambiente</t>
  </si>
  <si>
    <t>Ministerio de Servicio Público</t>
  </si>
  <si>
    <t>Ministerio de Salud Pública y Lucha contra el SIDA</t>
  </si>
  <si>
    <t xml:space="preserve">Ministerio de Derechos Humanos, Asuntos Sociales y Género </t>
  </si>
  <si>
    <t>Ministerio de Desarrollo Municipal</t>
  </si>
  <si>
    <t>Escriba</t>
  </si>
  <si>
    <t>Necesidades financieras</t>
  </si>
  <si>
    <t>Proportion (%)</t>
  </si>
  <si>
    <t>Cubierto</t>
  </si>
  <si>
    <t>Objetivo estratégico/ Indicador de resultados</t>
  </si>
  <si>
    <t>Financiación total disponible</t>
  </si>
  <si>
    <t>Resultados/ Indicadores</t>
  </si>
  <si>
    <t>Necesidad financiera</t>
  </si>
  <si>
    <t>Total de todos los años</t>
  </si>
  <si>
    <t>Mamadou Kone - Abril 2019</t>
  </si>
  <si>
    <t>Déficit de financiación</t>
  </si>
  <si>
    <t>e.</t>
  </si>
  <si>
    <t>f.</t>
  </si>
  <si>
    <t>g.</t>
  </si>
  <si>
    <t>h.</t>
  </si>
  <si>
    <t>i.</t>
  </si>
  <si>
    <t>j.</t>
  </si>
  <si>
    <t>k.</t>
  </si>
  <si>
    <t>l.</t>
  </si>
  <si>
    <t>m.</t>
  </si>
  <si>
    <t>Número de versión:</t>
  </si>
  <si>
    <t>Nombre del archivo del libro de trabajo:</t>
  </si>
  <si>
    <t>Guarde con frecuencia para evitar perder su trabajo.</t>
  </si>
  <si>
    <t>Subtotal Strategy 6</t>
  </si>
  <si>
    <t>Subtotal Strategy 7</t>
  </si>
  <si>
    <t>Subtotal Strategy 8</t>
  </si>
  <si>
    <t>Subtotal Strategy 9</t>
  </si>
  <si>
    <t>Subtotal Strategy 10</t>
  </si>
  <si>
    <t>Desarrolladores primarios:  Winthrop Morgan, MPH</t>
  </si>
  <si>
    <t>Allan Chi</t>
  </si>
  <si>
    <t>Sostenibilidad</t>
  </si>
  <si>
    <t>Contenido</t>
  </si>
  <si>
    <t>Portada</t>
  </si>
  <si>
    <t>Control de cambios y gestión de versiones</t>
  </si>
  <si>
    <t>Suposiciones</t>
  </si>
  <si>
    <t>Notes and Sources of Information</t>
  </si>
  <si>
    <t>fuente: https://treasury.un.org/operationalrates/OperationalRates.php</t>
  </si>
  <si>
    <t>a partir de (Mes_Día_Año):</t>
  </si>
  <si>
    <t>Mamadou Kone - April 2019</t>
  </si>
  <si>
    <t>as presented to Ann Levin (ann@levinmorgan.com)</t>
  </si>
  <si>
    <t>Primer año de esta herramienta</t>
  </si>
  <si>
    <t>¡IMPORTANTE! Por favor, indique la fuente del tipo de cambio utilizado.</t>
  </si>
  <si>
    <t>https://treasury.un.org/operationalrates/OperationalRates.php</t>
  </si>
  <si>
    <t>La fuente preferida para los tipos de cambio es el tipo de cambio de la Operación de Tesorería de las Naciones Unidas:</t>
  </si>
  <si>
    <t>UNICEF</t>
  </si>
  <si>
    <t>Organización Mundial de la Salud</t>
  </si>
  <si>
    <t>Organización de las Naciones Unidas para la Alimentación y la Agricultura</t>
  </si>
  <si>
    <t>Programa Mundial de Alimentos</t>
  </si>
  <si>
    <t>1. Constant; 2. Formula; or 3. Mixed (combination of constant and formula).</t>
  </si>
  <si>
    <t>3-13 Hyperlink Consistency</t>
  </si>
  <si>
    <t>All hyperlinks within a workbook should use a consistent, dedicated style or format so that they are visually identifiable as being hyperlinks.</t>
  </si>
  <si>
    <t>3-14 Work in Progress</t>
  </si>
  <si>
    <t>4. Assumptions</t>
  </si>
  <si>
    <t>4-1   Prevent Invalid Assumption Entries</t>
  </si>
  <si>
    <t>4-2   No Assumption Repetition</t>
  </si>
  <si>
    <t>Any single assumption should never be entered more than once into a workbook.</t>
  </si>
  <si>
    <t>4-3   Inactive Assumptions</t>
  </si>
  <si>
    <t>4-4   Control Cell Link Placement</t>
  </si>
  <si>
    <t>4-5   Control Lookup Data</t>
  </si>
  <si>
    <t>4-6   In-Cell Drop Down Lists</t>
  </si>
  <si>
    <t>4-7   Data Validation</t>
  </si>
  <si>
    <t>4-8   No Heading, Title or Label Repetition</t>
  </si>
  <si>
    <t>6. Outputs &amp; Presentations</t>
  </si>
  <si>
    <t>6-1   Segregation of Outputs</t>
  </si>
  <si>
    <t>Output and presentation sheets, which may take the form of tables, graphs, diagrams or pictures, amongst other forms, should always be located in separate, clearly labelled sections of a workbook.</t>
  </si>
  <si>
    <t>6-2   Outputs Section Structure</t>
  </si>
  <si>
    <t>8-1   Workbook Naming</t>
  </si>
  <si>
    <t>8-2   Sheet Naming Consistency</t>
  </si>
  <si>
    <t>8-3   Range Naming Consistency</t>
  </si>
  <si>
    <t>8-4   File Name Visibility</t>
  </si>
  <si>
    <t>It is recommended that the file name for every workbook is contained within the header or footer of each sheet in the workbook.</t>
  </si>
  <si>
    <t>9. Time Series Analysis</t>
  </si>
  <si>
    <t>9-1   Time Series Assumptions</t>
  </si>
  <si>
    <t>Every workbook that undertakes time series analysis should clearly state, for each distinct time series:1. The time series start date;</t>
  </si>
  <si>
    <t>and 2. The primary time series periodicity.</t>
  </si>
  <si>
    <t>9-2   Time Series Constants</t>
  </si>
  <si>
    <t>Every workbook that undertakes time series analysis should contain named range time constants (e.g. months in year, days in week, weeks in year, etc.) rather than embedding these constants in multiple formulas.</t>
  </si>
  <si>
    <t>9-3   Time Series Period Titles</t>
  </si>
  <si>
    <t>Time series sheet period titles should always include the following data in each time series period:1. Period start date; 2. Period end date; and 3. Period number (counter).</t>
  </si>
  <si>
    <t>9-4   Time Series Period End Dates</t>
  </si>
  <si>
    <t>The period end date label for each period in a time series sheet should always be in view on the screen.</t>
  </si>
  <si>
    <t>9-5   Time Series Periodicity Identification</t>
  </si>
  <si>
    <t>9-6   Time Series Number of Periods</t>
  </si>
  <si>
    <t>A workbook that undertakes time series analysis should always include a cell or cell range that indicates the number of periods in each distinct time series.</t>
  </si>
  <si>
    <t>9-7   Time Series Sheet Consistency</t>
  </si>
  <si>
    <t>Time series sheets for each distinct time series within a workbook should always: 1. Contain the same number of periods;</t>
  </si>
  <si>
    <t>and 2. Have the first period starting in the same column (or more rarely, row).</t>
  </si>
  <si>
    <t>9-8   Time Series Data Direction</t>
  </si>
  <si>
    <t>10. Checks</t>
  </si>
  <si>
    <t>10-1 Include Checks</t>
  </si>
  <si>
    <t>10-2 Checks Classification</t>
  </si>
  <si>
    <t>or 3. Alert check.</t>
  </si>
  <si>
    <t>10-3 Dedicated Checks Summaries</t>
  </si>
  <si>
    <t>A workbook should contain a dedicated and separate checks summary for each type of check included in the workbook.</t>
  </si>
  <si>
    <t>10-4 Error Checks</t>
  </si>
  <si>
    <t>Every workbook should contain appropriate error checks to assist in identifying errors in the workbook.</t>
  </si>
  <si>
    <t>10-5 Sensitivity Checks</t>
  </si>
  <si>
    <t>Every workbook that contains one or more sensitivity assumption or scenario analysis should contain sensitivity checks to identify when there is an active sensitivity assumption.</t>
  </si>
  <si>
    <t>10-6 Alert Checks</t>
  </si>
  <si>
    <t>Every workbook that requires checks that are not classified as error checks or sensitivity checks should contain alert checks to identify when such a check has been triggered.</t>
  </si>
  <si>
    <t>10-7 Check Indicator Flags</t>
  </si>
  <si>
    <t>A message or indicator that clearly communicates that a check has been triggered in a workbook should always be in view on every worksheet in the workbook.</t>
  </si>
  <si>
    <t>10-8 Check Cell Conditional Formatting</t>
  </si>
  <si>
    <t>10-9 Check Calculation Location</t>
  </si>
  <si>
    <t>11-2 Sheet Page Numbers</t>
  </si>
  <si>
    <t>Before printing an entire workbook containing multiple sheets, all its sheets should contain page numbers that correspond with the printed page numbers stated in the workbook table of contents.</t>
  </si>
  <si>
    <t>11-3 Print View Consistency</t>
  </si>
  <si>
    <t>The print scaling setting and hence the size of the content on each printed page in a workbook should, where practical, be consistent for each sheet of the same type.</t>
  </si>
  <si>
    <t>11-4 Page View Consistency</t>
  </si>
  <si>
    <t>11-5 Worksheet View Consistency</t>
  </si>
  <si>
    <t>Name</t>
  </si>
  <si>
    <t>Fonts</t>
  </si>
  <si>
    <t>Pestañas</t>
  </si>
  <si>
    <t>Sostenibilidad (% de contribuciones del gobierno a las necesidades totales)</t>
  </si>
  <si>
    <t>Contribución del gobierno</t>
  </si>
  <si>
    <t>Basic_Setup</t>
  </si>
  <si>
    <t>Especial</t>
  </si>
  <si>
    <t>Notas y fuentes de información:</t>
  </si>
  <si>
    <t>Introduzca las notas explicativas y las referencias a las fuentes de formación utilizadas para la introducción de datos en cualquier celda de suposición.</t>
  </si>
  <si>
    <t>Los datos proporcionados por el usuario en las celdas se marcan como celdas de suposición.</t>
  </si>
  <si>
    <t>Clave de los colores de las células en la tabla a continuación:</t>
  </si>
  <si>
    <t xml:space="preserve">- Crear un caso de inversión en el plan nacional </t>
  </si>
  <si>
    <t>- Resumir el plan nutricional del país</t>
  </si>
  <si>
    <t>- Desarrollar los mensajes de los donantes</t>
  </si>
  <si>
    <t>- Elaborar orientaciones y puntos de discusión para los puntos focales</t>
  </si>
  <si>
    <t xml:space="preserve">- Personalizar las plantillas de material de marketing (por ejemplo, marcador, calendario). </t>
  </si>
  <si>
    <t>[No está en uso]</t>
  </si>
  <si>
    <t>- Las contribuciones anuales previstas para un período de cinco años de hasta diez socios, desglosadas por resultado/indicador.</t>
  </si>
  <si>
    <t>- Los objetivos estratégicos del plan nacional de nutrición (hasta 10)</t>
  </si>
  <si>
    <t>- Los presupuestos anuales para un período de cinco años de los organismos gubernamentales nacionales (hasta 10) encargados de aplicar el plan nacional de nutrición. (No se necesita un desglose por objetivo estratégico o resultado/indicador).</t>
  </si>
  <si>
    <t>- Los resultados/indicadores correspondientes a cada objetivo estratégico enumerado (hasta 5 por objetivo estratégico)</t>
  </si>
  <si>
    <t xml:space="preserve">Dependencia </t>
  </si>
  <si>
    <t>Se puede navegar por la herramienta de varias maneras:</t>
  </si>
  <si>
    <t>- Utilizando las pestañas en la parte inferior de la herramienta para navegar entre las hojas de trabajo.</t>
  </si>
  <si>
    <t>- Utilizando la tabla de contenidos en la parte delantera del libro de trabajo para encontrar e ir (a través de hipervínculos) a áreas específicas del libro de trabajo.</t>
  </si>
  <si>
    <t>- Utilizando las flechas de la parte superior izquierda de cada hoja de trabajo para ir a la parte superior de la hoja de trabajo, a la hoja anterior y a la siguiente hoja de trabajo.</t>
  </si>
  <si>
    <t>- Hay un enlace al Índice en la parte superior izquierda de cada hoja de trabajo para llegar fácilmente a esa hoja de trabajo.</t>
  </si>
  <si>
    <t xml:space="preserve">No hay datos de fuentes externas incorporadas en esta herramienta. </t>
  </si>
  <si>
    <t xml:space="preserve">Las instrucciones para los usuarios se incluyen en toda la herramienta. </t>
  </si>
  <si>
    <t>- Haga clic en cualquier celda amarilla para obtener instrucciones sobre qué introducir.</t>
  </si>
  <si>
    <t>- Busque las formas ovaladas azules con instrucciones en ellas en todas las hojas de trabajo.</t>
  </si>
  <si>
    <t>- Las celdas con fuente azul indican que los intervalos contienen un 100% de constante (por ejemplo, texto/números).</t>
  </si>
  <si>
    <t>- Las celdas con fuente negra indican intervalos que contienen fórmulas puras/cálculos de resultado.</t>
  </si>
  <si>
    <t>- Las celdas con fuente en color ciruela con subrayado indican intervalos que contienen hipervínculos a otros intervalos dentro del libro de trabajo.</t>
  </si>
  <si>
    <t>- Las celdas con fondo amarillo indican intervalos para que los usuarios introduzcan suposiciones.</t>
  </si>
  <si>
    <t>Los principales desarrolladores de este borrador de plantilla son Winthrop Morgan y Allan Chi de Levin&amp; Morgan, LLC.</t>
  </si>
  <si>
    <t>La herramienta fue encargada por MQSUN+ en mayo de 2020.</t>
  </si>
  <si>
    <t>La herramienta está destinada a ser utilizada:</t>
  </si>
  <si>
    <t>- después de que se haya completado un plan estratégico y una evaluación del cálculo de costos</t>
  </si>
  <si>
    <t>- antes de que se inicien los esfuerzos de movilización de recursos para un país concreto.</t>
  </si>
  <si>
    <t>Necesidad financiada</t>
  </si>
  <si>
    <t>Necesidad total</t>
  </si>
  <si>
    <t>Fondos disponibles</t>
  </si>
  <si>
    <t>Objetivos estratégicos</t>
  </si>
  <si>
    <t>Funding Gap</t>
  </si>
  <si>
    <t>Déficit de financiación: por año y objetivo estratégico</t>
  </si>
  <si>
    <t>Contribución</t>
  </si>
  <si>
    <t>SUMMARY_PARTNER_CONTRIBUTIONS</t>
  </si>
  <si>
    <t>Acerca de</t>
  </si>
  <si>
    <t>Contacto:</t>
  </si>
  <si>
    <t>win@levinmorgan.com</t>
  </si>
  <si>
    <t>Esta herramienta se desarrolla utilizando técnicas estándar de Excel.</t>
  </si>
  <si>
    <t>No se usan macros en esta herramienta.</t>
  </si>
  <si>
    <t>No se utiliza ningún código VBA en esta herramienta.</t>
  </si>
  <si>
    <t>Hay dos hojas de trabajo ocultas en la herramienta: estas son para uso de los desarrolladores y no para uso de los usuarios.</t>
  </si>
  <si>
    <t>Hay un límite de 10 áreas de aportes de objetivos estratégicos en la herramienta.</t>
  </si>
  <si>
    <t>Hay un límite de 5 áreas de resultados/indicadores para cada objetivo estratégico de la herramienta.</t>
  </si>
  <si>
    <t>La herramienta está limitada a un período de cinco años.</t>
  </si>
  <si>
    <t>This workbook contain a separate overview sheet as the first sheet in the workbook (after the cover and contents sheets).</t>
  </si>
  <si>
    <t>This workbook is separated into sections containing similar or related types of information. These are Assumptions, Outputs, and an Appendix.</t>
  </si>
  <si>
    <t>A section cover sheet is used at the start of each section in the workbook to indicate the start of the section.</t>
  </si>
  <si>
    <t>The workbook contains a hyperlink-based table of contents outlining the structure and composition of the underlying workbook.</t>
  </si>
  <si>
    <t>Los hipervínculos de la tabla de contenidos conectan con cada hoja del libro de trabajo Un hipervínculo a la tabla de contenidos, siempre a la vista en cada hoja del libro de trabajo.</t>
  </si>
  <si>
    <t>Un hipervínculo al índice, siempre a la vista en cada hoja del libro de trabajo.</t>
  </si>
  <si>
    <t xml:space="preserve">Every sheet in a workbook is visually identifiable as being one of the following sheet types:1. Overview; 2. Section cover sheet; 3.Time series sheet; 4. Non-time series sheet; or 5. Lookups sheet. </t>
  </si>
  <si>
    <t>Every sheet in a workbook contains a clearly highlighted sheet title that is:1. Consistently formatted on every sheet; 2. Consistently located on every sheet type; and 3. Always in view on the screen when that sheet is active.</t>
  </si>
  <si>
    <t>Sheets of the same sheet type within a workbook are consistently structured and formatted, including:1. Sheet title, styles and positioning; 2. Heading styles and spacing; 3. Column and row dimensions; 4. Data entry points; 5. Hyperlink positioning; 6. Visibility of gridlines; 7. Grouping levels; 8. Zoom and viewing properties; 9. Window panes and splits; and 10. Formats and colors.</t>
  </si>
  <si>
    <t>Every worksheet, where relevant,  contains hyperlinks to the workbook table of contents and checks summaries, and these hyperlinks are always be visible irrespective of the worksheet window scroll position.</t>
  </si>
  <si>
    <t>Charts are placed within worksheets rather than using chart sheets.</t>
  </si>
  <si>
    <t>Frozen panes are used on worksheets to ensure that the sheet title, table of contents and checks summaries hyperlinks, check indicator flags and time series period titles are always in view.</t>
  </si>
  <si>
    <t>The workbook cover sheet clearly displays the model name and the model developer’s name.</t>
  </si>
  <si>
    <t>Styles are used to achieve consistency of formatting in worksheets rather than independently applying formats.</t>
  </si>
  <si>
    <t>Every style in a workbook is classified as being one of the following style types:1. Assumption; 2. Output; or 3. Presentation.</t>
  </si>
  <si>
    <t>The overview sheet contains a key or legend that explains the purpose of each format and style that has been applied to the cells in the workbook.</t>
  </si>
  <si>
    <t>Assumption styles  have their protection property set to unlocked. All other styles have their protection property set to locked.</t>
  </si>
  <si>
    <t>Consistent font coloring is used to identify non-presentation cells as containing one of the following content types:</t>
  </si>
  <si>
    <t>Cell content identification font coloring is not used for: 1. Dashboard presentation sheet; 2. Time series sheet period titles; 3. Top-level headings; 4. Hyperlinks; or 5. Control cell links.</t>
  </si>
  <si>
    <t>Nombre</t>
  </si>
  <si>
    <t>Se utilizan herramientas de seguridad y protección para garantizar que sólo se pueda manipular el contenido de las suposiciones de un libro de trabajo cuando se utiliza la protección de los libros y las hojas de trabajo.</t>
  </si>
  <si>
    <t>Cada celda de un libro de trabajo que no sea una celda de suposición está protegida (bloqueada) para garantizar que la protección de la hoja de trabajo pueda utilizarse para proteger el libro de trabajo si es necesario.</t>
  </si>
  <si>
    <t>Selected chart</t>
  </si>
  <si>
    <t>Neighbors</t>
  </si>
  <si>
    <t>Left</t>
  </si>
  <si>
    <t>Right</t>
  </si>
  <si>
    <t>Title</t>
  </si>
  <si>
    <t>% change</t>
  </si>
  <si>
    <t>Financial Requirement</t>
  </si>
  <si>
    <t>Year</t>
  </si>
  <si>
    <t>Last Year</t>
  </si>
  <si>
    <t>Total Available Funding</t>
  </si>
  <si>
    <t>% Requirement Covered</t>
  </si>
  <si>
    <t>% Donor Dependency</t>
  </si>
  <si>
    <t>First Year</t>
  </si>
  <si>
    <t>Total Partner Contribution</t>
  </si>
  <si>
    <t>Workbook Structure</t>
  </si>
  <si>
    <t>Every sheet in a workbook displays the model name in a cell that is:1. Consistently formatted on every sheet; 2. Consistently located on every sheet type; and 3. Always in view on the screen when that sheet is active.</t>
  </si>
  <si>
    <t>Styles</t>
  </si>
  <si>
    <t>Dashboards</t>
  </si>
  <si>
    <t>A dashboard included because is not possible to use non-presentation sheets to achieve the same objective.</t>
  </si>
  <si>
    <t>Calculation Formulas</t>
  </si>
  <si>
    <t>Wherever possible, formulas in adjacent cells containing similar types of output are consistent.</t>
  </si>
  <si>
    <t>Assumptions are not embedded in cells containing formulas.</t>
  </si>
  <si>
    <t>Circular references are avoided using formulas</t>
  </si>
  <si>
    <t>Complex formulas are not used in this workbook.</t>
  </si>
  <si>
    <t>Where practical, a calculation is performed only once, with dependent calculations referring to this single instance.</t>
  </si>
  <si>
    <t>This tool is set to calculate automatically.</t>
  </si>
  <si>
    <t>Naming Principles</t>
  </si>
  <si>
    <t>Resultados</t>
  </si>
  <si>
    <t>Consistent fill coloring is used to identify all assumption cells.</t>
  </si>
  <si>
    <t>The denomination of ranges based on denominations other than the primary denomination of the workbook is clearly labelled to avoid confusion.</t>
  </si>
  <si>
    <t>A unique and recognizable fill color is used to identify worksheet ranges that are subject to further work or not finalized.</t>
  </si>
  <si>
    <t>Controls, data validation, conditional formatting, checks and sheet protection is used to limit the scope for model users to enter invalid assumptions.</t>
  </si>
  <si>
    <t>Conditional formatting is used to indicate which assumption cells are inactive at any point in time.</t>
  </si>
  <si>
    <t>Where practical, control cell links is located in the top left cell of the range over which their control is placed.</t>
  </si>
  <si>
    <t>Where practical, the input range of controls is located on a lookups sheet.</t>
  </si>
  <si>
    <t>A cell in which data validation is used to create in cell drop down lists is styled as an assumption cell.</t>
  </si>
  <si>
    <t>Wherever possible, data validation is used to control the type of data being entered into assumption cells and/or set the minimum and maximum bounds of the assumptions that can be entered.</t>
  </si>
  <si>
    <t>Where practical, any headings, titles or labels that are inserted into a workbook should not be entered more than once. All identical headings, titles and labels that are contained in a workbook is linked to the base heading, title or label that was entered.</t>
  </si>
  <si>
    <t>Where practical, the output sections within a workbook is structured consistently with their corresponding assumption sections.</t>
  </si>
  <si>
    <t>Each workbook is named such that the name: 1. Allows for different versions of the workbook; 2. Remains consistent between versions of the workbook; and 3. Differentiates the workbook from other workbooks.</t>
  </si>
  <si>
    <t>A sheet naming syntax is adopted and implemented consistently when naming all sheets in a workbook.</t>
  </si>
  <si>
    <t>A range naming syntax is adopted and implemented consistently when naming worksheet ranges.</t>
  </si>
  <si>
    <t>The periodicity of each time series sheet is clearly identified and always in view on each time series sheet.</t>
  </si>
  <si>
    <t>Where practical, time series period titles is positioned across rows, not down columns.</t>
  </si>
  <si>
    <t>Checks is used wherever possible to detect and report errors, active sensitivity analysis and any other relevant information to model users.</t>
  </si>
  <si>
    <t>All checks in a workbook is classified as being one of the following check types:1. Error check; 2. Sensitivity check;</t>
  </si>
  <si>
    <t>Each check cell in a workbook is conditionally formatted in such a way that it will visually indicate when an error, sensitivity or alert check has been triggered.</t>
  </si>
  <si>
    <t>Calculations for checks is located on the sheet to which the check is relevant and not on the associated checks summary sheet.</t>
  </si>
  <si>
    <t>The view type is the same for each sheet in a workbook.</t>
  </si>
  <si>
    <t>Prior to finalizing a workbook, the view of every worksheet in the workbook is set such that the top-left corner of the worksheet is in view, cell A1 is selected, and its window is scrolled to the top-left position.</t>
  </si>
  <si>
    <t>All data of the same type on a worksheet are consistently aligned down rows or across columns.</t>
  </si>
  <si>
    <t>There are two currencies  that are used throughout the workbook. These are user-definable in the Basic_Setup worksheet.</t>
  </si>
  <si>
    <t>Printing &amp; Viewing</t>
  </si>
  <si>
    <t>The table of contents should display the corresponding printed page numbers for each sheet. As such, a workbook should always print with a table of contents that is consistent with any page numbers printed on the individual sheet pages.</t>
  </si>
  <si>
    <t>Presentaciones</t>
  </si>
  <si>
    <t>Sub-Section 4.1.</t>
  </si>
  <si>
    <t>Sub-Section 4.2.</t>
  </si>
  <si>
    <t>Gozinta local</t>
  </si>
  <si>
    <t>GOZ</t>
  </si>
  <si>
    <t>Moneda internacional</t>
  </si>
  <si>
    <t>Moneda local</t>
  </si>
  <si>
    <t>Resultado/ Tipo de indicador</t>
  </si>
  <si>
    <t>Estrategia</t>
  </si>
  <si>
    <t>Objetivo estratégico</t>
  </si>
  <si>
    <t>&lt; 30%</t>
  </si>
  <si>
    <t>30-49%</t>
  </si>
  <si>
    <t>50%+</t>
  </si>
  <si>
    <t>como se presentó a Ann Levin (ann@levinmorgan.com)</t>
  </si>
  <si>
    <t>75%+</t>
  </si>
  <si>
    <t>20-74%</t>
  </si>
  <si>
    <t>&lt; 20%</t>
  </si>
  <si>
    <t>100%+</t>
  </si>
  <si>
    <t>&lt; 100%</t>
  </si>
  <si>
    <t>Resultado/ Indicador</t>
  </si>
  <si>
    <t>Una hoja de trabajo "Acerca de", que presenta:</t>
  </si>
  <si>
    <t>Presentación interactiva de los principales resultados</t>
  </si>
  <si>
    <t>Use el control deslizante para cambiar de un gráfico a otro</t>
  </si>
  <si>
    <t>Una hoja de trabajo Basic Setup, que requiere la siguiente entrada:</t>
  </si>
  <si>
    <t>Una hoja de trabajo de necesidades financieras, que requiere la siguiente entrada:</t>
  </si>
  <si>
    <t>Nombre del país donde se realiza el análisis</t>
  </si>
  <si>
    <t>Año de inicio de este análisis</t>
  </si>
  <si>
    <t>Objetivos estratégicos (hasta 10) y Resultados/Indicadores (hasta 5 por objetivo estratégico) que requieren financiación</t>
  </si>
  <si>
    <t>Socios que contribuyen a la financiación de los objetivos y resultados estratégicos</t>
  </si>
  <si>
    <t xml:space="preserve">Organismos de gobierno local que contribuyen a la financiación de los objetivos estratégicos y resultados </t>
  </si>
  <si>
    <t>Una hoja de trabajo del gobierno, que requiere la siguiente información:</t>
  </si>
  <si>
    <t>Strategic Objective</t>
  </si>
  <si>
    <t>Result/ Indicator</t>
  </si>
  <si>
    <t>Hojas de trabajo de contribución de los socios, que requieren la siguiente entrada:</t>
  </si>
  <si>
    <t>Una hoja de trabajo de Resumen de las contribuciones de los Socios, que proporciona los siguientes resultados:</t>
  </si>
  <si>
    <t>Resumen - Contribuciones anuales planificadas de los socios (todos los objetivos estratégicos), por socio</t>
  </si>
  <si>
    <t>Resumen - Contribuciones anuales previstas de los socios (todos los socios), por objetivo estratégico y resultado/indicador</t>
  </si>
  <si>
    <t>Una hoja de trabajo de Resumen de los fondos disponibles, que proporciona los siguientes resultados:</t>
  </si>
  <si>
    <t>Una hoja de trabajo de Detalles sobre las diferencias financieras, que proporciona los siguientes resultados:</t>
  </si>
  <si>
    <t>Las celdas de este color están preparadas para la entrada de datos por parte del usuario. Las instrucciones detalladas se encuentran en el comentario de cada celda.</t>
  </si>
  <si>
    <t>Deje en blanco las celdas no utilizadas.</t>
  </si>
  <si>
    <t>Para usar esta herramienta:</t>
  </si>
  <si>
    <t>● Introduzca los nombres de hasta 10 objetivos estratégicos con un máximo de CINCO resultados/indicadores cada uno en la hoja de trabajo Basic_Setup</t>
  </si>
  <si>
    <t>● Introduzca los nombres de hasta 10 socios y hasta 10 organismos gubernamentales que apoyarán financieramente estas estrategias en la hoja de trabajo Basic_Setup</t>
  </si>
  <si>
    <t>● Introduzca las necesidades financieras para cada objetivo estratégico en moneda local en la hoja de trabajo Financial_Requirements</t>
  </si>
  <si>
    <t>● Introduzca las contribuciones previstas del gobierno en moneda local, por objetivo estratégico, y luego por organismo gubernamental, en la hoja de trabajo del gobierno</t>
  </si>
  <si>
    <t>● Introduzca las contribuciones previstas de cada socio en moneda internacional, por resultado/indicador en las hojas de trabajo de los socios</t>
  </si>
  <si>
    <t>Las celdas de no suposición en esta herramienta están bloqueadas y protegidas con la contraseña: MYGAPTOOL</t>
  </si>
  <si>
    <t>Objetivo estratégico 1: Fortalecer la gobernanza de la nutrición</t>
  </si>
  <si>
    <t>Objetivo estratégico 2 Indicador 4</t>
  </si>
  <si>
    <t>Objetivo estratégico 3: Aumentar la disponibilidad y el acceso a alimentos nutritivos de alto valor, seguros y diversificados</t>
  </si>
  <si>
    <t>Objetivo estratégico 3 Indicador 3</t>
  </si>
  <si>
    <t>Objetivo estratégico 3 Indicador 4</t>
  </si>
  <si>
    <t>Objetivo estratégico 4: Fortalecer la protección social, la resiliencia de la respuesta a las emergencias y los desastres naturales.</t>
  </si>
  <si>
    <t>Objetivo estratégico 4 Indicador 4</t>
  </si>
  <si>
    <t>Objetivo estratégico 5 Indicador 4</t>
  </si>
  <si>
    <t>Objetivo estratégico 5 Indicador 5</t>
  </si>
  <si>
    <t>Objetivo estratégico 6: [No está en uso]</t>
  </si>
  <si>
    <t>Objetivo estratégico 6 Indicador 1</t>
  </si>
  <si>
    <t>Objetivo estratégico 6 Indicador 2</t>
  </si>
  <si>
    <t>Objetivo estratégico 6 Indicador 3</t>
  </si>
  <si>
    <t>Objetivo estratégico 6 Indicador 4</t>
  </si>
  <si>
    <t>Objetivo estratégico 6 Indicador 5</t>
  </si>
  <si>
    <t>Objetivo estratégico 7: [No está en uso]</t>
  </si>
  <si>
    <t>Objetivo estratégico 7 Indicador 1</t>
  </si>
  <si>
    <t>Objetivo estratégico 7 Indicador 2</t>
  </si>
  <si>
    <t>Objetivo estratégico 7 Indicador 3</t>
  </si>
  <si>
    <t>Objetivo estratégico 7 Indicador 4</t>
  </si>
  <si>
    <t>Objetivo estratégico 7 Indicador 5</t>
  </si>
  <si>
    <t>Objetivo estratégico 8: [No está en uso]</t>
  </si>
  <si>
    <t>Objetivo estratégico 8 Indicador 1</t>
  </si>
  <si>
    <t>Objetivo estratégico 8 Indicador 2</t>
  </si>
  <si>
    <t>Objetivo estratégico 8 Indicador 3</t>
  </si>
  <si>
    <t>Objetivo estratégico 8 Indicador 4</t>
  </si>
  <si>
    <t>Objetivo estratégico 8 Indicador 5</t>
  </si>
  <si>
    <t>Objetivo estratégico 9: [No está en uso]</t>
  </si>
  <si>
    <t>Objetivo estratégico 9 Indicador 1</t>
  </si>
  <si>
    <t>Objetivo estratégico 9 Indicador 2</t>
  </si>
  <si>
    <t>Objetivo estratégico 9 Indicador 3</t>
  </si>
  <si>
    <t>Objetivo estratégico 9 Indicador 4</t>
  </si>
  <si>
    <t>Objetivo estratégico 9 Indicador 5</t>
  </si>
  <si>
    <t>Objetivo estratégico 10: [No está en uso]</t>
  </si>
  <si>
    <t>Objetivo estratégico 10 Indicador 1</t>
  </si>
  <si>
    <t>Objetivo estratégico 10 Indicador 2</t>
  </si>
  <si>
    <t>Objetivo estratégico 10 Indicador 3</t>
  </si>
  <si>
    <t>Objetivo estratégico 10 Indicador 4</t>
  </si>
  <si>
    <t>Objetivo estratégico 10 Indicador 5</t>
  </si>
  <si>
    <t>COMPROBACIÓN DE ERRORES (Indica si el cálculo no coincide con el total por objetivo estratégico y el total por socio contribuyente)</t>
  </si>
  <si>
    <t>[Se redactará en colaboración con los equipos de promoción del SMS.]</t>
  </si>
  <si>
    <t>● Introduzca los nombres de las monedas internacionales y locales a utilizar y el tipo de cambio entre ambas en la hoja de trabajo Basic_Setup</t>
  </si>
  <si>
    <t>Levin &amp; Morgan Global Health Consultants, LLC</t>
  </si>
  <si>
    <t>[Insert Lookups Sheet Title]</t>
  </si>
  <si>
    <t>Type</t>
  </si>
  <si>
    <t>Nutrition Type</t>
  </si>
  <si>
    <t>Nutrition-specific</t>
  </si>
  <si>
    <t>Nutrition-sensitive</t>
  </si>
  <si>
    <t>Governance</t>
  </si>
  <si>
    <t>Nombre del socio</t>
  </si>
  <si>
    <t>Nombre de la agencia gubernamental</t>
  </si>
  <si>
    <t>TODAS las contribuciones de las agencias gubernamentales</t>
  </si>
  <si>
    <t>Resumen - Contribuciones anuales planificadas del gobierno (todos los objetivos estratégicos), por agencia</t>
  </si>
  <si>
    <t>Resumen - Contribuciones anuales previstas de los socios (todas las agencias gubernamentales), por objetivo estratégico y resultado/indicador</t>
  </si>
  <si>
    <t>Resultado/Tipo de indicador</t>
  </si>
  <si>
    <t>TOTAL - TODOS los fondos disponibles</t>
  </si>
  <si>
    <t>Resumen - Contribuciones anuales planificadas del gobierno (todos los organismos), por objetivo estratégico</t>
  </si>
  <si>
    <t>Resumen - Contribuciones anuales planificadas del gobierno (todas las agencias), por resultado/tipo de indicador</t>
  </si>
  <si>
    <t>Resumen - Contribuciones anuales previstas de los socios (todos los socios), por objetivo estratégico</t>
  </si>
  <si>
    <t>Resumen - Contribuciones anuales previstas de los socios (todos los socios), por tipo de resultado/indicador</t>
  </si>
  <si>
    <t>Resumen - Fondos anuales disponibles planificados, por objetivo estratégico</t>
  </si>
  <si>
    <t>Resumen - Fondos anuales disponibles planificados, por resultado/tipo de indicador</t>
  </si>
  <si>
    <t>Resumen - Total de fondos anuales disponibles, por objetivo estratégico y resultado/indicador</t>
  </si>
  <si>
    <t>Objetivo estratégico 3 Indicador 5</t>
  </si>
  <si>
    <t xml:space="preserve">Se garantiza la protección social de los niños menores de 5 años, los adolescentes, FE/FA y otros grupos vulnerables. </t>
  </si>
  <si>
    <t xml:space="preserve">Se fortalece la capacidad de resiliencia y el estado nutricional de las poblaciones vulnerables, incluidos los niños de las zonas desfavorecidas.  </t>
  </si>
  <si>
    <t xml:space="preserve">Objetivo estratégico 5: Promoción de prácticas favorables a una nutrición óptima, de higiene y saneamiento básico. </t>
  </si>
  <si>
    <t>Monedas utilizadas para este análisis y tipo de cambio aplicado</t>
  </si>
  <si>
    <t>La investigación en nutrición se utiliza para aclarar que la toma de decisiones se mejora y se refuerza.</t>
  </si>
  <si>
    <t>Objetivo estratégico 2 Indicador 5</t>
  </si>
  <si>
    <t>Objetivo estratégico 1 Indicador 5</t>
  </si>
  <si>
    <t>Objetivo estratégico 4 Indicador 5</t>
  </si>
  <si>
    <t>Total Government Contribution</t>
  </si>
  <si>
    <t>n.</t>
  </si>
  <si>
    <t>o.</t>
  </si>
  <si>
    <t>p.</t>
  </si>
  <si>
    <t>q.</t>
  </si>
  <si>
    <t>r.</t>
  </si>
  <si>
    <t>s.</t>
  </si>
  <si>
    <t>t.</t>
  </si>
  <si>
    <t>u.</t>
  </si>
  <si>
    <t>v.</t>
  </si>
  <si>
    <t>QuickStart</t>
  </si>
  <si>
    <t>This workbook contain sheets which do not comply with these guidelines; these sheets must be classified dashboard. A dashboard sheet  is included in the workbook in order to present outputs which are necessarily exempt from these guidelines, in order to meet presentation aesthetic requirements.</t>
  </si>
  <si>
    <t>Una hoja de trabajo de Resumen de las diferencias financieras, que proporciona los siguientes resultados:</t>
  </si>
  <si>
    <t>Final</t>
  </si>
  <si>
    <t>Última actualización de la versión de la herramienta:</t>
  </si>
  <si>
    <t>Nombre del modelo actual:</t>
  </si>
  <si>
    <t>País X (Datos de la muestra)</t>
  </si>
  <si>
    <t>Validación</t>
  </si>
  <si>
    <t>Esta herramienta ha sido validada con la validación avanzada de EXChecker.</t>
  </si>
  <si>
    <t>http://finsburysolutions.com/exchecker-advanced-validation/</t>
  </si>
  <si>
    <t>Guarde con frecuencia y haga copias de seguridad.</t>
  </si>
  <si>
    <t>Además, no intente agregar o quitar filas o columnas ya que esto alterará la herramienta.</t>
  </si>
  <si>
    <t>Desarrollado con la asistencia de Levin &amp; Morgan Global Health Consultants, LLC basado en una herramienta construida por Mamadou Kone y Sandrine Fimbi para Burundi en 2019 y con aportes de Ann Levin, Silvia Kaufmann y Barbara Koloshuk</t>
  </si>
  <si>
    <t>Esta herramienta es una adaptación de un libro de trabajo de análisis del déficit de financiación creado por Mamadou Kone y Sandrine Fimbi para Burundi en 2019, bajo MQSUN+.</t>
  </si>
  <si>
    <t>Ir al índice</t>
  </si>
  <si>
    <t>Esta sección contiene:</t>
  </si>
  <si>
    <t>Descripción general</t>
  </si>
  <si>
    <t>Usuarios previstos y momento de su utilización</t>
  </si>
  <si>
    <t>Propósito</t>
  </si>
  <si>
    <t>Aportes necesarios y fuentes de datos recomendadas</t>
  </si>
  <si>
    <t>Usos sugeridos para los resultados de esta herramienta</t>
  </si>
  <si>
    <t>Navegar por esta herramienta</t>
  </si>
  <si>
    <t>Instrucciones para los usuarios</t>
  </si>
  <si>
    <t>Fuentes de datos utilizadas en este instrumento</t>
  </si>
  <si>
    <t>Técnicas de programación avanzada utilizadas en la herramienta</t>
  </si>
  <si>
    <t>Limitaciones y advertencias de los instrumentos utilizados en la herramienta</t>
  </si>
  <si>
    <t>Seguridad y protección</t>
  </si>
  <si>
    <t>Resumen de las necesidades financieras, el total de la financiación disponible y la diferencia financiera</t>
  </si>
  <si>
    <t>Subtotal Estrategia 1</t>
  </si>
  <si>
    <t>Subtotal Estrategia 2</t>
  </si>
  <si>
    <t>Subtotal Estrategia 3</t>
  </si>
  <si>
    <t>Subtotal Estrategia 4</t>
  </si>
  <si>
    <t>Subtotal Estrategia 5</t>
  </si>
  <si>
    <t>Subtotal Estrategia 6</t>
  </si>
  <si>
    <t>Subtotal Estrategia 7</t>
  </si>
  <si>
    <t>Subtotal Estrategia 8</t>
  </si>
  <si>
    <t>Subtotal Estrategia 9</t>
  </si>
  <si>
    <t>Subtotal Estrategia 10</t>
  </si>
  <si>
    <t>Proporción (%)</t>
  </si>
  <si>
    <t xml:space="preserve">Proporción (%) del total </t>
  </si>
  <si>
    <r>
      <t xml:space="preserve">Una hoja de trabajo de presentación de </t>
    </r>
    <r>
      <rPr>
        <b/>
        <sz val="9"/>
        <color rgb="FFFF0000"/>
        <rFont val="Arial"/>
        <family val="2"/>
        <scheme val="major"/>
      </rPr>
      <t>Tablero</t>
    </r>
    <r>
      <rPr>
        <b/>
        <sz val="9"/>
        <color theme="4" tint="-0.49992370372631001"/>
        <rFont val="Arial"/>
        <family val="2"/>
        <scheme val="major"/>
      </rPr>
      <t>, que presenta:</t>
    </r>
  </si>
  <si>
    <r>
      <t xml:space="preserve">Esta herramienta está diseñada para poner de relieve </t>
    </r>
    <r>
      <rPr>
        <sz val="9"/>
        <color rgb="FFFF0000"/>
        <rFont val="Arial"/>
        <family val="2"/>
        <scheme val="minor"/>
      </rPr>
      <t>las brechas</t>
    </r>
    <r>
      <rPr>
        <sz val="9"/>
        <color theme="4" tint="-0.49992370372631001"/>
        <rFont val="Arial"/>
        <family val="2"/>
        <scheme val="minor"/>
      </rPr>
      <t xml:space="preserve"> de financiación que impiden que se logren los resultados/indicadores del plan estratégico.</t>
    </r>
  </si>
  <si>
    <r>
      <t xml:space="preserve">El propósito de realizar una evaluación de </t>
    </r>
    <r>
      <rPr>
        <sz val="9"/>
        <color rgb="FFFF0000"/>
        <rFont val="Arial"/>
        <family val="2"/>
        <scheme val="minor"/>
      </rPr>
      <t>las brechas</t>
    </r>
    <r>
      <rPr>
        <sz val="9"/>
        <color theme="4" tint="-0.49992370372631001"/>
        <rFont val="Arial"/>
        <family val="2"/>
        <scheme val="minor"/>
      </rPr>
      <t xml:space="preserve"> financier</t>
    </r>
    <r>
      <rPr>
        <sz val="9"/>
        <color rgb="FFFF0000"/>
        <rFont val="Arial"/>
        <family val="2"/>
        <scheme val="minor"/>
      </rPr>
      <t>as</t>
    </r>
    <r>
      <rPr>
        <sz val="9"/>
        <color theme="4" tint="-0.49992370372631001"/>
        <rFont val="Arial"/>
        <family val="2"/>
        <scheme val="minor"/>
      </rPr>
      <t xml:space="preserve"> es aportar información a los esfuerzos de movilización de recursos que está dirigiendo el equipo de promoción del SMS. Entre los ejemplos de estos esfuerzos se incluyen:</t>
    </r>
  </si>
  <si>
    <r>
      <t>Este instrumento es un modelo para la evaluación de</t>
    </r>
    <r>
      <rPr>
        <sz val="9"/>
        <color rgb="FFFF0000"/>
        <rFont val="Arial"/>
        <family val="2"/>
        <scheme val="major"/>
      </rPr>
      <t xml:space="preserve"> las brechas</t>
    </r>
    <r>
      <rPr>
        <sz val="9"/>
        <color theme="4" tint="-0.49992370372631001"/>
        <rFont val="Arial"/>
        <family val="2"/>
        <scheme val="major"/>
      </rPr>
      <t xml:space="preserve"> de financiación de un plan nacional de nutrición.</t>
    </r>
  </si>
  <si>
    <r>
      <rPr>
        <b/>
        <sz val="9"/>
        <color rgb="FFFF0000"/>
        <rFont val="Arial"/>
        <family val="2"/>
        <scheme val="major"/>
      </rPr>
      <t>Brecha</t>
    </r>
    <r>
      <rPr>
        <b/>
        <sz val="9"/>
        <color theme="0"/>
        <rFont val="Arial"/>
        <family val="2"/>
        <scheme val="major"/>
      </rPr>
      <t xml:space="preserve"> financiera: por año y objetivo estratégico</t>
    </r>
  </si>
  <si>
    <r>
      <t xml:space="preserve">Resumen de </t>
    </r>
    <r>
      <rPr>
        <sz val="9"/>
        <color rgb="FFFF0000"/>
        <rFont val="Arial"/>
        <family val="2"/>
        <scheme val="major"/>
      </rPr>
      <t>las necesidades</t>
    </r>
    <r>
      <rPr>
        <sz val="9"/>
        <color theme="0"/>
        <rFont val="Arial"/>
        <family val="2"/>
        <scheme val="major"/>
      </rPr>
      <t xml:space="preserve"> financieras, el total de la financiación disponible y la </t>
    </r>
    <r>
      <rPr>
        <sz val="9"/>
        <color rgb="FFFF0000"/>
        <rFont val="Arial"/>
        <family val="2"/>
        <scheme val="major"/>
      </rPr>
      <t>brecha</t>
    </r>
    <r>
      <rPr>
        <sz val="9"/>
        <color theme="0"/>
        <rFont val="Arial"/>
        <family val="2"/>
        <scheme val="major"/>
      </rPr>
      <t xml:space="preserve"> financiera</t>
    </r>
  </si>
  <si>
    <r>
      <t xml:space="preserve">Se reduce la prevalencia de enfermedades relacionadas con la prevalencia de la </t>
    </r>
    <r>
      <rPr>
        <sz val="9"/>
        <color rgb="FFFF0000"/>
        <rFont val="Arial"/>
        <family val="2"/>
        <scheme val="minor"/>
      </rPr>
      <t>malnutrición</t>
    </r>
    <r>
      <rPr>
        <sz val="9"/>
        <color theme="4" tint="-0.49992370372631001"/>
        <rFont val="Arial"/>
        <family val="2"/>
        <scheme val="minor"/>
      </rPr>
      <t xml:space="preserve"> (paludismo, diarrea, neumonía, parásitos intestinales, VIH, TNM) en lactantes, adolescentes y mujeres en edad reproductiva. </t>
    </r>
  </si>
  <si>
    <r>
      <t xml:space="preserve">Objetivo estratégico 2: Fortalecer el acceso al tratamiento y a los servicios de salud y nutrición de calidad, así como al tratamiento de todas las formas de </t>
    </r>
    <r>
      <rPr>
        <sz val="9"/>
        <color rgb="FFFF0000"/>
        <rFont val="Arial"/>
        <family val="2"/>
        <scheme val="minor"/>
      </rPr>
      <t>malnutrición</t>
    </r>
  </si>
  <si>
    <r>
      <t xml:space="preserve">Se promueven dietas </t>
    </r>
    <r>
      <rPr>
        <sz val="9"/>
        <color rgb="FFFF0000"/>
        <rFont val="Arial"/>
        <family val="2"/>
        <scheme val="minor"/>
      </rPr>
      <t>saludable</t>
    </r>
    <r>
      <rPr>
        <sz val="9"/>
        <color theme="4" tint="-0.49992370372631001"/>
        <rFont val="Arial"/>
        <family val="2"/>
        <scheme val="minor"/>
      </rPr>
      <t>s y estilos de vida saludables para las personas.</t>
    </r>
  </si>
  <si>
    <t>Tipo</t>
  </si>
  <si>
    <r>
      <t xml:space="preserve">Resumen: </t>
    </r>
    <r>
      <rPr>
        <sz val="9"/>
        <color rgb="FFFF0000"/>
        <rFont val="Arial"/>
        <family val="2"/>
        <scheme val="major"/>
      </rPr>
      <t>Brechas</t>
    </r>
    <r>
      <rPr>
        <sz val="9"/>
        <color theme="0"/>
        <rFont val="Arial"/>
        <family val="2"/>
        <scheme val="major"/>
      </rPr>
      <t xml:space="preserve"> financieras anuales entre las necesidades financieras y los fondos disponibles</t>
    </r>
  </si>
  <si>
    <r>
      <rPr>
        <sz val="9"/>
        <color rgb="FFFF0000"/>
        <rFont val="Arial"/>
        <family val="2"/>
        <scheme val="major"/>
      </rPr>
      <t>Brechas</t>
    </r>
    <r>
      <rPr>
        <sz val="9"/>
        <color theme="0"/>
        <rFont val="Arial"/>
        <family val="2"/>
        <scheme val="major"/>
      </rPr>
      <t xml:space="preserve"> financieras anuales entre las necesidades financieras y los fondos disponibles, por objetivo estratégico</t>
    </r>
  </si>
  <si>
    <r>
      <t xml:space="preserve">Resumen - </t>
    </r>
    <r>
      <rPr>
        <sz val="9"/>
        <color rgb="FFFF0000"/>
        <rFont val="Arial"/>
        <family val="2"/>
        <scheme val="major"/>
      </rPr>
      <t>Brecha</t>
    </r>
    <r>
      <rPr>
        <sz val="9"/>
        <color theme="0"/>
        <rFont val="Arial"/>
        <family val="2"/>
        <scheme val="major"/>
      </rPr>
      <t xml:space="preserve"> financiera anual total, por objetivo estratégico y resultado/indicador</t>
    </r>
  </si>
  <si>
    <r>
      <rPr>
        <sz val="9"/>
        <color rgb="FFFF0000"/>
        <rFont val="Arial"/>
        <family val="2"/>
        <scheme val="minor"/>
      </rPr>
      <t>Brecha</t>
    </r>
    <r>
      <rPr>
        <sz val="9"/>
        <color theme="4" tint="-0.49992370372631001"/>
        <rFont val="Arial"/>
        <family val="2"/>
        <scheme val="minor"/>
      </rPr>
      <t xml:space="preserve"> financiera entre las necesidades financieras y los fondos disponibles</t>
    </r>
  </si>
  <si>
    <r>
      <t xml:space="preserve">Resumen - </t>
    </r>
    <r>
      <rPr>
        <sz val="9"/>
        <color rgb="FFFF0000"/>
        <rFont val="Arial"/>
        <family val="2"/>
        <scheme val="major"/>
      </rPr>
      <t>Brecha</t>
    </r>
    <r>
      <rPr>
        <sz val="9"/>
        <color theme="0"/>
        <rFont val="Arial"/>
        <family val="2"/>
        <scheme val="major"/>
      </rPr>
      <t xml:space="preserve"> financiera anual total, por resultado/tipo de indicador</t>
    </r>
  </si>
  <si>
    <r>
      <rPr>
        <b/>
        <sz val="9"/>
        <color rgb="FFFF0000"/>
        <rFont val="Arial"/>
        <family val="2"/>
        <scheme val="minor"/>
      </rPr>
      <t>Brecha</t>
    </r>
    <r>
      <rPr>
        <b/>
        <sz val="9"/>
        <color theme="5" tint="-0.24994659260841701"/>
        <rFont val="Arial"/>
        <family val="2"/>
        <scheme val="minor"/>
      </rPr>
      <t xml:space="preserve"> financiera</t>
    </r>
  </si>
  <si>
    <r>
      <t xml:space="preserve">Esta herramienta está destinada a ser utilizada por los asesores de </t>
    </r>
    <r>
      <rPr>
        <sz val="9"/>
        <color rgb="FFFF0000"/>
        <rFont val="Arial"/>
        <family val="2"/>
        <scheme val="minor"/>
      </rPr>
      <t>estimación</t>
    </r>
    <r>
      <rPr>
        <sz val="9"/>
        <color theme="4" tint="-0.49992370372631001"/>
        <rFont val="Arial"/>
        <family val="2"/>
        <scheme val="minor"/>
      </rPr>
      <t xml:space="preserve"> de costos de los países SUN.</t>
    </r>
  </si>
  <si>
    <r>
      <t xml:space="preserve">Esta herramienta supone que se ha elaborado un plan nacional de nutrición y que se ha completado una evaluación </t>
    </r>
    <r>
      <rPr>
        <sz val="9"/>
        <color rgb="FFFF0000"/>
        <rFont val="Arial"/>
        <family val="2"/>
        <scheme val="minor"/>
      </rPr>
      <t>de la estimación</t>
    </r>
    <r>
      <rPr>
        <sz val="9"/>
        <color theme="4" tint="-0.49992370372631001"/>
        <rFont val="Arial"/>
        <family val="2"/>
        <scheme val="minor"/>
      </rPr>
      <t xml:space="preserve"> de costos.</t>
    </r>
  </si>
  <si>
    <r>
      <t xml:space="preserve">Los datos necesarios para completar esta herramienta están disponibles en el plan estratégico y en la evaluación de </t>
    </r>
    <r>
      <rPr>
        <sz val="9"/>
        <color rgb="FFFF0000"/>
        <rFont val="Arial"/>
        <family val="2"/>
        <scheme val="minor"/>
      </rPr>
      <t>la estimación</t>
    </r>
    <r>
      <rPr>
        <sz val="9"/>
        <color theme="4" tint="-0.49992370372631001"/>
        <rFont val="Arial"/>
        <family val="2"/>
        <scheme val="minor"/>
      </rPr>
      <t xml:space="preserve"> de costos, e incluyen, entre otros: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</si>
</sst>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quot;* #,##0.00_);_(&quot;$&quot;* \(#,##0.00\);_(&quot;$&quot;* &quot;-&quot;??_);_(@_)"/>
    <numFmt numFmtId="43" formatCode="_(* #,##0.00_);_(* \(#,##0.00\);_(* &quot;-&quot;??_);_(@_)"/>
    <numFmt numFmtId="164" formatCode="_(###0_);\(###0\);_(&quot;-&quot;_);_)@_)"/>
    <numFmt numFmtId="165" formatCode="_)m/d/yy_);_)m/d/yy_);_)&quot;-&quot;_);_)@_)"/>
    <numFmt numFmtId="166" formatCode="_(#,##0_);\(#,##0\);_(&quot;-&quot;_);_)@_)"/>
    <numFmt numFmtId="167" formatCode="_(#,##0%_);\(#,##0%\);_(&quot;-&quot;_);_)@_)"/>
    <numFmt numFmtId="168" formatCode="_(#,##0.0\x_);\(#,##0.0\x\);_(&quot;-&quot;_);_)@_)"/>
    <numFmt numFmtId="169" formatCode="_(&quot;$&quot;#,##0.00_);\(&quot;$&quot;#,##0.00\);_(&quot;-&quot;_);_)@_)"/>
    <numFmt numFmtId="170" formatCode="#,##0."/>
    <numFmt numFmtId="171" formatCode="0.0%"/>
    <numFmt numFmtId="172" formatCode="_(&quot;$&quot;#,##0_);\(&quot;$&quot;#,##0\);_(&quot;-&quot;_);_)@_)"/>
    <numFmt numFmtId="173" formatCode="_(#,##0.00%_);\(#,##0.00%\);_(&quot;-&quot;_);_)@_)"/>
    <numFmt numFmtId="174" formatCode="_(#,##0_);\(#,##0\);_-&quot;-&quot;_-;_)@_)"/>
    <numFmt numFmtId="175" formatCode="_-* #,##0\ _F_B_u_-;\-* #,##0\ _F_B_u_-;_-* &quot;-&quot;\ _F_B_u_-;_-@_-"/>
    <numFmt numFmtId="176" formatCode="[$-F800]dddd\,\ mmmm\ dd\,\ yyyy"/>
    <numFmt numFmtId="177" formatCode="0.0"/>
    <numFmt numFmtId="178" formatCode="[$-409]mmmm\ d\,\ yyyy;@"/>
    <numFmt numFmtId="179" formatCode="[&lt;1]0%;#,##0"/>
    <numFmt numFmtId="180" formatCode="&quot;$&quot;#.0,&quot;million&quot;"/>
    <numFmt numFmtId="181" formatCode="_(&quot;$&quot;* #,##0.0_);_(&quot;$&quot;* \(#,##0.0\);_(&quot;$&quot;* &quot;-&quot;??_);_(@_)"/>
    <numFmt numFmtId="182" formatCode="_(* #,##0_);_(* \(#,##0\);_(* &quot;-&quot;??_);_(@_)"/>
    <numFmt numFmtId="183" formatCode="&quot;$&quot;#,##0"/>
  </numFmts>
  <fonts count="61" x14ac:knownFonts="1">
    <font>
      <sz val="9"/>
      <color theme="1" tint="0.24994659260841701"/>
      <name val="Arial"/>
      <family val="2"/>
      <scheme val="minor"/>
    </font>
    <font>
      <sz val="11"/>
      <color theme="1"/>
      <name val="Arial"/>
      <family val="2"/>
      <scheme val="minor"/>
    </font>
    <font>
      <b/>
      <sz val="11"/>
      <color theme="1" tint="0.24994659260841701"/>
      <name val="Arial"/>
      <family val="2"/>
      <scheme val="major"/>
    </font>
    <font>
      <b/>
      <sz val="10"/>
      <color theme="1" tint="0.24994659260841701"/>
      <name val="Arial"/>
      <family val="2"/>
      <scheme val="major"/>
    </font>
    <font>
      <sz val="9"/>
      <color theme="0"/>
      <name val="Arial"/>
      <family val="2"/>
      <scheme val="major"/>
    </font>
    <font>
      <b/>
      <sz val="9"/>
      <color theme="4" tint="-0.49992370372631001"/>
      <name val="Arial"/>
      <family val="2"/>
      <scheme val="major"/>
    </font>
    <font>
      <b/>
      <sz val="9"/>
      <color theme="1" tint="0.24994659260841701"/>
      <name val="Arial"/>
      <family val="2"/>
      <scheme val="major"/>
    </font>
    <font>
      <sz val="9"/>
      <color theme="1" tint="0.24994659260841701"/>
      <name val="Arial"/>
      <family val="2"/>
      <scheme val="major"/>
    </font>
    <font>
      <sz val="9"/>
      <color theme="4" tint="-0.49992370372631001"/>
      <name val="Arial"/>
      <family val="2"/>
      <scheme val="minor"/>
    </font>
    <font>
      <sz val="9"/>
      <color theme="0"/>
      <name val="Arial"/>
      <family val="2"/>
      <scheme val="minor"/>
    </font>
    <font>
      <b/>
      <sz val="9"/>
      <color theme="1" tint="0.24994659260841701"/>
      <name val="Arial"/>
      <family val="2"/>
      <scheme val="minor"/>
    </font>
    <font>
      <u/>
      <sz val="9"/>
      <color theme="11"/>
      <name val="Arial"/>
      <family val="2"/>
      <scheme val="minor"/>
    </font>
    <font>
      <sz val="9"/>
      <color theme="11"/>
      <name val="Wingdings"/>
      <family val="2"/>
      <charset val="2"/>
    </font>
    <font>
      <b/>
      <u/>
      <sz val="9"/>
      <color theme="11"/>
      <name val="Arial"/>
      <family val="2"/>
      <scheme val="minor"/>
    </font>
    <font>
      <sz val="9"/>
      <color theme="11"/>
      <name val="Arial"/>
      <family val="2"/>
      <scheme val="minor"/>
    </font>
    <font>
      <b/>
      <sz val="10"/>
      <color theme="4" tint="-0.49992370372631001"/>
      <name val="Arial"/>
      <family val="2"/>
      <scheme val="major"/>
    </font>
    <font>
      <b/>
      <sz val="11"/>
      <color theme="4" tint="-0.49992370372631001"/>
      <name val="Arial"/>
      <family val="2"/>
      <scheme val="major"/>
    </font>
    <font>
      <sz val="9"/>
      <color theme="4" tint="-0.49992370372631001"/>
      <name val="Arial"/>
      <family val="2"/>
      <scheme val="major"/>
    </font>
    <font>
      <sz val="9"/>
      <color theme="9" tint="-0.49992370372631001"/>
      <name val="Arial"/>
      <family val="2"/>
      <scheme val="minor"/>
    </font>
    <font>
      <b/>
      <sz val="9"/>
      <color theme="9" tint="-0.49992370372631001"/>
      <name val="Arial"/>
      <family val="2"/>
      <scheme val="minor"/>
    </font>
    <font>
      <sz val="9"/>
      <color theme="9" tint="-0.49992370372631001"/>
      <name val="Arial"/>
      <family val="2"/>
      <scheme val="major"/>
    </font>
    <font>
      <b/>
      <sz val="9"/>
      <color theme="9" tint="-0.49992370372631001"/>
      <name val="Arial"/>
      <family val="2"/>
      <scheme val="major"/>
    </font>
    <font>
      <b/>
      <sz val="10"/>
      <color theme="9" tint="-0.49992370372631001"/>
      <name val="Arial"/>
      <family val="2"/>
      <scheme val="major"/>
    </font>
    <font>
      <b/>
      <sz val="9"/>
      <color indexed="58"/>
      <name val="Arial"/>
      <family val="2"/>
      <scheme val="major"/>
    </font>
    <font>
      <b/>
      <sz val="9"/>
      <color theme="4" tint="-0.49992370372631001"/>
      <name val="Arial"/>
      <family val="2"/>
      <scheme val="minor"/>
    </font>
    <font>
      <sz val="9"/>
      <color rgb="FFFFFFFF"/>
      <name val="Arial"/>
      <family val="2"/>
      <scheme val="minor"/>
    </font>
    <font>
      <u/>
      <sz val="9"/>
      <color theme="10"/>
      <name val="Arial"/>
      <family val="2"/>
      <scheme val="minor"/>
    </font>
    <font>
      <i/>
      <sz val="9"/>
      <color theme="1" tint="0.24994659260841701"/>
      <name val="Arial"/>
      <family val="2"/>
      <scheme val="minor"/>
    </font>
    <font>
      <b/>
      <sz val="12"/>
      <color theme="1" tint="0.24994659260841701"/>
      <name val="Arial"/>
      <family val="2"/>
      <scheme val="minor"/>
    </font>
    <font>
      <b/>
      <sz val="14"/>
      <color theme="1" tint="0.24994659260841701"/>
      <name val="Arial"/>
      <family val="2"/>
      <scheme val="minor"/>
    </font>
    <font>
      <b/>
      <sz val="9"/>
      <color theme="0"/>
      <name val="Arial"/>
      <family val="2"/>
      <scheme val="major"/>
    </font>
    <font>
      <b/>
      <sz val="14"/>
      <color theme="0"/>
      <name val="Arial"/>
      <family val="2"/>
      <scheme val="major"/>
    </font>
    <font>
      <b/>
      <sz val="9"/>
      <name val="Tahoma"/>
      <family val="2"/>
    </font>
    <font>
      <sz val="12"/>
      <color theme="1"/>
      <name val="Arial"/>
      <family val="2"/>
      <scheme val="minor"/>
    </font>
    <font>
      <b/>
      <sz val="11"/>
      <color theme="9" tint="-0.49992370372631001"/>
      <name val="Arial"/>
      <family val="2"/>
      <scheme val="major"/>
    </font>
    <font>
      <b/>
      <i/>
      <sz val="9"/>
      <color theme="9" tint="-0.49992370372631001"/>
      <name val="Arial"/>
      <family val="2"/>
      <scheme val="minor"/>
    </font>
    <font>
      <b/>
      <sz val="12"/>
      <color theme="9" tint="-0.49992370372631001"/>
      <name val="Arial"/>
      <family val="2"/>
      <scheme val="major"/>
    </font>
    <font>
      <b/>
      <sz val="20"/>
      <color theme="4" tint="-0.49992370372631001"/>
      <name val="Arial"/>
      <family val="2"/>
      <scheme val="major"/>
    </font>
    <font>
      <b/>
      <sz val="11"/>
      <color theme="4" tint="-0.49992370372631001"/>
      <name val="Arial"/>
      <family val="2"/>
      <scheme val="minor"/>
    </font>
    <font>
      <b/>
      <sz val="14"/>
      <color theme="9" tint="-0.49992370372631001"/>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b/>
      <sz val="22"/>
      <color theme="9" tint="-0.49992370372631001"/>
      <name val="Arial"/>
      <family val="2"/>
      <scheme val="major"/>
    </font>
    <font>
      <b/>
      <i/>
      <sz val="9"/>
      <color theme="1" tint="0.24994659260841701"/>
      <name val="Arial"/>
      <family val="2"/>
      <scheme val="minor"/>
    </font>
    <font>
      <b/>
      <i/>
      <sz val="9"/>
      <color theme="4" tint="-0.49992370372631001"/>
      <name val="Arial"/>
      <family val="2"/>
      <scheme val="minor"/>
    </font>
    <font>
      <b/>
      <sz val="9"/>
      <color theme="4" tint="-0.24994659260841701"/>
      <name val="Arial"/>
      <family val="2"/>
      <scheme val="minor"/>
    </font>
    <font>
      <b/>
      <sz val="9"/>
      <color theme="5" tint="-0.24994659260841701"/>
      <name val="Arial"/>
      <family val="2"/>
      <scheme val="minor"/>
    </font>
    <font>
      <sz val="9"/>
      <color theme="5" tint="-0.24994659260841701"/>
      <name val="Arial"/>
      <family val="2"/>
      <scheme val="minor"/>
    </font>
    <font>
      <b/>
      <i/>
      <sz val="9"/>
      <color theme="5" tint="-0.24994659260841701"/>
      <name val="Arial"/>
      <family val="2"/>
      <scheme val="minor"/>
    </font>
    <font>
      <sz val="9"/>
      <color theme="4" tint="-0.24994659260841701"/>
      <name val="Arial"/>
      <family val="2"/>
      <scheme val="minor"/>
    </font>
    <font>
      <b/>
      <i/>
      <sz val="9"/>
      <color theme="4" tint="-0.24994659260841701"/>
      <name val="Arial"/>
      <family val="2"/>
      <scheme val="minor"/>
    </font>
    <font>
      <b/>
      <sz val="9"/>
      <color theme="1"/>
      <name val="Arial"/>
      <family val="2"/>
      <scheme val="minor"/>
    </font>
    <font>
      <sz val="9"/>
      <color theme="1"/>
      <name val="Arial"/>
      <family val="2"/>
      <scheme val="minor"/>
    </font>
    <font>
      <b/>
      <sz val="9"/>
      <color theme="0"/>
      <name val="Arial"/>
      <family val="2"/>
      <scheme val="minor"/>
    </font>
    <font>
      <b/>
      <sz val="12"/>
      <color rgb="FFFF0000"/>
      <name val="Arial"/>
      <family val="2"/>
      <scheme val="minor"/>
    </font>
    <font>
      <sz val="9"/>
      <color theme="1" tint="0.24994659260841701"/>
      <name val="Arial"/>
      <family val="2"/>
      <scheme val="minor"/>
    </font>
    <font>
      <b/>
      <sz val="9"/>
      <color rgb="FFFF0000"/>
      <name val="Arial"/>
      <family val="2"/>
      <scheme val="major"/>
    </font>
    <font>
      <sz val="9"/>
      <color rgb="FFFF0000"/>
      <name val="Arial"/>
      <family val="2"/>
      <scheme val="minor"/>
    </font>
    <font>
      <sz val="9"/>
      <color rgb="FFFF0000"/>
      <name val="Arial"/>
      <family val="2"/>
      <scheme val="major"/>
    </font>
    <font>
      <b/>
      <sz val="9"/>
      <color rgb="FFFF0000"/>
      <name val="Arial"/>
      <family val="2"/>
      <scheme val="minor"/>
    </font>
  </fonts>
  <fills count="15">
    <fill>
      <patternFill patternType="none"/>
    </fill>
    <fill>
      <patternFill patternType="gray125"/>
    </fill>
    <fill>
      <patternFill patternType="solid">
        <fgColor theme="4"/>
        <bgColor indexed="64"/>
      </patternFill>
    </fill>
    <fill>
      <patternFill patternType="solid">
        <fgColor theme="0" tint="-4.9958800012207406E-2"/>
        <bgColor indexed="64"/>
      </patternFill>
    </fill>
    <fill>
      <patternFill patternType="solid">
        <fgColor theme="7" tint="0.59993285927915285"/>
        <bgColor indexed="64"/>
      </patternFill>
    </fill>
    <fill>
      <patternFill patternType="solid">
        <fgColor theme="1" tint="0.3499862666707357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0"/>
        <bgColor indexed="64"/>
      </patternFill>
    </fill>
    <fill>
      <patternFill patternType="solid">
        <fgColor theme="7" tint="0.79995117038483843"/>
        <bgColor indexed="64"/>
      </patternFill>
    </fill>
    <fill>
      <patternFill patternType="solid">
        <fgColor rgb="FFFFC000"/>
        <bgColor indexed="64"/>
      </patternFill>
    </fill>
    <fill>
      <patternFill patternType="solid">
        <fgColor rgb="FFC00000"/>
        <bgColor indexed="64"/>
      </patternFill>
    </fill>
    <fill>
      <patternFill patternType="solid">
        <fgColor rgb="FF7030A0"/>
        <bgColor indexed="64"/>
      </patternFill>
    </fill>
    <fill>
      <patternFill patternType="solid">
        <fgColor rgb="FF0070C0"/>
        <bgColor indexed="64"/>
      </patternFill>
    </fill>
  </fills>
  <borders count="52">
    <border>
      <left/>
      <right/>
      <top/>
      <bottom/>
      <diagonal/>
    </border>
    <border>
      <left/>
      <right/>
      <top/>
      <bottom style="thin">
        <color theme="4" tint="-0.4999237037263100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style="thin">
        <color auto="1"/>
      </bottom>
      <diagonal/>
    </border>
    <border>
      <left/>
      <right/>
      <top style="thin">
        <color auto="1"/>
      </top>
      <bottom style="double">
        <color auto="1"/>
      </bottom>
      <diagonal/>
    </border>
    <border>
      <left style="thin">
        <color auto="1"/>
      </left>
      <right/>
      <top/>
      <bottom/>
      <diagonal/>
    </border>
    <border>
      <left style="thin">
        <color auto="1"/>
      </left>
      <right/>
      <top/>
      <bottom style="thin">
        <color auto="1"/>
      </bottom>
      <diagonal/>
    </border>
    <border>
      <left/>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4" tint="0.39997558519241921"/>
      </left>
      <right style="thin">
        <color theme="4" tint="0.39997558519241921"/>
      </right>
      <top style="thin">
        <color theme="4" tint="0.39997558519241921"/>
      </top>
      <bottom/>
      <diagonal/>
    </border>
    <border>
      <left/>
      <right/>
      <top style="thin">
        <color auto="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style="thin">
        <color theme="4" tint="0.39997558519241921"/>
      </top>
      <bottom/>
      <diagonal/>
    </border>
    <border>
      <left/>
      <right style="thin">
        <color theme="4" tint="0.39997558519241921"/>
      </right>
      <top/>
      <bottom style="thin">
        <color theme="4" tint="0.39997558519241921"/>
      </bottom>
      <diagonal/>
    </border>
    <border>
      <left style="thin">
        <color theme="4" tint="0.39997558519241921"/>
      </left>
      <right style="thin">
        <color theme="4" tint="0.39997558519241921"/>
      </right>
      <top/>
      <bottom style="thin">
        <color theme="4" tint="0.39997558519241921"/>
      </bottom>
      <diagonal/>
    </border>
    <border>
      <left style="thin">
        <color theme="4" tint="0.39997558519241921"/>
      </left>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medium">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thin">
        <color theme="4" tint="0.39997558519241921"/>
      </right>
      <top/>
      <bottom/>
      <diagonal/>
    </border>
    <border>
      <left style="thin">
        <color auto="1"/>
      </left>
      <right style="thin">
        <color auto="1"/>
      </right>
      <top style="thin">
        <color auto="1"/>
      </top>
      <bottom style="thin">
        <color theme="4" tint="0.39997558519241921"/>
      </bottom>
      <diagonal/>
    </border>
    <border>
      <left/>
      <right style="thin">
        <color theme="4" tint="0.39997558519241921"/>
      </right>
      <top style="thin">
        <color auto="1"/>
      </top>
      <bottom style="thin">
        <color theme="4" tint="0.39997558519241921"/>
      </bottom>
      <diagonal/>
    </border>
    <border>
      <left/>
      <right style="thin">
        <color theme="4" tint="0.39997558519241921"/>
      </right>
      <top style="thin">
        <color auto="1"/>
      </top>
      <bottom style="thin">
        <color auto="1"/>
      </bottom>
      <diagonal/>
    </border>
    <border>
      <left style="thin">
        <color theme="4" tint="0.39997558519241921"/>
      </left>
      <right style="thin">
        <color theme="4" tint="0.3999755851924192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medium">
        <color auto="1"/>
      </right>
      <top/>
      <bottom style="thin">
        <color auto="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style="thin">
        <color theme="4" tint="0.39997558519241921"/>
      </right>
      <top/>
      <bottom/>
      <diagonal/>
    </border>
    <border>
      <left style="medium">
        <color auto="1"/>
      </left>
      <right/>
      <top style="thin">
        <color auto="1"/>
      </top>
      <bottom/>
      <diagonal/>
    </border>
    <border>
      <left style="medium">
        <color auto="1"/>
      </left>
      <right/>
      <top style="thin">
        <color auto="1"/>
      </top>
      <bottom style="medium">
        <color auto="1"/>
      </bottom>
      <diagonal/>
    </border>
    <border>
      <left style="medium">
        <color auto="1"/>
      </left>
      <right/>
      <top/>
      <bottom/>
      <diagonal/>
    </border>
  </borders>
  <cellStyleXfs count="68">
    <xf numFmtId="0" fontId="0" fillId="0" borderId="0" applyFill="0" applyBorder="0">
      <alignment vertical="center"/>
    </xf>
    <xf numFmtId="0" fontId="2" fillId="0" borderId="0" applyFill="0" applyBorder="0">
      <alignment vertical="center"/>
    </xf>
    <xf numFmtId="0" fontId="3" fillId="0" borderId="0" applyFill="0" applyBorder="0">
      <alignment vertical="center"/>
    </xf>
    <xf numFmtId="0" fontId="3" fillId="0" borderId="0" applyFill="0" applyBorder="0">
      <alignment vertical="center"/>
    </xf>
    <xf numFmtId="0" fontId="4" fillId="2" borderId="0" applyBorder="0">
      <alignment vertical="center"/>
    </xf>
    <xf numFmtId="0" fontId="5" fillId="3" borderId="1">
      <alignment vertical="center"/>
    </xf>
    <xf numFmtId="0" fontId="6" fillId="0" borderId="0" applyFill="0" applyBorder="0">
      <alignment vertical="center"/>
    </xf>
    <xf numFmtId="0" fontId="7" fillId="0" borderId="0" applyFill="0" applyBorder="0">
      <alignment vertical="center"/>
    </xf>
    <xf numFmtId="0" fontId="7" fillId="0" borderId="0" applyFill="0" applyBorder="0">
      <alignment vertical="center"/>
      <protection locked="0"/>
    </xf>
    <xf numFmtId="0" fontId="8" fillId="4" borderId="2">
      <alignment vertical="center"/>
      <protection locked="0"/>
    </xf>
    <xf numFmtId="164" fontId="8" fillId="4" borderId="2">
      <alignment vertical="center"/>
      <protection locked="0"/>
    </xf>
    <xf numFmtId="165" fontId="8" fillId="4" borderId="2">
      <alignment vertical="center"/>
      <protection locked="0"/>
    </xf>
    <xf numFmtId="166" fontId="8" fillId="4" borderId="2">
      <alignment vertical="center"/>
      <protection locked="0"/>
    </xf>
    <xf numFmtId="167" fontId="8" fillId="4" borderId="2">
      <alignment vertical="center"/>
      <protection locked="0"/>
    </xf>
    <xf numFmtId="168" fontId="8" fillId="4" borderId="2">
      <alignment vertical="center"/>
      <protection locked="0"/>
    </xf>
    <xf numFmtId="169" fontId="8" fillId="4" borderId="2">
      <alignment vertical="center"/>
      <protection locked="0"/>
    </xf>
    <xf numFmtId="0" fontId="1" fillId="0" borderId="0" applyNumberFormat="0" applyFont="0" applyFill="0" applyBorder="0">
      <alignment horizontal="center" vertical="center"/>
      <protection locked="0"/>
    </xf>
    <xf numFmtId="164" fontId="56" fillId="0" borderId="0" applyFill="0" applyBorder="0">
      <alignment vertical="center"/>
    </xf>
    <xf numFmtId="165" fontId="56" fillId="0" borderId="0" applyFill="0" applyBorder="0">
      <alignment vertical="center"/>
    </xf>
    <xf numFmtId="166" fontId="56" fillId="0" borderId="0" applyFill="0" applyBorder="0">
      <alignment vertical="center"/>
    </xf>
    <xf numFmtId="167" fontId="56" fillId="0" borderId="0" applyFill="0" applyBorder="0">
      <alignment vertical="center"/>
    </xf>
    <xf numFmtId="168" fontId="56" fillId="0" borderId="0" applyFill="0" applyBorder="0">
      <alignment vertical="center"/>
    </xf>
    <xf numFmtId="169" fontId="56" fillId="0" borderId="0" applyFill="0" applyBorder="0">
      <alignment vertical="center"/>
    </xf>
    <xf numFmtId="0" fontId="9" fillId="5" borderId="0" applyBorder="0">
      <alignment vertical="center"/>
    </xf>
    <xf numFmtId="0" fontId="10" fillId="0" borderId="3" applyFill="0">
      <alignment horizontal="center" vertical="center"/>
    </xf>
    <xf numFmtId="166" fontId="56" fillId="0" borderId="3" applyFill="0">
      <alignment horizontal="center" vertical="center"/>
    </xf>
    <xf numFmtId="0" fontId="56" fillId="0" borderId="3" applyFill="0">
      <alignment horizontal="center" vertical="center"/>
    </xf>
    <xf numFmtId="0" fontId="11" fillId="0" borderId="0" applyFill="0" applyBorder="0">
      <alignment vertical="center"/>
    </xf>
    <xf numFmtId="0" fontId="12" fillId="0" borderId="0" applyFill="0" applyBorder="0">
      <alignment horizontal="center" vertical="center"/>
    </xf>
    <xf numFmtId="0" fontId="12" fillId="0" borderId="0" applyFill="0" applyBorder="0">
      <alignment horizontal="center" vertical="center"/>
    </xf>
    <xf numFmtId="0" fontId="13" fillId="0" borderId="0" applyFill="0" applyBorder="0">
      <alignment vertical="center"/>
    </xf>
    <xf numFmtId="0" fontId="11" fillId="0" borderId="0" applyFill="0" applyBorder="0">
      <alignment vertical="center"/>
    </xf>
    <xf numFmtId="0" fontId="14" fillId="0" borderId="0" applyFill="0" applyBorder="0">
      <alignment vertical="center"/>
    </xf>
    <xf numFmtId="0" fontId="14" fillId="0" borderId="0" applyFill="0" applyBorder="0">
      <alignment vertical="center"/>
    </xf>
    <xf numFmtId="0" fontId="2" fillId="0" borderId="0" applyFill="0" applyBorder="0">
      <alignment vertical="center"/>
    </xf>
    <xf numFmtId="0" fontId="3" fillId="0" borderId="0" applyFill="0" applyBorder="0">
      <alignment vertical="center"/>
    </xf>
    <xf numFmtId="0" fontId="3" fillId="0" borderId="0" applyFill="0" applyBorder="0">
      <alignment vertical="center"/>
    </xf>
    <xf numFmtId="0" fontId="4" fillId="2" borderId="0" applyBorder="0">
      <alignment vertical="center"/>
    </xf>
    <xf numFmtId="0" fontId="5" fillId="3" borderId="1">
      <alignment vertical="center"/>
    </xf>
    <xf numFmtId="0" fontId="6" fillId="0" borderId="0" applyFill="0" applyBorder="0">
      <alignment vertical="center"/>
    </xf>
    <xf numFmtId="0" fontId="7" fillId="0" borderId="0" applyFill="0" applyBorder="0">
      <alignment vertical="center"/>
    </xf>
    <xf numFmtId="0" fontId="7" fillId="0" borderId="0" applyFill="0" applyBorder="0">
      <alignment vertical="center"/>
      <protection locked="0"/>
    </xf>
    <xf numFmtId="166" fontId="56" fillId="0" borderId="0" applyFill="0" applyBorder="0">
      <alignment vertical="center"/>
    </xf>
    <xf numFmtId="167" fontId="56" fillId="0" borderId="0" applyFill="0" applyBorder="0">
      <alignment vertical="center"/>
    </xf>
    <xf numFmtId="168" fontId="56" fillId="0" borderId="0" applyFill="0" applyBorder="0">
      <alignment vertical="center"/>
    </xf>
    <xf numFmtId="169" fontId="56" fillId="0" borderId="0" applyFill="0" applyBorder="0">
      <alignment vertical="center"/>
    </xf>
    <xf numFmtId="164" fontId="56" fillId="0" borderId="0" applyFill="0" applyBorder="0">
      <alignment vertical="center"/>
    </xf>
    <xf numFmtId="165" fontId="56" fillId="0" borderId="0" applyFill="0" applyBorder="0">
      <alignment vertical="center"/>
    </xf>
    <xf numFmtId="0" fontId="9" fillId="5" borderId="0" applyBorder="0">
      <alignment vertical="center"/>
    </xf>
    <xf numFmtId="0" fontId="11" fillId="0" borderId="0" applyFill="0" applyBorder="0">
      <alignment vertical="center"/>
    </xf>
    <xf numFmtId="0" fontId="12" fillId="0" borderId="0" applyFill="0" applyBorder="0">
      <alignment horizontal="center" vertical="center"/>
    </xf>
    <xf numFmtId="0" fontId="12" fillId="0" borderId="0" applyFill="0" applyBorder="0">
      <alignment horizontal="center" vertical="center"/>
    </xf>
    <xf numFmtId="0" fontId="13" fillId="0" borderId="0" applyFill="0" applyBorder="0">
      <alignment vertical="center"/>
    </xf>
    <xf numFmtId="0" fontId="11" fillId="0" borderId="0" applyFill="0" applyBorder="0">
      <alignment vertical="center"/>
    </xf>
    <xf numFmtId="0" fontId="14" fillId="0" borderId="0" applyFill="0" applyBorder="0">
      <alignment vertical="center"/>
    </xf>
    <xf numFmtId="0" fontId="14" fillId="0" borderId="0" applyFill="0" applyBorder="0">
      <alignment vertical="center"/>
    </xf>
    <xf numFmtId="0" fontId="56" fillId="0" borderId="0" applyFill="0" applyBorder="0">
      <alignment vertical="center"/>
    </xf>
    <xf numFmtId="0" fontId="26" fillId="0" borderId="0" applyNumberFormat="0" applyFill="0" applyBorder="0" applyProtection="0"/>
    <xf numFmtId="9" fontId="56" fillId="0" borderId="0" applyFont="0" applyFill="0" applyBorder="0" applyAlignment="0" applyProtection="0"/>
    <xf numFmtId="43" fontId="56" fillId="0" borderId="0" applyFont="0" applyFill="0" applyBorder="0" applyAlignment="0" applyProtection="0"/>
    <xf numFmtId="175" fontId="33" fillId="0" borderId="0" applyFont="0" applyFill="0" applyBorder="0" applyAlignment="0" applyProtection="0"/>
    <xf numFmtId="44" fontId="56" fillId="0" borderId="0" applyFont="0" applyFill="0" applyBorder="0" applyAlignment="0" applyProtection="0"/>
    <xf numFmtId="0" fontId="1" fillId="0" borderId="0"/>
    <xf numFmtId="0" fontId="40" fillId="6" borderId="0" applyNumberFormat="0" applyBorder="0" applyAlignment="0" applyProtection="0"/>
    <xf numFmtId="0" fontId="41" fillId="7" borderId="0" applyNumberFormat="0" applyBorder="0" applyAlignment="0" applyProtection="0"/>
    <xf numFmtId="0" fontId="42" fillId="8" borderId="0" applyNumberFormat="0" applyBorder="0" applyAlignment="0" applyProtection="0"/>
    <xf numFmtId="0" fontId="1" fillId="0" borderId="0" applyNumberFormat="0" applyFont="0" applyFill="0" applyBorder="0">
      <alignment horizontal="center" vertical="center"/>
      <protection locked="0"/>
    </xf>
    <xf numFmtId="0" fontId="1" fillId="0" borderId="0"/>
  </cellStyleXfs>
  <cellXfs count="450">
    <xf numFmtId="0" fontId="0" fillId="0" borderId="0" xfId="0" applyAlignment="1">
      <alignment vertical="center"/>
    </xf>
    <xf numFmtId="0" fontId="4" fillId="2" borderId="0" xfId="4" applyAlignment="1">
      <alignment vertical="center"/>
    </xf>
    <xf numFmtId="0" fontId="16" fillId="0" borderId="0" xfId="1" applyFont="1" applyAlignment="1">
      <alignment vertical="center"/>
    </xf>
    <xf numFmtId="0" fontId="5" fillId="0" borderId="0" xfId="6" applyFont="1" applyAlignment="1">
      <alignment horizontal="left" vertical="center"/>
    </xf>
    <xf numFmtId="0" fontId="17" fillId="0" borderId="0" xfId="7" applyFont="1" applyAlignment="1">
      <alignment horizontal="left" vertical="top"/>
    </xf>
    <xf numFmtId="0" fontId="3" fillId="0" borderId="0" xfId="3" applyFont="1" applyAlignment="1">
      <alignment vertical="center"/>
    </xf>
    <xf numFmtId="0" fontId="12" fillId="0" borderId="0" xfId="28" applyAlignment="1">
      <alignment horizontal="center" vertical="center"/>
    </xf>
    <xf numFmtId="0" fontId="12" fillId="0" borderId="0" xfId="28" applyAlignment="1">
      <alignment horizontal="right" vertical="center"/>
    </xf>
    <xf numFmtId="0" fontId="12" fillId="0" borderId="0" xfId="28" applyAlignment="1">
      <alignment horizontal="left" vertical="center"/>
    </xf>
    <xf numFmtId="0" fontId="15" fillId="0" borderId="0" xfId="2" applyFont="1" applyAlignment="1">
      <alignment vertical="center"/>
    </xf>
    <xf numFmtId="0" fontId="0" fillId="0" borderId="4" xfId="0" applyBorder="1" applyAlignment="1">
      <alignment vertical="center"/>
    </xf>
    <xf numFmtId="0" fontId="17" fillId="0" borderId="0" xfId="7" applyFont="1" applyAlignment="1">
      <alignment horizontal="left" vertical="center"/>
    </xf>
    <xf numFmtId="0" fontId="22" fillId="0" borderId="0" xfId="3" applyFont="1" applyAlignment="1">
      <alignment vertical="center"/>
    </xf>
    <xf numFmtId="0" fontId="5" fillId="3" borderId="1" xfId="5" applyAlignment="1">
      <alignment vertical="center"/>
    </xf>
    <xf numFmtId="0" fontId="5" fillId="3" borderId="4" xfId="5" applyBorder="1" applyAlignment="1">
      <alignment horizontal="left" vertical="center"/>
    </xf>
    <xf numFmtId="0" fontId="12" fillId="0" borderId="0" xfId="29" applyAlignment="1">
      <alignment horizontal="right" vertical="center"/>
    </xf>
    <xf numFmtId="0" fontId="12" fillId="0" borderId="0" xfId="29" applyAlignment="1">
      <alignment horizontal="center" vertical="center"/>
    </xf>
    <xf numFmtId="0" fontId="12" fillId="0" borderId="0" xfId="29" applyAlignment="1">
      <alignment horizontal="left" vertical="center"/>
    </xf>
    <xf numFmtId="0" fontId="16" fillId="0" borderId="0" xfId="1" quotePrefix="1" applyFont="1" applyAlignment="1">
      <alignment vertical="center"/>
    </xf>
    <xf numFmtId="0" fontId="17" fillId="0" borderId="0" xfId="7" applyFont="1" applyAlignment="1">
      <alignment vertical="center"/>
    </xf>
    <xf numFmtId="0" fontId="25" fillId="0" borderId="0" xfId="16" applyFont="1" applyAlignment="1" applyProtection="1">
      <alignment horizontal="center" vertical="center"/>
      <protection locked="0"/>
    </xf>
    <xf numFmtId="0" fontId="8" fillId="4" borderId="2" xfId="9" applyAlignment="1" applyProtection="1">
      <alignment vertical="center"/>
      <protection locked="0"/>
    </xf>
    <xf numFmtId="0" fontId="8" fillId="4" borderId="2" xfId="9" applyFont="1" applyAlignment="1" applyProtection="1">
      <alignment horizontal="center" vertical="center"/>
      <protection locked="0"/>
    </xf>
    <xf numFmtId="0" fontId="24" fillId="0" borderId="3" xfId="24" applyFont="1" applyAlignment="1">
      <alignment horizontal="center" vertical="center"/>
    </xf>
    <xf numFmtId="0" fontId="0" fillId="0" borderId="3" xfId="26" applyFont="1" applyAlignment="1">
      <alignment horizontal="center" vertical="center"/>
    </xf>
    <xf numFmtId="0" fontId="18" fillId="0" borderId="3" xfId="26" applyFont="1" applyAlignment="1">
      <alignment horizontal="center" vertical="center"/>
    </xf>
    <xf numFmtId="0" fontId="17" fillId="0" borderId="0" xfId="7" quotePrefix="1" applyFont="1" applyAlignment="1">
      <alignment vertical="center"/>
    </xf>
    <xf numFmtId="0" fontId="8" fillId="0" borderId="3" xfId="26" applyFont="1" applyAlignment="1">
      <alignment horizontal="center" vertical="center"/>
    </xf>
    <xf numFmtId="166" fontId="8" fillId="0" borderId="3" xfId="25" applyFont="1" applyAlignment="1">
      <alignment horizontal="center" vertical="center"/>
    </xf>
    <xf numFmtId="165" fontId="0" fillId="0" borderId="0" xfId="18" applyFont="1" applyAlignment="1">
      <alignment vertical="center"/>
    </xf>
    <xf numFmtId="166" fontId="0" fillId="0" borderId="0" xfId="19" applyNumberFormat="1" applyFont="1" applyAlignment="1">
      <alignment vertical="center"/>
    </xf>
    <xf numFmtId="0" fontId="9" fillId="5" borderId="4" xfId="23" applyBorder="1" applyAlignment="1">
      <alignment vertical="center"/>
    </xf>
    <xf numFmtId="164" fontId="9" fillId="5" borderId="4" xfId="23" applyNumberFormat="1" applyBorder="1" applyAlignment="1">
      <alignment horizontal="right" vertical="center"/>
    </xf>
    <xf numFmtId="0" fontId="17" fillId="0" borderId="4" xfId="7" applyFont="1" applyBorder="1" applyAlignment="1">
      <alignment vertical="center"/>
    </xf>
    <xf numFmtId="164" fontId="0" fillId="0" borderId="4" xfId="17" applyFont="1" applyBorder="1" applyAlignment="1">
      <alignment vertical="center"/>
    </xf>
    <xf numFmtId="0" fontId="12" fillId="0" borderId="0" xfId="50" applyAlignment="1">
      <alignment horizontal="center" vertical="center"/>
    </xf>
    <xf numFmtId="0" fontId="8" fillId="4" borderId="2" xfId="9" applyFont="1" applyAlignment="1" applyProtection="1">
      <alignment vertical="center" wrapText="1"/>
      <protection locked="0"/>
    </xf>
    <xf numFmtId="166" fontId="8" fillId="4" borderId="2" xfId="12" applyFont="1" applyAlignment="1" applyProtection="1">
      <alignment vertical="center"/>
      <protection locked="0"/>
    </xf>
    <xf numFmtId="0" fontId="0" fillId="0" borderId="0" xfId="0" applyFill="1" applyAlignment="1">
      <alignment vertical="center"/>
    </xf>
    <xf numFmtId="0" fontId="12" fillId="0" borderId="0" xfId="50" applyFill="1" applyAlignment="1">
      <alignment horizontal="center" vertical="center"/>
    </xf>
    <xf numFmtId="0" fontId="4" fillId="2" borderId="0" xfId="4" applyFill="1" applyAlignment="1">
      <alignment vertical="center"/>
    </xf>
    <xf numFmtId="0" fontId="7" fillId="0" borderId="3" xfId="7" applyFont="1" applyBorder="1" applyAlignment="1">
      <alignment vertical="center" wrapText="1"/>
    </xf>
    <xf numFmtId="0" fontId="7" fillId="0" borderId="5" xfId="7" applyFont="1" applyBorder="1" applyAlignment="1">
      <alignment vertical="center" wrapText="1"/>
    </xf>
    <xf numFmtId="0" fontId="5" fillId="3" borderId="1" xfId="5" applyAlignment="1">
      <alignment horizontal="center" vertical="center"/>
    </xf>
    <xf numFmtId="0" fontId="5" fillId="0" borderId="0" xfId="6" applyFont="1" applyAlignment="1">
      <alignment vertical="center"/>
    </xf>
    <xf numFmtId="0" fontId="21" fillId="0" borderId="0" xfId="6" applyFont="1" applyAlignment="1">
      <alignment vertical="center"/>
    </xf>
    <xf numFmtId="0" fontId="11" fillId="0" borderId="0" xfId="27" applyAlignment="1">
      <alignment vertical="center"/>
    </xf>
    <xf numFmtId="0" fontId="8" fillId="4" borderId="2" xfId="9" applyFont="1" applyAlignment="1" applyProtection="1">
      <alignment vertical="center" wrapText="1"/>
      <protection locked="0"/>
    </xf>
    <xf numFmtId="0" fontId="5" fillId="3" borderId="1" xfId="5" applyAlignment="1">
      <alignment vertical="center"/>
    </xf>
    <xf numFmtId="0" fontId="8" fillId="4" borderId="2" xfId="9" applyFont="1" applyAlignment="1" applyProtection="1">
      <alignment vertical="center"/>
      <protection locked="0"/>
    </xf>
    <xf numFmtId="0" fontId="0" fillId="0" borderId="0" xfId="0" applyBorder="1" applyAlignment="1">
      <alignment vertical="center"/>
    </xf>
    <xf numFmtId="0" fontId="10" fillId="0" borderId="0" xfId="0" applyFont="1" applyAlignment="1">
      <alignment vertical="center"/>
    </xf>
    <xf numFmtId="166" fontId="0" fillId="0" borderId="0" xfId="0" applyNumberFormat="1" applyAlignment="1">
      <alignment vertical="center"/>
    </xf>
    <xf numFmtId="0" fontId="10" fillId="0" borderId="0" xfId="0" applyFont="1" applyFill="1" applyAlignment="1">
      <alignment horizontal="right" vertical="center"/>
    </xf>
    <xf numFmtId="0" fontId="10" fillId="0" borderId="0" xfId="0" applyFont="1" applyFill="1" applyAlignment="1">
      <alignment horizontal="center" vertical="center"/>
    </xf>
    <xf numFmtId="166" fontId="10" fillId="0" borderId="6" xfId="0" applyNumberFormat="1" applyFont="1" applyBorder="1" applyAlignment="1">
      <alignment vertical="center"/>
    </xf>
    <xf numFmtId="0" fontId="10" fillId="0" borderId="4" xfId="0" applyFont="1" applyBorder="1" applyAlignment="1">
      <alignment horizontal="center" vertical="center"/>
    </xf>
    <xf numFmtId="166" fontId="10" fillId="0" borderId="7" xfId="0" applyNumberFormat="1" applyFont="1" applyBorder="1" applyAlignment="1">
      <alignment vertical="center"/>
    </xf>
    <xf numFmtId="171" fontId="10" fillId="0" borderId="0" xfId="58" applyNumberFormat="1" applyFont="1" applyAlignment="1">
      <alignment vertical="center"/>
    </xf>
    <xf numFmtId="171" fontId="10" fillId="0" borderId="6" xfId="58" applyNumberFormat="1" applyFont="1" applyBorder="1" applyAlignment="1">
      <alignment vertical="center"/>
    </xf>
    <xf numFmtId="0" fontId="25" fillId="0" borderId="0" xfId="16" applyFont="1" applyFill="1" applyAlignment="1" applyProtection="1">
      <alignment horizontal="center" vertical="center"/>
      <protection locked="0"/>
    </xf>
    <xf numFmtId="172" fontId="8" fillId="4" borderId="2" xfId="15" applyNumberFormat="1" applyFont="1" applyAlignment="1" applyProtection="1">
      <alignment vertical="center"/>
      <protection locked="0"/>
    </xf>
    <xf numFmtId="172" fontId="0" fillId="0" borderId="0" xfId="22" applyNumberFormat="1" applyFont="1" applyFill="1" applyAlignment="1">
      <alignment vertical="center"/>
    </xf>
    <xf numFmtId="172" fontId="27" fillId="0" borderId="6" xfId="22" applyNumberFormat="1" applyFont="1" applyFill="1" applyBorder="1" applyAlignment="1">
      <alignment vertical="center"/>
    </xf>
    <xf numFmtId="172" fontId="27" fillId="0" borderId="0" xfId="22" applyNumberFormat="1" applyFont="1" applyFill="1" applyAlignment="1">
      <alignment vertical="center"/>
    </xf>
    <xf numFmtId="172" fontId="10" fillId="0" borderId="8" xfId="22" applyNumberFormat="1" applyFont="1" applyBorder="1" applyAlignment="1">
      <alignment vertical="center"/>
    </xf>
    <xf numFmtId="0" fontId="6" fillId="0" borderId="0" xfId="7" applyFont="1" applyBorder="1" applyAlignment="1">
      <alignment vertical="center" wrapText="1"/>
    </xf>
    <xf numFmtId="172" fontId="10" fillId="0" borderId="0" xfId="22" applyNumberFormat="1" applyFont="1" applyFill="1" applyAlignment="1">
      <alignment vertical="center"/>
    </xf>
    <xf numFmtId="166" fontId="10" fillId="0" borderId="7" xfId="19" applyNumberFormat="1" applyFont="1" applyFill="1" applyBorder="1" applyAlignment="1">
      <alignment vertical="center"/>
    </xf>
    <xf numFmtId="166" fontId="10" fillId="0" borderId="9" xfId="19" applyNumberFormat="1" applyFont="1" applyFill="1" applyBorder="1" applyAlignment="1">
      <alignment vertical="center"/>
    </xf>
    <xf numFmtId="173" fontId="0" fillId="0" borderId="0" xfId="20" applyNumberFormat="1" applyFont="1" applyFill="1" applyAlignment="1">
      <alignment vertical="center"/>
    </xf>
    <xf numFmtId="0" fontId="10" fillId="0" borderId="4" xfId="0" applyFont="1" applyBorder="1" applyAlignment="1">
      <alignment vertical="center"/>
    </xf>
    <xf numFmtId="0" fontId="10" fillId="0" borderId="0" xfId="0" applyFont="1" applyBorder="1" applyAlignment="1">
      <alignment vertical="center"/>
    </xf>
    <xf numFmtId="171" fontId="10" fillId="0" borderId="0" xfId="58" applyNumberFormat="1" applyFont="1" applyBorder="1" applyAlignment="1">
      <alignment vertical="center"/>
    </xf>
    <xf numFmtId="0" fontId="0" fillId="0" borderId="6" xfId="0" applyBorder="1" applyAlignment="1">
      <alignment vertical="center"/>
    </xf>
    <xf numFmtId="0" fontId="0" fillId="0" borderId="9" xfId="0" applyBorder="1" applyAlignment="1">
      <alignment vertical="center"/>
    </xf>
    <xf numFmtId="172" fontId="0" fillId="0" borderId="0" xfId="22" applyNumberFormat="1" applyFont="1" applyAlignment="1">
      <alignment vertical="center"/>
    </xf>
    <xf numFmtId="172" fontId="10" fillId="0" borderId="9" xfId="22" applyNumberFormat="1" applyFont="1" applyBorder="1" applyAlignment="1">
      <alignment vertical="center"/>
    </xf>
    <xf numFmtId="172" fontId="10" fillId="0" borderId="7" xfId="22" applyNumberFormat="1" applyFont="1" applyBorder="1" applyAlignment="1">
      <alignment vertical="center"/>
    </xf>
    <xf numFmtId="172" fontId="10" fillId="0" borderId="6" xfId="22" applyNumberFormat="1" applyFont="1" applyBorder="1" applyAlignment="1">
      <alignment vertical="center"/>
    </xf>
    <xf numFmtId="172" fontId="10" fillId="0" borderId="0" xfId="22" applyNumberFormat="1" applyFont="1" applyBorder="1" applyAlignment="1">
      <alignment vertical="center"/>
    </xf>
    <xf numFmtId="166" fontId="0" fillId="0" borderId="0" xfId="19" applyFont="1" applyBorder="1" applyAlignment="1">
      <alignment vertical="center"/>
    </xf>
    <xf numFmtId="166" fontId="10" fillId="0" borderId="9" xfId="19" applyNumberFormat="1" applyFont="1" applyBorder="1" applyAlignment="1">
      <alignment vertical="center"/>
    </xf>
    <xf numFmtId="166" fontId="10" fillId="0" borderId="7" xfId="19" applyNumberFormat="1" applyFont="1" applyBorder="1" applyAlignment="1">
      <alignment vertical="center"/>
    </xf>
    <xf numFmtId="166" fontId="10" fillId="0" borderId="6" xfId="19" applyFont="1" applyBorder="1" applyAlignment="1">
      <alignment vertical="center"/>
    </xf>
    <xf numFmtId="0" fontId="10" fillId="0" borderId="8" xfId="0" applyFont="1" applyBorder="1" applyAlignment="1">
      <alignment vertical="center"/>
    </xf>
    <xf numFmtId="0" fontId="28" fillId="0" borderId="0" xfId="0" applyFont="1" applyAlignment="1">
      <alignment vertical="center"/>
    </xf>
    <xf numFmtId="167" fontId="10" fillId="0" borderId="10" xfId="20" applyNumberFormat="1" applyFont="1" applyBorder="1" applyAlignment="1">
      <alignment vertical="center"/>
    </xf>
    <xf numFmtId="167" fontId="10" fillId="0" borderId="11" xfId="20" applyNumberFormat="1" applyFont="1" applyBorder="1" applyAlignment="1">
      <alignment vertical="center"/>
    </xf>
    <xf numFmtId="0" fontId="0" fillId="0" borderId="12" xfId="0" applyBorder="1" applyAlignment="1">
      <alignment vertical="center"/>
    </xf>
    <xf numFmtId="166" fontId="10" fillId="0" borderId="6" xfId="19" applyNumberFormat="1" applyFont="1" applyBorder="1" applyAlignment="1">
      <alignment vertical="center"/>
    </xf>
    <xf numFmtId="166" fontId="10" fillId="0" borderId="9" xfId="19" applyFont="1" applyBorder="1" applyAlignment="1">
      <alignment vertical="center"/>
    </xf>
    <xf numFmtId="0" fontId="0" fillId="0" borderId="13" xfId="0" applyBorder="1" applyAlignment="1">
      <alignment vertical="center"/>
    </xf>
    <xf numFmtId="167" fontId="10" fillId="0" borderId="0" xfId="20" applyNumberFormat="1" applyFont="1" applyBorder="1" applyAlignment="1">
      <alignment vertical="center"/>
    </xf>
    <xf numFmtId="0" fontId="0" fillId="0" borderId="0" xfId="0" applyAlignment="1">
      <alignment vertical="center" wrapText="1"/>
    </xf>
    <xf numFmtId="0" fontId="29" fillId="0" borderId="0" xfId="0" applyFont="1" applyAlignment="1">
      <alignment vertical="center"/>
    </xf>
    <xf numFmtId="172" fontId="0" fillId="0" borderId="0" xfId="22" applyNumberFormat="1" applyFont="1" applyBorder="1" applyAlignment="1">
      <alignment vertical="center"/>
    </xf>
    <xf numFmtId="0" fontId="10" fillId="0" borderId="4" xfId="0" applyFont="1" applyBorder="1" applyAlignment="1">
      <alignment horizontal="center" vertical="center" wrapText="1"/>
    </xf>
    <xf numFmtId="0" fontId="30" fillId="2" borderId="0" xfId="4" applyFont="1" applyAlignment="1">
      <alignment vertical="center"/>
    </xf>
    <xf numFmtId="0" fontId="31" fillId="2" borderId="0" xfId="4" applyFont="1" applyAlignment="1">
      <alignment horizontal="center" vertical="center"/>
    </xf>
    <xf numFmtId="0" fontId="26" fillId="0" borderId="0" xfId="57" applyAlignment="1">
      <alignment vertical="center"/>
    </xf>
    <xf numFmtId="172" fontId="10" fillId="0" borderId="0" xfId="0" applyNumberFormat="1" applyFont="1" applyAlignment="1">
      <alignment vertical="center"/>
    </xf>
    <xf numFmtId="0" fontId="9" fillId="5" borderId="0" xfId="23" applyAlignment="1">
      <alignment vertical="center"/>
    </xf>
    <xf numFmtId="0" fontId="8" fillId="4" borderId="2" xfId="9" applyFont="1" applyAlignment="1" applyProtection="1">
      <alignment vertical="center" wrapText="1"/>
      <protection locked="0"/>
    </xf>
    <xf numFmtId="172" fontId="27" fillId="0" borderId="0" xfId="22" applyNumberFormat="1" applyFont="1" applyFill="1" applyBorder="1" applyAlignment="1">
      <alignment vertical="center"/>
    </xf>
    <xf numFmtId="172" fontId="0" fillId="0" borderId="0" xfId="0" applyNumberFormat="1" applyAlignment="1">
      <alignment vertical="center"/>
    </xf>
    <xf numFmtId="172" fontId="27" fillId="9" borderId="0" xfId="22" applyNumberFormat="1" applyFont="1" applyFill="1" applyAlignment="1">
      <alignment vertical="center"/>
    </xf>
    <xf numFmtId="166" fontId="10" fillId="9" borderId="6" xfId="19" applyNumberFormat="1" applyFont="1" applyFill="1" applyBorder="1" applyAlignment="1">
      <alignment vertical="center"/>
    </xf>
    <xf numFmtId="172" fontId="10" fillId="9" borderId="7" xfId="22" applyNumberFormat="1" applyFont="1" applyFill="1" applyBorder="1" applyAlignment="1">
      <alignment vertical="center"/>
    </xf>
    <xf numFmtId="172" fontId="10" fillId="9" borderId="6" xfId="22" applyNumberFormat="1" applyFont="1" applyFill="1" applyBorder="1" applyAlignment="1">
      <alignment vertical="center"/>
    </xf>
    <xf numFmtId="166" fontId="0" fillId="9" borderId="0" xfId="19" applyNumberFormat="1" applyFont="1" applyFill="1" applyAlignment="1">
      <alignment vertical="center"/>
    </xf>
    <xf numFmtId="172" fontId="0" fillId="9" borderId="9" xfId="22" applyNumberFormat="1" applyFont="1" applyFill="1" applyBorder="1" applyAlignment="1">
      <alignment vertical="center"/>
    </xf>
    <xf numFmtId="172" fontId="0" fillId="9" borderId="0" xfId="22" applyNumberFormat="1" applyFont="1" applyFill="1" applyAlignment="1">
      <alignment vertical="center"/>
    </xf>
    <xf numFmtId="9" fontId="0" fillId="0" borderId="0" xfId="58" applyFont="1" applyFill="1" applyAlignment="1">
      <alignment vertical="center"/>
    </xf>
    <xf numFmtId="172" fontId="0" fillId="0" borderId="14" xfId="22" applyNumberFormat="1" applyFont="1" applyFill="1" applyBorder="1" applyAlignment="1">
      <alignment vertical="center"/>
    </xf>
    <xf numFmtId="172" fontId="0" fillId="0" borderId="15" xfId="22" applyNumberFormat="1" applyFont="1" applyFill="1" applyBorder="1" applyAlignment="1">
      <alignment vertical="center"/>
    </xf>
    <xf numFmtId="172" fontId="10" fillId="0" borderId="7" xfId="0" applyNumberFormat="1" applyFont="1" applyFill="1" applyBorder="1" applyAlignment="1">
      <alignment vertical="center"/>
    </xf>
    <xf numFmtId="172" fontId="10" fillId="0" borderId="6" xfId="0" applyNumberFormat="1" applyFont="1" applyFill="1" applyBorder="1" applyAlignment="1">
      <alignment vertical="center"/>
    </xf>
    <xf numFmtId="172" fontId="10" fillId="0" borderId="9" xfId="0" applyNumberFormat="1" applyFont="1" applyFill="1" applyBorder="1" applyAlignment="1">
      <alignment vertical="center"/>
    </xf>
    <xf numFmtId="172" fontId="10" fillId="0" borderId="0" xfId="0" applyNumberFormat="1" applyFont="1" applyFill="1" applyAlignment="1">
      <alignment vertical="center"/>
    </xf>
    <xf numFmtId="172" fontId="10" fillId="0" borderId="9" xfId="22" applyNumberFormat="1" applyFont="1" applyFill="1" applyBorder="1" applyAlignment="1">
      <alignment vertical="center"/>
    </xf>
    <xf numFmtId="9" fontId="10" fillId="0" borderId="16" xfId="58" applyFont="1" applyFill="1" applyBorder="1" applyAlignment="1">
      <alignment vertical="center"/>
    </xf>
    <xf numFmtId="172" fontId="10" fillId="0" borderId="6" xfId="22" applyNumberFormat="1" applyFont="1" applyFill="1" applyBorder="1" applyAlignment="1">
      <alignment vertical="center"/>
    </xf>
    <xf numFmtId="166" fontId="10" fillId="0" borderId="0" xfId="19" applyNumberFormat="1" applyFont="1" applyFill="1" applyBorder="1" applyAlignment="1">
      <alignment vertical="center"/>
    </xf>
    <xf numFmtId="166" fontId="10" fillId="0" borderId="6" xfId="19" applyNumberFormat="1" applyFont="1" applyFill="1" applyBorder="1" applyAlignment="1">
      <alignment vertical="center"/>
    </xf>
    <xf numFmtId="0" fontId="5" fillId="3" borderId="4" xfId="5" applyBorder="1" applyAlignment="1">
      <alignment horizontal="center" vertical="center"/>
    </xf>
    <xf numFmtId="0" fontId="17" fillId="0" borderId="0" xfId="7" applyFont="1" applyAlignment="1">
      <alignment horizontal="left" vertical="top" wrapText="1"/>
    </xf>
    <xf numFmtId="0" fontId="11" fillId="0" borderId="0" xfId="27" applyAlignment="1">
      <alignment horizontal="center" vertical="top"/>
    </xf>
    <xf numFmtId="0" fontId="23" fillId="0" borderId="0" xfId="6" applyFont="1" applyAlignment="1">
      <alignment horizontal="center" vertical="top"/>
    </xf>
    <xf numFmtId="0" fontId="17" fillId="0" borderId="0" xfId="7" applyFont="1" applyAlignment="1">
      <alignment horizontal="center" vertical="top"/>
    </xf>
    <xf numFmtId="0" fontId="7" fillId="0" borderId="0" xfId="7" applyFont="1" applyAlignment="1">
      <alignment horizontal="center" vertical="top"/>
    </xf>
    <xf numFmtId="0" fontId="20" fillId="0" borderId="0" xfId="7" applyFont="1" applyAlignment="1">
      <alignment horizontal="center" vertical="top"/>
    </xf>
    <xf numFmtId="164" fontId="8" fillId="4" borderId="2" xfId="10" applyFont="1" applyAlignment="1" applyProtection="1">
      <alignment horizontal="center" vertical="center"/>
      <protection locked="0"/>
    </xf>
    <xf numFmtId="0" fontId="8" fillId="0" borderId="0" xfId="0" applyFont="1" applyAlignment="1">
      <alignment horizontal="right" vertical="center"/>
    </xf>
    <xf numFmtId="0" fontId="8" fillId="0" borderId="0" xfId="0" applyFont="1" applyAlignment="1">
      <alignment vertical="center"/>
    </xf>
    <xf numFmtId="0" fontId="18" fillId="0" borderId="0" xfId="0" applyFont="1" applyAlignment="1">
      <alignment vertical="center"/>
    </xf>
    <xf numFmtId="0" fontId="24" fillId="0" borderId="4" xfId="0" applyFont="1" applyBorder="1" applyAlignment="1">
      <alignment vertical="center"/>
    </xf>
    <xf numFmtId="0" fontId="24" fillId="0" borderId="4" xfId="0" applyFont="1" applyBorder="1" applyAlignment="1">
      <alignment horizontal="center" vertical="center"/>
    </xf>
    <xf numFmtId="0" fontId="24" fillId="0" borderId="0" xfId="0" applyFont="1" applyAlignment="1">
      <alignment horizontal="left" vertical="center" indent="2"/>
    </xf>
    <xf numFmtId="0" fontId="24" fillId="0" borderId="0" xfId="0" applyFont="1" applyBorder="1" applyAlignment="1">
      <alignment vertical="center"/>
    </xf>
    <xf numFmtId="0" fontId="24" fillId="0" borderId="0" xfId="0" applyFont="1" applyAlignment="1">
      <alignment vertical="center"/>
    </xf>
    <xf numFmtId="0" fontId="24" fillId="0" borderId="16" xfId="0" applyFont="1" applyBorder="1" applyAlignment="1">
      <alignment vertical="center"/>
    </xf>
    <xf numFmtId="0" fontId="19" fillId="0" borderId="6" xfId="0" applyFont="1" applyBorder="1" applyAlignment="1">
      <alignment vertical="center" wrapText="1"/>
    </xf>
    <xf numFmtId="0" fontId="34" fillId="0" borderId="0" xfId="1" quotePrefix="1" applyFont="1" applyAlignment="1">
      <alignment vertical="center"/>
    </xf>
    <xf numFmtId="0" fontId="24" fillId="0" borderId="4" xfId="0" applyFont="1" applyBorder="1" applyAlignment="1">
      <alignment horizontal="center" vertical="center" wrapText="1"/>
    </xf>
    <xf numFmtId="0" fontId="24" fillId="0" borderId="12" xfId="0" applyFont="1" applyBorder="1" applyAlignment="1">
      <alignment horizontal="center" vertical="center"/>
    </xf>
    <xf numFmtId="0" fontId="24" fillId="0" borderId="8" xfId="0" applyFont="1" applyBorder="1" applyAlignment="1">
      <alignment vertical="center"/>
    </xf>
    <xf numFmtId="0" fontId="8" fillId="0" borderId="13" xfId="0" applyFont="1" applyBorder="1" applyAlignment="1">
      <alignment vertical="center"/>
    </xf>
    <xf numFmtId="0" fontId="19" fillId="0" borderId="0" xfId="0" applyFont="1" applyAlignment="1">
      <alignment vertical="center"/>
    </xf>
    <xf numFmtId="0" fontId="19" fillId="0" borderId="0" xfId="0" applyFont="1" applyAlignment="1">
      <alignment horizontal="right" vertical="center"/>
    </xf>
    <xf numFmtId="172" fontId="0" fillId="9" borderId="2" xfId="15" applyNumberFormat="1" applyFont="1" applyFill="1" applyAlignment="1" applyProtection="1">
      <alignment vertical="center"/>
      <protection locked="0"/>
    </xf>
    <xf numFmtId="0" fontId="24" fillId="0" borderId="0" xfId="0" applyFont="1" applyAlignment="1">
      <alignment horizontal="right" vertical="center"/>
    </xf>
    <xf numFmtId="0" fontId="24" fillId="0" borderId="0" xfId="0" applyFont="1" applyFill="1" applyAlignment="1">
      <alignment horizontal="right" vertical="center"/>
    </xf>
    <xf numFmtId="0" fontId="24" fillId="0" borderId="6" xfId="0" applyFont="1" applyBorder="1" applyAlignment="1">
      <alignment vertical="center"/>
    </xf>
    <xf numFmtId="172" fontId="0" fillId="0" borderId="2" xfId="22" applyNumberFormat="1" applyFont="1" applyFill="1" applyBorder="1" applyAlignment="1">
      <alignment vertical="center"/>
    </xf>
    <xf numFmtId="0" fontId="35" fillId="0" borderId="0" xfId="0" applyFont="1" applyAlignment="1">
      <alignment vertical="center"/>
    </xf>
    <xf numFmtId="0" fontId="19" fillId="0" borderId="6" xfId="0" applyFont="1" applyBorder="1" applyAlignment="1">
      <alignment vertical="center"/>
    </xf>
    <xf numFmtId="0" fontId="0" fillId="0" borderId="0" xfId="0" applyAlignment="1">
      <alignment horizontal="centerContinuous" vertical="center"/>
    </xf>
    <xf numFmtId="177" fontId="8" fillId="0" borderId="0" xfId="0" applyNumberFormat="1" applyFont="1" applyAlignment="1">
      <alignment vertical="center"/>
    </xf>
    <xf numFmtId="176" fontId="8" fillId="0" borderId="0" xfId="0" applyNumberFormat="1" applyFont="1" applyAlignment="1">
      <alignment horizontal="left" vertical="center"/>
    </xf>
    <xf numFmtId="0" fontId="4" fillId="2" borderId="0" xfId="4" applyAlignment="1">
      <alignment vertical="center" wrapText="1"/>
    </xf>
    <xf numFmtId="0" fontId="0" fillId="0" borderId="0" xfId="0" applyAlignment="1">
      <alignment vertical="top"/>
    </xf>
    <xf numFmtId="0" fontId="4" fillId="2" borderId="0" xfId="4" applyAlignment="1">
      <alignment vertical="top" wrapText="1"/>
    </xf>
    <xf numFmtId="0" fontId="0" fillId="0" borderId="0" xfId="0" applyAlignment="1">
      <alignment vertical="top" wrapText="1"/>
    </xf>
    <xf numFmtId="0" fontId="8" fillId="0" borderId="0" xfId="0" applyFont="1" applyAlignment="1">
      <alignment vertical="top" wrapText="1"/>
    </xf>
    <xf numFmtId="178" fontId="8" fillId="4" borderId="2" xfId="11" applyNumberFormat="1" applyFont="1" applyAlignment="1" applyProtection="1">
      <alignment vertical="center"/>
      <protection locked="0"/>
    </xf>
    <xf numFmtId="0" fontId="0" fillId="0" borderId="0" xfId="0" applyAlignment="1">
      <alignment horizontal="left" vertical="center" indent="1"/>
    </xf>
    <xf numFmtId="0" fontId="0" fillId="0" borderId="0" xfId="0" applyAlignment="1">
      <alignment horizontal="left" vertical="center" indent="2"/>
    </xf>
    <xf numFmtId="0" fontId="17" fillId="0" borderId="0" xfId="7" applyFont="1" applyAlignment="1">
      <alignment horizontal="left" vertical="top" wrapText="1" indent="2"/>
    </xf>
    <xf numFmtId="0" fontId="0" fillId="0" borderId="0" xfId="0" applyAlignment="1">
      <alignment horizontal="left" vertical="top" wrapText="1" indent="1"/>
    </xf>
    <xf numFmtId="0" fontId="0" fillId="0" borderId="0" xfId="0" applyAlignment="1">
      <alignment horizontal="left" vertical="top" wrapText="1" indent="3"/>
    </xf>
    <xf numFmtId="0" fontId="0" fillId="0" borderId="0" xfId="0" applyFill="1" applyAlignment="1">
      <alignment vertical="top" wrapText="1"/>
    </xf>
    <xf numFmtId="0" fontId="7" fillId="0" borderId="0" xfId="7" applyFont="1" applyAlignment="1">
      <alignment horizontal="left" vertical="top" indent="2"/>
    </xf>
    <xf numFmtId="0" fontId="11" fillId="0" borderId="0" xfId="27" applyAlignment="1">
      <alignment horizontal="left" vertical="top" indent="2"/>
    </xf>
    <xf numFmtId="172" fontId="10" fillId="0" borderId="0" xfId="22" applyNumberFormat="1" applyFont="1" applyFill="1" applyBorder="1" applyAlignment="1">
      <alignment vertical="center"/>
    </xf>
    <xf numFmtId="172" fontId="28" fillId="0" borderId="0" xfId="22" applyNumberFormat="1" applyFont="1" applyFill="1" applyAlignment="1">
      <alignment vertical="center"/>
    </xf>
    <xf numFmtId="172" fontId="28" fillId="0" borderId="9" xfId="22" applyNumberFormat="1" applyFont="1" applyFill="1" applyBorder="1" applyAlignment="1">
      <alignment vertical="center"/>
    </xf>
    <xf numFmtId="172" fontId="10" fillId="0" borderId="6" xfId="0" applyNumberFormat="1" applyFont="1" applyBorder="1" applyAlignment="1">
      <alignment vertical="center"/>
    </xf>
    <xf numFmtId="172" fontId="10" fillId="0" borderId="0" xfId="0" applyNumberFormat="1" applyFont="1" applyBorder="1" applyAlignment="1">
      <alignment vertical="center"/>
    </xf>
    <xf numFmtId="166" fontId="0" fillId="0" borderId="0" xfId="19" applyNumberFormat="1" applyFont="1" applyBorder="1" applyAlignment="1">
      <alignment vertical="center"/>
    </xf>
    <xf numFmtId="0" fontId="0" fillId="0" borderId="0" xfId="0" applyFont="1" applyAlignment="1">
      <alignment vertical="center" wrapText="1"/>
    </xf>
    <xf numFmtId="0" fontId="0" fillId="0" borderId="0" xfId="0" applyFont="1" applyAlignment="1">
      <alignment vertical="center"/>
    </xf>
    <xf numFmtId="172" fontId="10" fillId="0" borderId="9" xfId="0" applyNumberFormat="1" applyFont="1" applyBorder="1" applyAlignment="1">
      <alignment vertical="center"/>
    </xf>
    <xf numFmtId="166" fontId="24" fillId="0" borderId="0" xfId="19" applyFont="1" applyBorder="1" applyAlignment="1">
      <alignment vertical="center"/>
    </xf>
    <xf numFmtId="172" fontId="28" fillId="0" borderId="0" xfId="22" applyNumberFormat="1" applyFont="1" applyFill="1" applyBorder="1" applyAlignment="1">
      <alignment vertical="center"/>
    </xf>
    <xf numFmtId="0" fontId="3" fillId="0" borderId="0" xfId="3" applyAlignment="1">
      <alignment vertical="center"/>
    </xf>
    <xf numFmtId="0" fontId="26" fillId="0" borderId="0" xfId="57" applyAlignment="1">
      <alignment horizontal="left" vertical="center" indent="2"/>
    </xf>
    <xf numFmtId="17" fontId="0" fillId="0" borderId="0" xfId="0" applyNumberFormat="1" applyAlignment="1">
      <alignment vertical="top" wrapText="1"/>
    </xf>
    <xf numFmtId="0" fontId="0" fillId="0" borderId="0" xfId="0" applyAlignment="1"/>
    <xf numFmtId="0" fontId="0" fillId="0" borderId="17" xfId="0" applyBorder="1" applyAlignment="1">
      <alignment horizontal="center"/>
    </xf>
    <xf numFmtId="9" fontId="0" fillId="0" borderId="17" xfId="58" applyFont="1" applyBorder="1" applyAlignment="1">
      <alignment horizontal="center"/>
    </xf>
    <xf numFmtId="179" fontId="0" fillId="0" borderId="0" xfId="0" applyNumberFormat="1" applyAlignment="1"/>
    <xf numFmtId="0" fontId="1" fillId="9" borderId="0" xfId="62" applyFill="1"/>
    <xf numFmtId="0" fontId="1" fillId="0" borderId="0" xfId="62"/>
    <xf numFmtId="0" fontId="1" fillId="0" borderId="0" xfId="62" applyBorder="1"/>
    <xf numFmtId="164" fontId="56" fillId="0" borderId="17" xfId="17" applyBorder="1" applyAlignment="1">
      <alignment vertical="center"/>
    </xf>
    <xf numFmtId="172" fontId="0" fillId="0" borderId="17" xfId="22" applyNumberFormat="1" applyFont="1" applyBorder="1" applyAlignment="1">
      <alignment vertical="center"/>
    </xf>
    <xf numFmtId="0" fontId="36" fillId="0" borderId="0" xfId="3" applyFont="1" applyAlignment="1">
      <alignment vertical="center"/>
    </xf>
    <xf numFmtId="0" fontId="37" fillId="3" borderId="1" xfId="5" applyFont="1" applyAlignment="1">
      <alignment vertical="center" wrapText="1"/>
    </xf>
    <xf numFmtId="0" fontId="11" fillId="0" borderId="0" xfId="49" applyAlignment="1">
      <alignment vertical="center"/>
    </xf>
    <xf numFmtId="180" fontId="18" fillId="0" borderId="17" xfId="0" applyNumberFormat="1" applyFont="1" applyBorder="1" applyAlignment="1"/>
    <xf numFmtId="0" fontId="18" fillId="0" borderId="17" xfId="0" applyFont="1" applyBorder="1" applyAlignment="1">
      <alignment horizontal="center"/>
    </xf>
    <xf numFmtId="0" fontId="18" fillId="0" borderId="0" xfId="0" applyFont="1" applyAlignment="1"/>
    <xf numFmtId="181" fontId="18" fillId="0" borderId="17" xfId="61" applyNumberFormat="1" applyFont="1" applyBorder="1" applyAlignment="1">
      <alignment horizontal="center"/>
    </xf>
    <xf numFmtId="0" fontId="8" fillId="0" borderId="17" xfId="0" applyFont="1" applyBorder="1" applyAlignment="1"/>
    <xf numFmtId="0" fontId="38" fillId="0" borderId="0" xfId="0" applyFont="1" applyAlignment="1"/>
    <xf numFmtId="0" fontId="38" fillId="0" borderId="17" xfId="0" applyFont="1" applyBorder="1" applyAlignment="1">
      <alignment horizontal="left"/>
    </xf>
    <xf numFmtId="0" fontId="8" fillId="0" borderId="17" xfId="0" applyFont="1" applyBorder="1" applyAlignment="1">
      <alignment horizontal="center"/>
    </xf>
    <xf numFmtId="0" fontId="38" fillId="10" borderId="17" xfId="0" applyFont="1" applyFill="1" applyBorder="1" applyAlignment="1">
      <alignment horizontal="center"/>
    </xf>
    <xf numFmtId="0" fontId="38" fillId="0" borderId="17" xfId="0" applyFont="1" applyBorder="1" applyAlignment="1">
      <alignment horizontal="center" wrapText="1"/>
    </xf>
    <xf numFmtId="0" fontId="39" fillId="0" borderId="0" xfId="0" applyFont="1" applyAlignment="1">
      <alignment vertical="center"/>
    </xf>
    <xf numFmtId="0" fontId="8" fillId="0" borderId="0" xfId="0" applyFont="1" applyAlignment="1">
      <alignment horizontal="left" vertical="top" wrapText="1" indent="3"/>
    </xf>
    <xf numFmtId="0" fontId="8" fillId="0" borderId="0" xfId="0" applyFont="1" applyAlignment="1">
      <alignment horizontal="left" vertical="top" wrapText="1" indent="2"/>
    </xf>
    <xf numFmtId="0" fontId="8" fillId="11" borderId="0" xfId="0" applyFont="1" applyFill="1" applyBorder="1" applyAlignment="1">
      <alignment vertical="center"/>
    </xf>
    <xf numFmtId="0" fontId="5" fillId="0" borderId="0" xfId="6" applyFont="1" applyAlignment="1">
      <alignment horizontal="center" vertical="top"/>
    </xf>
    <xf numFmtId="0" fontId="17" fillId="0" borderId="0" xfId="7" applyFont="1" applyAlignment="1">
      <alignment horizontal="left" vertical="top" indent="2"/>
    </xf>
    <xf numFmtId="0" fontId="8" fillId="0" borderId="0" xfId="0" applyFont="1" applyAlignment="1">
      <alignment vertical="top"/>
    </xf>
    <xf numFmtId="0" fontId="8" fillId="0" borderId="0" xfId="0" applyFont="1" applyAlignment="1">
      <alignment horizontal="left" vertical="top" wrapText="1" indent="1"/>
    </xf>
    <xf numFmtId="0" fontId="8" fillId="0" borderId="0" xfId="0" applyFont="1" applyFill="1" applyAlignment="1">
      <alignment vertical="top" wrapText="1"/>
    </xf>
    <xf numFmtId="0" fontId="8" fillId="0" borderId="0" xfId="0" applyFont="1" applyAlignment="1">
      <alignment horizontal="left" vertical="top" indent="2"/>
    </xf>
    <xf numFmtId="182" fontId="0" fillId="0" borderId="2" xfId="59" applyNumberFormat="1" applyFont="1" applyFill="1" applyBorder="1" applyAlignment="1" applyProtection="1">
      <alignment vertical="center"/>
      <protection locked="0"/>
    </xf>
    <xf numFmtId="182" fontId="27" fillId="0" borderId="6" xfId="59" applyNumberFormat="1" applyFont="1" applyFill="1" applyBorder="1" applyAlignment="1">
      <alignment vertical="center"/>
    </xf>
    <xf numFmtId="182" fontId="10" fillId="0" borderId="8" xfId="59" applyNumberFormat="1" applyFont="1" applyBorder="1" applyAlignment="1">
      <alignment vertical="center"/>
    </xf>
    <xf numFmtId="0" fontId="43" fillId="0" borderId="0" xfId="3" applyFont="1" applyAlignment="1">
      <alignment vertical="center"/>
    </xf>
    <xf numFmtId="0" fontId="9" fillId="5" borderId="0" xfId="48" applyAlignment="1">
      <alignment vertical="center"/>
    </xf>
    <xf numFmtId="0" fontId="40" fillId="6" borderId="0" xfId="63" applyAlignment="1">
      <alignment vertical="center"/>
    </xf>
    <xf numFmtId="0" fontId="42" fillId="8" borderId="0" xfId="65" applyAlignment="1">
      <alignment vertical="center"/>
    </xf>
    <xf numFmtId="0" fontId="41" fillId="7" borderId="0" xfId="64" applyAlignment="1">
      <alignment vertical="center"/>
    </xf>
    <xf numFmtId="0" fontId="0" fillId="0" borderId="0" xfId="0" quotePrefix="1" applyAlignment="1">
      <alignment horizontal="center" vertical="center"/>
    </xf>
    <xf numFmtId="0" fontId="5" fillId="3" borderId="1" xfId="5" applyAlignment="1">
      <alignment horizontal="left" vertical="center"/>
    </xf>
    <xf numFmtId="0" fontId="5" fillId="0" borderId="0" xfId="7" applyFont="1" applyAlignment="1">
      <alignment horizontal="left" vertical="top"/>
    </xf>
    <xf numFmtId="182" fontId="0" fillId="0" borderId="0" xfId="0" applyNumberFormat="1" applyAlignment="1">
      <alignment vertical="center"/>
    </xf>
    <xf numFmtId="182" fontId="0" fillId="0" borderId="18" xfId="59" applyNumberFormat="1" applyFont="1" applyFill="1" applyBorder="1" applyAlignment="1" applyProtection="1">
      <alignment vertical="center"/>
      <protection locked="0"/>
    </xf>
    <xf numFmtId="182" fontId="27" fillId="0" borderId="19" xfId="59" applyNumberFormat="1" applyFont="1" applyFill="1" applyBorder="1" applyAlignment="1">
      <alignment vertical="center"/>
    </xf>
    <xf numFmtId="182" fontId="0" fillId="0" borderId="20" xfId="59" applyNumberFormat="1" applyFont="1" applyFill="1" applyBorder="1" applyAlignment="1" applyProtection="1">
      <alignment vertical="center"/>
      <protection locked="0"/>
    </xf>
    <xf numFmtId="182" fontId="0" fillId="0" borderId="21" xfId="59" applyNumberFormat="1" applyFont="1" applyFill="1" applyBorder="1" applyAlignment="1" applyProtection="1">
      <alignment vertical="center"/>
      <protection locked="0"/>
    </xf>
    <xf numFmtId="0" fontId="24" fillId="0" borderId="12" xfId="0" applyFont="1" applyFill="1" applyBorder="1" applyAlignment="1">
      <alignment horizontal="center" vertical="center"/>
    </xf>
    <xf numFmtId="182" fontId="10" fillId="0" borderId="11" xfId="59" applyNumberFormat="1" applyFont="1" applyBorder="1" applyAlignment="1">
      <alignment vertical="center"/>
    </xf>
    <xf numFmtId="182" fontId="10" fillId="0" borderId="9" xfId="59" applyNumberFormat="1" applyFont="1" applyFill="1" applyBorder="1" applyAlignment="1">
      <alignment vertical="center"/>
    </xf>
    <xf numFmtId="182" fontId="44" fillId="0" borderId="7" xfId="59" applyNumberFormat="1" applyFont="1" applyFill="1" applyBorder="1" applyAlignment="1">
      <alignment vertical="center"/>
    </xf>
    <xf numFmtId="182" fontId="10" fillId="0" borderId="9" xfId="0" applyNumberFormat="1" applyFont="1" applyBorder="1" applyAlignment="1">
      <alignment vertical="center"/>
    </xf>
    <xf numFmtId="182" fontId="0" fillId="0" borderId="22" xfId="59" applyNumberFormat="1" applyFont="1" applyFill="1" applyBorder="1" applyAlignment="1" applyProtection="1">
      <alignment vertical="center"/>
      <protection locked="0"/>
    </xf>
    <xf numFmtId="182" fontId="0" fillId="0" borderId="23" xfId="59" applyNumberFormat="1" applyFont="1" applyFill="1" applyBorder="1" applyAlignment="1" applyProtection="1">
      <alignment vertical="center"/>
      <protection locked="0"/>
    </xf>
    <xf numFmtId="0" fontId="10" fillId="0" borderId="4" xfId="0" applyFont="1" applyFill="1" applyBorder="1" applyAlignment="1">
      <alignment horizontal="center" vertical="center"/>
    </xf>
    <xf numFmtId="0" fontId="0" fillId="0" borderId="0" xfId="0" applyAlignment="1">
      <alignment horizontal="left" vertical="center"/>
    </xf>
    <xf numFmtId="169" fontId="8" fillId="4" borderId="24" xfId="15" applyBorder="1" applyAlignment="1" applyProtection="1">
      <alignment horizontal="left" vertical="center"/>
      <protection locked="0"/>
    </xf>
    <xf numFmtId="169" fontId="8" fillId="4" borderId="0" xfId="15" applyBorder="1" applyAlignment="1" applyProtection="1">
      <alignment horizontal="left" vertical="center"/>
      <protection locked="0"/>
    </xf>
    <xf numFmtId="182" fontId="27" fillId="0" borderId="6" xfId="22" applyNumberFormat="1" applyFont="1" applyFill="1" applyBorder="1" applyAlignment="1">
      <alignment vertical="center"/>
    </xf>
    <xf numFmtId="182" fontId="10" fillId="0" borderId="0" xfId="59" applyNumberFormat="1" applyFont="1" applyFill="1" applyAlignment="1">
      <alignment vertical="center"/>
    </xf>
    <xf numFmtId="182" fontId="44" fillId="0" borderId="6" xfId="59" applyNumberFormat="1" applyFont="1" applyFill="1" applyBorder="1" applyAlignment="1">
      <alignment vertical="center"/>
    </xf>
    <xf numFmtId="172" fontId="44" fillId="0" borderId="6" xfId="22" applyNumberFormat="1" applyFont="1" applyFill="1" applyBorder="1" applyAlignment="1">
      <alignment vertical="center"/>
    </xf>
    <xf numFmtId="0" fontId="9" fillId="12" borderId="0" xfId="0" applyFont="1" applyFill="1" applyAlignment="1">
      <alignment vertical="center"/>
    </xf>
    <xf numFmtId="0" fontId="9" fillId="13" borderId="0" xfId="0" applyFont="1" applyFill="1" applyAlignment="1">
      <alignment vertical="center"/>
    </xf>
    <xf numFmtId="0" fontId="4" fillId="2" borderId="0" xfId="4" applyAlignment="1">
      <alignment horizontal="center" vertical="center"/>
    </xf>
    <xf numFmtId="0" fontId="5" fillId="3" borderId="1" xfId="5" applyAlignment="1">
      <alignment vertical="center"/>
    </xf>
    <xf numFmtId="0" fontId="4" fillId="2" borderId="0" xfId="4" applyAlignment="1">
      <alignment horizontal="left" vertical="center"/>
    </xf>
    <xf numFmtId="0" fontId="24" fillId="0" borderId="3" xfId="24" applyFont="1" applyAlignment="1">
      <alignment horizontal="center" vertical="center"/>
    </xf>
    <xf numFmtId="0" fontId="8" fillId="0" borderId="3" xfId="26" applyFont="1" applyAlignment="1">
      <alignment horizontal="center" vertical="center"/>
    </xf>
    <xf numFmtId="0" fontId="25" fillId="0" borderId="0" xfId="16" applyFont="1" applyAlignment="1" applyProtection="1">
      <alignment horizontal="center" vertical="center"/>
      <protection locked="0"/>
    </xf>
    <xf numFmtId="166" fontId="25" fillId="0" borderId="0" xfId="16" applyNumberFormat="1" applyFont="1" applyAlignment="1" applyProtection="1">
      <alignment horizontal="center" vertical="center"/>
      <protection locked="0"/>
    </xf>
    <xf numFmtId="0" fontId="0" fillId="0" borderId="3" xfId="0" applyFill="1" applyBorder="1" applyAlignment="1">
      <alignment vertical="center"/>
    </xf>
    <xf numFmtId="0" fontId="7" fillId="0" borderId="0" xfId="7" applyFont="1" applyBorder="1" applyAlignment="1">
      <alignment vertical="center" wrapText="1"/>
    </xf>
    <xf numFmtId="166" fontId="24" fillId="0" borderId="0" xfId="19" applyFont="1" applyFill="1" applyAlignment="1">
      <alignment vertical="center"/>
    </xf>
    <xf numFmtId="166" fontId="24" fillId="0" borderId="0" xfId="19" applyFont="1" applyAlignment="1">
      <alignment vertical="center"/>
    </xf>
    <xf numFmtId="166" fontId="24" fillId="0" borderId="8" xfId="19" applyFont="1" applyBorder="1" applyAlignment="1">
      <alignment vertical="center"/>
    </xf>
    <xf numFmtId="166" fontId="45" fillId="0" borderId="6" xfId="19" applyFont="1" applyFill="1" applyBorder="1" applyAlignment="1">
      <alignment vertical="center"/>
    </xf>
    <xf numFmtId="0" fontId="7" fillId="0" borderId="25" xfId="7" applyFont="1" applyBorder="1" applyAlignment="1">
      <alignment vertical="center" wrapText="1"/>
    </xf>
    <xf numFmtId="0" fontId="7" fillId="0" borderId="26" xfId="7" applyFont="1" applyBorder="1" applyAlignment="1">
      <alignment vertical="center" wrapText="1"/>
    </xf>
    <xf numFmtId="0" fontId="0" fillId="0" borderId="27" xfId="0" applyFill="1" applyBorder="1" applyAlignment="1">
      <alignment vertical="center"/>
    </xf>
    <xf numFmtId="0" fontId="7" fillId="0" borderId="10" xfId="7" applyFont="1" applyBorder="1" applyAlignment="1">
      <alignment vertical="center" wrapText="1"/>
    </xf>
    <xf numFmtId="0" fontId="0" fillId="0" borderId="28" xfId="0" applyFill="1" applyBorder="1" applyAlignment="1">
      <alignment vertical="center"/>
    </xf>
    <xf numFmtId="0" fontId="7" fillId="0" borderId="29" xfId="7" applyFont="1" applyBorder="1" applyAlignment="1">
      <alignment vertical="center" wrapText="1"/>
    </xf>
    <xf numFmtId="0" fontId="0" fillId="0" borderId="30" xfId="0" applyFill="1" applyBorder="1" applyAlignment="1">
      <alignment vertical="center"/>
    </xf>
    <xf numFmtId="0" fontId="0" fillId="0" borderId="31" xfId="0" applyBorder="1" applyAlignment="1">
      <alignment vertical="center"/>
    </xf>
    <xf numFmtId="0" fontId="7" fillId="0" borderId="32" xfId="7" applyFont="1" applyBorder="1" applyAlignment="1">
      <alignment vertical="center" wrapText="1"/>
    </xf>
    <xf numFmtId="0" fontId="7" fillId="0" borderId="33" xfId="7" applyFont="1" applyBorder="1" applyAlignment="1">
      <alignment vertical="center" wrapText="1"/>
    </xf>
    <xf numFmtId="0" fontId="37" fillId="3" borderId="1" xfId="5" applyFont="1" applyAlignment="1">
      <alignment vertical="center"/>
    </xf>
    <xf numFmtId="0" fontId="0" fillId="0" borderId="0" xfId="0" applyFill="1" applyAlignment="1">
      <alignment vertical="center" wrapText="1"/>
    </xf>
    <xf numFmtId="173" fontId="10" fillId="0" borderId="6" xfId="20" applyNumberFormat="1" applyFont="1" applyFill="1" applyBorder="1" applyAlignment="1">
      <alignment vertical="center"/>
    </xf>
    <xf numFmtId="0" fontId="30" fillId="2" borderId="34" xfId="4" applyFont="1" applyBorder="1" applyAlignment="1">
      <alignment vertical="center"/>
    </xf>
    <xf numFmtId="0" fontId="30" fillId="2" borderId="35" xfId="4" applyFont="1" applyBorder="1" applyAlignment="1">
      <alignment vertical="center"/>
    </xf>
    <xf numFmtId="0" fontId="30" fillId="2" borderId="36" xfId="4" applyFont="1" applyBorder="1" applyAlignment="1">
      <alignment vertical="center"/>
    </xf>
    <xf numFmtId="0" fontId="30" fillId="2" borderId="0" xfId="4" applyFont="1" applyAlignment="1">
      <alignment horizontal="center" vertical="center"/>
    </xf>
    <xf numFmtId="166" fontId="0" fillId="0" borderId="22" xfId="19" applyFont="1" applyFill="1" applyBorder="1" applyAlignment="1">
      <alignment vertical="center"/>
    </xf>
    <xf numFmtId="166" fontId="0" fillId="0" borderId="37" xfId="19" applyFont="1" applyFill="1" applyBorder="1" applyAlignment="1">
      <alignment vertical="center"/>
    </xf>
    <xf numFmtId="166" fontId="10" fillId="0" borderId="38" xfId="19" applyFont="1" applyFill="1" applyBorder="1" applyAlignment="1">
      <alignment vertical="center"/>
    </xf>
    <xf numFmtId="166" fontId="10" fillId="0" borderId="5" xfId="19" applyFont="1" applyFill="1" applyBorder="1" applyAlignment="1">
      <alignment vertical="center"/>
    </xf>
    <xf numFmtId="166" fontId="44" fillId="0" borderId="38" xfId="19" applyFont="1" applyFill="1" applyBorder="1" applyAlignment="1">
      <alignment vertical="center"/>
    </xf>
    <xf numFmtId="172" fontId="10" fillId="0" borderId="16" xfId="22" applyNumberFormat="1" applyFont="1" applyBorder="1" applyAlignment="1">
      <alignment vertical="center"/>
    </xf>
    <xf numFmtId="171" fontId="10" fillId="0" borderId="0" xfId="58" applyNumberFormat="1" applyFont="1" applyFill="1" applyAlignment="1">
      <alignment vertical="center"/>
    </xf>
    <xf numFmtId="166" fontId="0" fillId="0" borderId="0" xfId="19" applyFont="1" applyFill="1" applyBorder="1" applyAlignment="1">
      <alignment vertical="center"/>
    </xf>
    <xf numFmtId="171" fontId="10" fillId="0" borderId="6" xfId="58" applyNumberFormat="1" applyFont="1" applyFill="1" applyBorder="1" applyAlignment="1">
      <alignment vertical="center"/>
    </xf>
    <xf numFmtId="166" fontId="10" fillId="0" borderId="6" xfId="19" applyFont="1" applyFill="1" applyBorder="1" applyAlignment="1">
      <alignment vertical="center"/>
    </xf>
    <xf numFmtId="0" fontId="0" fillId="0" borderId="9" xfId="0" applyFill="1" applyBorder="1" applyAlignment="1">
      <alignment vertical="center"/>
    </xf>
    <xf numFmtId="0" fontId="24" fillId="0" borderId="4" xfId="0" applyFont="1" applyFill="1" applyBorder="1" applyAlignment="1">
      <alignment vertical="center"/>
    </xf>
    <xf numFmtId="172" fontId="10" fillId="0" borderId="7" xfId="22" applyNumberFormat="1" applyFont="1" applyFill="1" applyBorder="1" applyAlignment="1">
      <alignment vertical="center"/>
    </xf>
    <xf numFmtId="166" fontId="27" fillId="0" borderId="39" xfId="19" applyFont="1" applyFill="1" applyBorder="1" applyAlignment="1">
      <alignment vertical="center"/>
    </xf>
    <xf numFmtId="0" fontId="30" fillId="2" borderId="12" xfId="4" applyFont="1" applyBorder="1" applyAlignment="1">
      <alignment horizontal="center" vertical="center"/>
    </xf>
    <xf numFmtId="0" fontId="30" fillId="2" borderId="4" xfId="4" applyFont="1" applyBorder="1" applyAlignment="1">
      <alignment horizontal="center" vertical="center"/>
    </xf>
    <xf numFmtId="0" fontId="11" fillId="0" borderId="0" xfId="27" applyAlignment="1">
      <alignment vertical="center"/>
    </xf>
    <xf numFmtId="0" fontId="0" fillId="0" borderId="0" xfId="0" applyAlignment="1">
      <alignment vertical="center"/>
    </xf>
    <xf numFmtId="0" fontId="10" fillId="0" borderId="0" xfId="0" applyFont="1" applyAlignment="1">
      <alignment vertical="center"/>
    </xf>
    <xf numFmtId="0" fontId="24" fillId="0" borderId="4" xfId="0" applyFont="1" applyBorder="1" applyAlignment="1">
      <alignment horizontal="left" vertical="center" wrapText="1"/>
    </xf>
    <xf numFmtId="0" fontId="24" fillId="0" borderId="4" xfId="0" applyFont="1" applyBorder="1" applyAlignment="1">
      <alignment vertical="center"/>
    </xf>
    <xf numFmtId="0" fontId="4" fillId="2" borderId="0" xfId="4" applyAlignment="1">
      <alignment vertical="center"/>
    </xf>
    <xf numFmtId="0" fontId="29" fillId="0" borderId="0" xfId="0" applyFont="1" applyAlignment="1">
      <alignment vertical="center"/>
    </xf>
    <xf numFmtId="166" fontId="10" fillId="0" borderId="22" xfId="19" applyFont="1" applyFill="1" applyBorder="1" applyAlignment="1">
      <alignment vertical="center"/>
    </xf>
    <xf numFmtId="166" fontId="10" fillId="0" borderId="0" xfId="19" applyFont="1" applyFill="1" applyBorder="1" applyAlignment="1">
      <alignment vertical="center"/>
    </xf>
    <xf numFmtId="172" fontId="10" fillId="0" borderId="38" xfId="22" applyNumberFormat="1" applyFont="1" applyFill="1" applyBorder="1" applyAlignment="1">
      <alignment vertical="center"/>
    </xf>
    <xf numFmtId="172" fontId="10" fillId="0" borderId="5" xfId="22" applyNumberFormat="1" applyFont="1" applyFill="1" applyBorder="1" applyAlignment="1">
      <alignment vertical="center"/>
    </xf>
    <xf numFmtId="172" fontId="44" fillId="0" borderId="38" xfId="22" applyNumberFormat="1" applyFont="1" applyFill="1" applyBorder="1" applyAlignment="1">
      <alignment vertical="center"/>
    </xf>
    <xf numFmtId="166" fontId="44" fillId="0" borderId="22" xfId="19" applyFont="1" applyFill="1" applyBorder="1" applyAlignment="1">
      <alignment vertical="center"/>
    </xf>
    <xf numFmtId="166" fontId="27" fillId="0" borderId="22" xfId="19" applyFont="1" applyFill="1" applyBorder="1" applyAlignment="1">
      <alignment vertical="center"/>
    </xf>
    <xf numFmtId="172" fontId="27" fillId="9" borderId="2" xfId="15" applyNumberFormat="1" applyFont="1" applyFill="1" applyAlignment="1" applyProtection="1">
      <alignment vertical="center"/>
      <protection locked="0"/>
    </xf>
    <xf numFmtId="166" fontId="10" fillId="0" borderId="40" xfId="19" applyFont="1" applyFill="1" applyBorder="1" applyAlignment="1">
      <alignment vertical="center"/>
    </xf>
    <xf numFmtId="172" fontId="10" fillId="0" borderId="3" xfId="22" applyNumberFormat="1" applyFont="1" applyFill="1" applyBorder="1" applyAlignment="1">
      <alignment vertical="center"/>
    </xf>
    <xf numFmtId="172" fontId="10" fillId="9" borderId="41" xfId="15" applyNumberFormat="1" applyFont="1" applyFill="1" applyBorder="1" applyAlignment="1" applyProtection="1">
      <alignment vertical="center"/>
      <protection locked="0"/>
    </xf>
    <xf numFmtId="172" fontId="27" fillId="0" borderId="26" xfId="22" applyNumberFormat="1" applyFont="1" applyFill="1" applyBorder="1" applyAlignment="1">
      <alignment vertical="center"/>
    </xf>
    <xf numFmtId="172" fontId="27" fillId="0" borderId="16" xfId="22" applyNumberFormat="1" applyFont="1" applyFill="1" applyBorder="1" applyAlignment="1">
      <alignment vertical="center"/>
    </xf>
    <xf numFmtId="172" fontId="10" fillId="0" borderId="0" xfId="22" applyNumberFormat="1" applyFont="1" applyAlignment="1">
      <alignment vertical="center"/>
    </xf>
    <xf numFmtId="0" fontId="10" fillId="0" borderId="0" xfId="0" applyFont="1" applyAlignment="1">
      <alignment horizontal="right" vertical="center"/>
    </xf>
    <xf numFmtId="172" fontId="10" fillId="0" borderId="11" xfId="22" applyNumberFormat="1" applyFont="1" applyBorder="1" applyAlignment="1">
      <alignment vertical="center"/>
    </xf>
    <xf numFmtId="0" fontId="19" fillId="0" borderId="0" xfId="0" applyFont="1" applyAlignment="1">
      <alignment horizontal="left" vertical="center"/>
    </xf>
    <xf numFmtId="166" fontId="10" fillId="0" borderId="9" xfId="0" applyNumberFormat="1" applyFont="1" applyBorder="1" applyAlignment="1">
      <alignment vertical="center"/>
    </xf>
    <xf numFmtId="0" fontId="19" fillId="0" borderId="6" xfId="0" applyFont="1" applyBorder="1" applyAlignment="1">
      <alignment horizontal="left" vertical="center"/>
    </xf>
    <xf numFmtId="166" fontId="0" fillId="0" borderId="0" xfId="19" applyNumberFormat="1" applyFont="1" applyFill="1" applyBorder="1" applyAlignment="1">
      <alignment vertical="center"/>
    </xf>
    <xf numFmtId="166" fontId="10" fillId="0" borderId="0" xfId="0" applyNumberFormat="1" applyFont="1" applyBorder="1" applyAlignment="1">
      <alignment vertical="center"/>
    </xf>
    <xf numFmtId="0" fontId="19" fillId="0" borderId="0" xfId="0" applyFont="1" applyBorder="1" applyAlignment="1">
      <alignment horizontal="left" vertical="center"/>
    </xf>
    <xf numFmtId="171" fontId="10" fillId="0" borderId="0" xfId="58" applyNumberFormat="1" applyFont="1" applyFill="1" applyBorder="1" applyAlignment="1">
      <alignment vertical="center"/>
    </xf>
    <xf numFmtId="172" fontId="0" fillId="0" borderId="0" xfId="22" applyNumberFormat="1" applyFont="1" applyFill="1" applyBorder="1" applyAlignment="1">
      <alignment vertical="center"/>
    </xf>
    <xf numFmtId="0" fontId="10" fillId="0" borderId="15" xfId="0" applyFont="1" applyBorder="1" applyAlignment="1">
      <alignment horizontal="center" vertical="center"/>
    </xf>
    <xf numFmtId="166" fontId="44" fillId="0" borderId="16" xfId="19" applyNumberFormat="1" applyFont="1" applyBorder="1" applyAlignment="1">
      <alignment vertical="center"/>
    </xf>
    <xf numFmtId="0" fontId="44" fillId="0" borderId="16" xfId="0" applyFont="1" applyBorder="1" applyAlignment="1">
      <alignment vertical="center" wrapText="1"/>
    </xf>
    <xf numFmtId="0" fontId="0" fillId="0" borderId="16" xfId="0" applyBorder="1" applyAlignment="1">
      <alignment vertical="center" wrapText="1"/>
    </xf>
    <xf numFmtId="172" fontId="8" fillId="0" borderId="0" xfId="22" applyNumberFormat="1" applyFont="1" applyBorder="1" applyAlignment="1">
      <alignment vertical="center"/>
    </xf>
    <xf numFmtId="172" fontId="8" fillId="0" borderId="0" xfId="22" applyNumberFormat="1" applyFont="1" applyAlignment="1">
      <alignment vertical="center"/>
    </xf>
    <xf numFmtId="172" fontId="24" fillId="0" borderId="6" xfId="22" applyNumberFormat="1" applyFont="1" applyBorder="1" applyAlignment="1">
      <alignment vertical="center"/>
    </xf>
    <xf numFmtId="172" fontId="45" fillId="0" borderId="16" xfId="22" applyNumberFormat="1" applyFont="1" applyBorder="1" applyAlignment="1">
      <alignment vertical="center"/>
    </xf>
    <xf numFmtId="0" fontId="10" fillId="0" borderId="16" xfId="0" applyFont="1" applyBorder="1" applyAlignment="1">
      <alignment vertical="center" wrapText="1"/>
    </xf>
    <xf numFmtId="0" fontId="46" fillId="0" borderId="4" xfId="0" applyFont="1" applyBorder="1" applyAlignment="1">
      <alignment horizontal="center" vertical="center" wrapText="1"/>
    </xf>
    <xf numFmtId="0" fontId="47" fillId="0" borderId="4" xfId="0" applyFont="1" applyBorder="1" applyAlignment="1">
      <alignment horizontal="center" vertical="center" wrapText="1"/>
    </xf>
    <xf numFmtId="0" fontId="47" fillId="0" borderId="4" xfId="0" applyFont="1" applyBorder="1" applyAlignment="1">
      <alignment horizontal="center" vertical="center"/>
    </xf>
    <xf numFmtId="0" fontId="47" fillId="0" borderId="12" xfId="0" applyFont="1" applyBorder="1" applyAlignment="1">
      <alignment horizontal="center" vertical="center" wrapText="1"/>
    </xf>
    <xf numFmtId="166" fontId="47" fillId="0" borderId="0" xfId="19" applyNumberFormat="1" applyFont="1" applyBorder="1" applyAlignment="1">
      <alignment vertical="center"/>
    </xf>
    <xf numFmtId="166" fontId="47" fillId="0" borderId="31" xfId="19" applyNumberFormat="1" applyFont="1" applyBorder="1" applyAlignment="1">
      <alignment vertical="center"/>
    </xf>
    <xf numFmtId="166" fontId="47" fillId="9" borderId="31" xfId="19" applyNumberFormat="1" applyFont="1" applyFill="1" applyBorder="1" applyAlignment="1">
      <alignment vertical="center"/>
    </xf>
    <xf numFmtId="166" fontId="48" fillId="0" borderId="0" xfId="19" applyNumberFormat="1" applyFont="1" applyBorder="1" applyAlignment="1">
      <alignment vertical="center"/>
    </xf>
    <xf numFmtId="166" fontId="48" fillId="0" borderId="31" xfId="19" applyNumberFormat="1" applyFont="1" applyBorder="1" applyAlignment="1">
      <alignment vertical="center"/>
    </xf>
    <xf numFmtId="166" fontId="49" fillId="0" borderId="42" xfId="19" applyNumberFormat="1" applyFont="1" applyBorder="1" applyAlignment="1">
      <alignment vertical="center"/>
    </xf>
    <xf numFmtId="166" fontId="49" fillId="0" borderId="26" xfId="19" applyNumberFormat="1" applyFont="1" applyBorder="1" applyAlignment="1">
      <alignment vertical="center"/>
    </xf>
    <xf numFmtId="166" fontId="49" fillId="0" borderId="3" xfId="19" applyNumberFormat="1" applyFont="1" applyBorder="1" applyAlignment="1">
      <alignment vertical="center"/>
    </xf>
    <xf numFmtId="166" fontId="48" fillId="9" borderId="31" xfId="19" applyNumberFormat="1" applyFont="1" applyFill="1" applyBorder="1" applyAlignment="1">
      <alignment vertical="center"/>
    </xf>
    <xf numFmtId="166" fontId="47" fillId="0" borderId="6" xfId="19" applyNumberFormat="1" applyFont="1" applyBorder="1" applyAlignment="1">
      <alignment vertical="center"/>
    </xf>
    <xf numFmtId="166" fontId="47" fillId="0" borderId="7" xfId="19" applyNumberFormat="1" applyFont="1" applyBorder="1" applyAlignment="1">
      <alignment vertical="center"/>
    </xf>
    <xf numFmtId="172" fontId="48" fillId="0" borderId="0" xfId="22" applyNumberFormat="1" applyFont="1" applyBorder="1" applyAlignment="1">
      <alignment vertical="center"/>
    </xf>
    <xf numFmtId="172" fontId="48" fillId="0" borderId="31" xfId="22" applyNumberFormat="1" applyFont="1" applyBorder="1" applyAlignment="1">
      <alignment vertical="center"/>
    </xf>
    <xf numFmtId="172" fontId="47" fillId="9" borderId="31" xfId="22" applyNumberFormat="1" applyFont="1" applyFill="1" applyBorder="1" applyAlignment="1">
      <alignment vertical="center"/>
    </xf>
    <xf numFmtId="172" fontId="49" fillId="0" borderId="42" xfId="22" applyNumberFormat="1" applyFont="1" applyBorder="1" applyAlignment="1">
      <alignment vertical="center"/>
    </xf>
    <xf numFmtId="172" fontId="49" fillId="0" borderId="3" xfId="22" applyNumberFormat="1" applyFont="1" applyBorder="1" applyAlignment="1">
      <alignment vertical="center"/>
    </xf>
    <xf numFmtId="172" fontId="48" fillId="9" borderId="31" xfId="22" applyNumberFormat="1" applyFont="1" applyFill="1" applyBorder="1" applyAlignment="1">
      <alignment vertical="center"/>
    </xf>
    <xf numFmtId="172" fontId="47" fillId="0" borderId="6" xfId="22" applyNumberFormat="1" applyFont="1" applyBorder="1" applyAlignment="1">
      <alignment vertical="center"/>
    </xf>
    <xf numFmtId="172" fontId="47" fillId="0" borderId="7" xfId="22" applyNumberFormat="1" applyFont="1" applyBorder="1" applyAlignment="1">
      <alignment vertical="center"/>
    </xf>
    <xf numFmtId="166" fontId="47" fillId="0" borderId="5" xfId="19" applyNumberFormat="1" applyFont="1" applyBorder="1" applyAlignment="1">
      <alignment vertical="center"/>
    </xf>
    <xf numFmtId="172" fontId="47" fillId="0" borderId="0" xfId="22" applyNumberFormat="1" applyFont="1" applyBorder="1" applyAlignment="1">
      <alignment vertical="center"/>
    </xf>
    <xf numFmtId="172" fontId="47" fillId="0" borderId="31" xfId="22" applyNumberFormat="1" applyFont="1" applyBorder="1" applyAlignment="1">
      <alignment vertical="center"/>
    </xf>
    <xf numFmtId="166" fontId="50" fillId="0" borderId="0" xfId="19" applyNumberFormat="1" applyFont="1" applyBorder="1" applyAlignment="1">
      <alignment vertical="center"/>
    </xf>
    <xf numFmtId="166" fontId="51" fillId="0" borderId="16" xfId="19" applyNumberFormat="1" applyFont="1" applyBorder="1" applyAlignment="1">
      <alignment vertical="center"/>
    </xf>
    <xf numFmtId="166" fontId="46" fillId="0" borderId="6" xfId="19" applyNumberFormat="1" applyFont="1" applyBorder="1" applyAlignment="1">
      <alignment vertical="center"/>
    </xf>
    <xf numFmtId="166" fontId="46" fillId="0" borderId="0" xfId="19" applyNumberFormat="1" applyFont="1" applyBorder="1" applyAlignment="1">
      <alignment vertical="center"/>
    </xf>
    <xf numFmtId="172" fontId="50" fillId="0" borderId="0" xfId="22" applyNumberFormat="1" applyFont="1" applyBorder="1" applyAlignment="1">
      <alignment vertical="center"/>
    </xf>
    <xf numFmtId="172" fontId="51" fillId="0" borderId="16" xfId="22" applyNumberFormat="1" applyFont="1" applyBorder="1" applyAlignment="1">
      <alignment vertical="center"/>
    </xf>
    <xf numFmtId="172" fontId="46" fillId="0" borderId="6" xfId="22" applyNumberFormat="1" applyFont="1" applyBorder="1" applyAlignment="1">
      <alignment vertical="center"/>
    </xf>
    <xf numFmtId="0" fontId="0" fillId="0" borderId="7" xfId="0" applyBorder="1" applyAlignment="1">
      <alignment vertical="center"/>
    </xf>
    <xf numFmtId="172" fontId="49" fillId="0" borderId="7" xfId="22" applyNumberFormat="1" applyFont="1" applyBorder="1" applyAlignment="1">
      <alignment vertical="center"/>
    </xf>
    <xf numFmtId="166" fontId="8" fillId="4" borderId="2" xfId="12" applyFont="1" applyAlignment="1" applyProtection="1">
      <alignment vertical="center"/>
      <protection locked="0"/>
    </xf>
    <xf numFmtId="166" fontId="8" fillId="4" borderId="2" xfId="12" applyNumberFormat="1" applyFont="1" applyAlignment="1" applyProtection="1">
      <alignment vertical="center"/>
      <protection locked="0"/>
    </xf>
    <xf numFmtId="166" fontId="8" fillId="4" borderId="2" xfId="12" applyNumberFormat="1" applyFont="1" applyAlignment="1" applyProtection="1">
      <alignment vertical="center"/>
      <protection locked="0"/>
    </xf>
    <xf numFmtId="166" fontId="8" fillId="4" borderId="2" xfId="12" applyFont="1" applyAlignment="1" applyProtection="1">
      <alignment vertical="center"/>
      <protection locked="0"/>
    </xf>
    <xf numFmtId="166" fontId="8" fillId="4" borderId="2" xfId="12" applyNumberFormat="1" applyFont="1" applyAlignment="1" applyProtection="1">
      <alignment vertical="center"/>
      <protection locked="0"/>
    </xf>
    <xf numFmtId="166" fontId="8" fillId="4" borderId="2" xfId="12" applyFont="1" applyAlignment="1" applyProtection="1">
      <alignment vertical="center"/>
      <protection locked="0"/>
    </xf>
    <xf numFmtId="166" fontId="8" fillId="4" borderId="2" xfId="12" applyNumberFormat="1" applyFont="1" applyAlignment="1" applyProtection="1">
      <alignment vertical="center"/>
      <protection locked="0"/>
    </xf>
    <xf numFmtId="166" fontId="8" fillId="4" borderId="2" xfId="12" applyNumberFormat="1" applyFont="1" applyAlignment="1" applyProtection="1">
      <alignment vertical="center"/>
      <protection locked="0"/>
    </xf>
    <xf numFmtId="166" fontId="8" fillId="4" borderId="2" xfId="12" applyFont="1" applyAlignment="1" applyProtection="1">
      <alignment vertical="center"/>
      <protection locked="0"/>
    </xf>
    <xf numFmtId="166" fontId="8" fillId="4" borderId="2" xfId="12" applyFont="1" applyAlignment="1" applyProtection="1">
      <alignment vertical="center"/>
      <protection locked="0"/>
    </xf>
    <xf numFmtId="166" fontId="0" fillId="0" borderId="0" xfId="0" applyNumberFormat="1" applyAlignment="1">
      <alignment vertical="center"/>
    </xf>
    <xf numFmtId="166" fontId="56" fillId="0" borderId="0" xfId="19" applyBorder="1" applyAlignment="1">
      <alignment vertical="center"/>
    </xf>
    <xf numFmtId="166" fontId="0" fillId="0" borderId="9" xfId="19" applyFont="1" applyBorder="1" applyAlignment="1">
      <alignment horizontal="center" vertical="center"/>
    </xf>
    <xf numFmtId="166" fontId="0" fillId="0" borderId="0" xfId="19" applyFont="1" applyAlignment="1">
      <alignment horizontal="center" vertical="center"/>
    </xf>
    <xf numFmtId="166" fontId="10" fillId="0" borderId="43" xfId="19" applyFont="1" applyBorder="1" applyAlignment="1">
      <alignment horizontal="center" vertical="center"/>
    </xf>
    <xf numFmtId="166" fontId="10" fillId="0" borderId="13" xfId="19" applyFont="1" applyBorder="1" applyAlignment="1">
      <alignment horizontal="center" vertical="center"/>
    </xf>
    <xf numFmtId="172" fontId="10" fillId="0" borderId="7" xfId="22" applyNumberFormat="1" applyFont="1" applyBorder="1" applyAlignment="1">
      <alignment horizontal="center" vertical="center"/>
    </xf>
    <xf numFmtId="172" fontId="0" fillId="0" borderId="0" xfId="22" applyNumberFormat="1" applyFont="1" applyAlignment="1">
      <alignment horizontal="center" vertical="center"/>
    </xf>
    <xf numFmtId="172" fontId="10" fillId="0" borderId="9" xfId="22" applyNumberFormat="1" applyFont="1" applyBorder="1" applyAlignment="1">
      <alignment horizontal="center" vertical="center"/>
    </xf>
    <xf numFmtId="172" fontId="10" fillId="0" borderId="43" xfId="22" applyNumberFormat="1" applyFont="1" applyBorder="1" applyAlignment="1">
      <alignment horizontal="center" vertical="center"/>
    </xf>
    <xf numFmtId="172" fontId="10" fillId="0" borderId="13" xfId="22" applyNumberFormat="1" applyFont="1" applyBorder="1" applyAlignment="1">
      <alignment horizontal="center" vertical="center"/>
    </xf>
    <xf numFmtId="166" fontId="10" fillId="9" borderId="9" xfId="19" applyFont="1" applyFill="1" applyBorder="1" applyAlignment="1">
      <alignment vertical="center"/>
    </xf>
    <xf numFmtId="166" fontId="10" fillId="0" borderId="12" xfId="19" applyNumberFormat="1" applyFont="1" applyFill="1" applyBorder="1" applyAlignment="1">
      <alignment vertical="center"/>
    </xf>
    <xf numFmtId="0" fontId="10" fillId="0" borderId="16" xfId="58" applyNumberFormat="1" applyFont="1" applyFill="1" applyBorder="1" applyAlignment="1">
      <alignment vertical="center"/>
    </xf>
    <xf numFmtId="0" fontId="11" fillId="0" borderId="0" xfId="27" applyAlignment="1">
      <alignment vertical="center"/>
    </xf>
    <xf numFmtId="0" fontId="4" fillId="2" borderId="0" xfId="4" applyAlignment="1">
      <alignment horizontal="left" vertical="center"/>
    </xf>
    <xf numFmtId="166" fontId="10" fillId="0" borderId="3" xfId="19" applyFont="1" applyFill="1" applyBorder="1" applyAlignment="1">
      <alignment vertical="center"/>
    </xf>
    <xf numFmtId="0" fontId="11" fillId="0" borderId="0" xfId="49" applyAlignment="1">
      <alignment vertical="center"/>
    </xf>
    <xf numFmtId="0" fontId="12" fillId="0" borderId="0" xfId="28" quotePrefix="1" applyAlignment="1">
      <alignment horizontal="left" vertical="center"/>
    </xf>
    <xf numFmtId="0" fontId="12" fillId="0" borderId="0" xfId="28" quotePrefix="1" applyAlignment="1">
      <alignment horizontal="right" vertical="center"/>
    </xf>
    <xf numFmtId="172" fontId="52" fillId="0" borderId="9" xfId="22" applyNumberFormat="1" applyFont="1" applyFill="1" applyBorder="1" applyAlignment="1">
      <alignment vertical="center"/>
    </xf>
    <xf numFmtId="172" fontId="53" fillId="0" borderId="0" xfId="22" applyNumberFormat="1" applyFont="1" applyFill="1" applyBorder="1" applyAlignment="1">
      <alignment vertical="center"/>
    </xf>
    <xf numFmtId="0" fontId="4" fillId="2" borderId="0" xfId="4" applyBorder="1" applyAlignment="1">
      <alignment vertical="center"/>
    </xf>
    <xf numFmtId="183" fontId="0" fillId="0" borderId="0" xfId="0" applyNumberFormat="1" applyAlignment="1">
      <alignment vertical="center"/>
    </xf>
    <xf numFmtId="183" fontId="10" fillId="0" borderId="6" xfId="0" applyNumberFormat="1" applyFont="1" applyBorder="1" applyAlignment="1">
      <alignment vertical="center"/>
    </xf>
    <xf numFmtId="0" fontId="54" fillId="14" borderId="4" xfId="0" applyFont="1" applyFill="1" applyBorder="1" applyAlignment="1">
      <alignment horizontal="center" vertical="center"/>
    </xf>
    <xf numFmtId="0" fontId="7" fillId="0" borderId="14" xfId="7" applyFont="1" applyBorder="1" applyAlignment="1">
      <alignment vertical="center" wrapText="1"/>
    </xf>
    <xf numFmtId="0" fontId="0" fillId="0" borderId="44" xfId="0" applyFill="1" applyBorder="1" applyAlignment="1">
      <alignment vertical="center"/>
    </xf>
    <xf numFmtId="0" fontId="30" fillId="2" borderId="0" xfId="4" applyFont="1" applyBorder="1" applyAlignment="1">
      <alignment vertical="center"/>
    </xf>
    <xf numFmtId="174" fontId="10" fillId="0" borderId="9" xfId="19" applyNumberFormat="1" applyFont="1" applyFill="1" applyBorder="1" applyAlignment="1">
      <alignment horizontal="right" vertical="center"/>
    </xf>
    <xf numFmtId="174" fontId="10" fillId="0" borderId="0" xfId="19" applyNumberFormat="1" applyFont="1" applyFill="1" applyBorder="1" applyAlignment="1">
      <alignment horizontal="right" vertical="center"/>
    </xf>
    <xf numFmtId="0" fontId="55" fillId="0" borderId="0" xfId="0" applyFont="1" applyAlignment="1">
      <alignment vertical="top"/>
    </xf>
    <xf numFmtId="0" fontId="59" fillId="2" borderId="0" xfId="4" applyFont="1" applyAlignment="1">
      <alignment vertical="center"/>
    </xf>
    <xf numFmtId="0" fontId="57" fillId="2" borderId="0" xfId="4" applyFont="1" applyBorder="1" applyAlignment="1">
      <alignment vertical="center"/>
    </xf>
    <xf numFmtId="0" fontId="4" fillId="2" borderId="0" xfId="4" applyAlignment="1">
      <alignment horizontal="left" vertical="center" wrapText="1"/>
    </xf>
    <xf numFmtId="0" fontId="14" fillId="0" borderId="0" xfId="32" quotePrefix="1" applyAlignment="1">
      <alignment horizontal="right" vertical="center"/>
    </xf>
    <xf numFmtId="0" fontId="14" fillId="0" borderId="0" xfId="32" applyAlignment="1">
      <alignment vertical="center"/>
    </xf>
    <xf numFmtId="0" fontId="14" fillId="0" borderId="0" xfId="32" quotePrefix="1" applyAlignment="1">
      <alignment vertical="center"/>
    </xf>
    <xf numFmtId="0" fontId="11" fillId="0" borderId="0" xfId="27" quotePrefix="1" applyAlignment="1">
      <alignment vertical="center"/>
    </xf>
    <xf numFmtId="170" fontId="13" fillId="0" borderId="0" xfId="30" applyNumberFormat="1" applyAlignment="1">
      <alignment horizontal="right" vertical="center"/>
    </xf>
    <xf numFmtId="0" fontId="13" fillId="0" borderId="0" xfId="30" applyAlignment="1">
      <alignment vertical="center"/>
    </xf>
    <xf numFmtId="0" fontId="11" fillId="0" borderId="0" xfId="27" applyAlignment="1">
      <alignment vertical="center"/>
    </xf>
    <xf numFmtId="0" fontId="4" fillId="2" borderId="0" xfId="4" applyAlignment="1">
      <alignment horizontal="center" vertical="center"/>
    </xf>
    <xf numFmtId="0" fontId="8" fillId="4" borderId="45" xfId="9" applyFont="1" applyBorder="1" applyAlignment="1" applyProtection="1">
      <alignment horizontal="center" vertical="center" wrapText="1"/>
      <protection locked="0"/>
    </xf>
    <xf numFmtId="0" fontId="8" fillId="4" borderId="46" xfId="9" applyFont="1" applyBorder="1" applyAlignment="1" applyProtection="1">
      <alignment horizontal="center" vertical="center" wrapText="1"/>
      <protection locked="0"/>
    </xf>
    <xf numFmtId="0" fontId="8" fillId="4" borderId="20" xfId="9" applyFont="1" applyBorder="1" applyAlignment="1" applyProtection="1">
      <alignment horizontal="center" vertical="center" wrapText="1"/>
      <protection locked="0"/>
    </xf>
    <xf numFmtId="0" fontId="17" fillId="0" borderId="0" xfId="7" applyFont="1" applyAlignment="1">
      <alignment horizontal="left" vertical="top" wrapText="1"/>
    </xf>
    <xf numFmtId="0" fontId="8" fillId="4" borderId="2" xfId="9" applyAlignment="1" applyProtection="1">
      <alignment horizontal="left" vertical="center" indent="2"/>
      <protection locked="0"/>
    </xf>
    <xf numFmtId="0" fontId="17" fillId="0" borderId="0" xfId="7" applyFont="1" applyAlignment="1">
      <alignment horizontal="left" vertical="top" wrapText="1" indent="2"/>
    </xf>
    <xf numFmtId="0" fontId="2" fillId="0" borderId="0" xfId="1" applyAlignment="1">
      <alignment horizontal="center" vertical="center"/>
    </xf>
    <xf numFmtId="166" fontId="8" fillId="4" borderId="2" xfId="12" applyNumberFormat="1" applyFont="1" applyAlignment="1" applyProtection="1">
      <alignment horizontal="center" vertical="center"/>
      <protection locked="0"/>
    </xf>
    <xf numFmtId="165" fontId="0" fillId="0" borderId="47" xfId="18" applyFont="1" applyBorder="1" applyAlignment="1">
      <alignment horizontal="center" vertical="center"/>
    </xf>
    <xf numFmtId="165" fontId="0" fillId="0" borderId="0" xfId="18" applyFont="1" applyAlignment="1">
      <alignment horizontal="center" vertical="center"/>
    </xf>
    <xf numFmtId="166" fontId="0" fillId="0" borderId="0" xfId="19" applyNumberFormat="1" applyFont="1" applyAlignment="1">
      <alignment horizontal="center" vertical="center"/>
    </xf>
    <xf numFmtId="0" fontId="17" fillId="0" borderId="0" xfId="7" applyFont="1" applyAlignment="1">
      <alignment horizontal="center" vertical="center"/>
    </xf>
    <xf numFmtId="164" fontId="0" fillId="0" borderId="2" xfId="17" applyFont="1" applyFill="1" applyBorder="1" applyAlignment="1">
      <alignment vertical="center"/>
    </xf>
    <xf numFmtId="0" fontId="8" fillId="4" borderId="18" xfId="9" applyFont="1" applyBorder="1" applyAlignment="1" applyProtection="1">
      <alignment horizontal="center" vertical="center" wrapText="1"/>
      <protection locked="0"/>
    </xf>
    <xf numFmtId="0" fontId="8" fillId="4" borderId="48" xfId="9" applyFont="1" applyBorder="1" applyAlignment="1" applyProtection="1">
      <alignment horizontal="center" vertical="center" wrapText="1"/>
      <protection locked="0"/>
    </xf>
    <xf numFmtId="0" fontId="8" fillId="4" borderId="23" xfId="9" applyFont="1" applyBorder="1" applyAlignment="1" applyProtection="1">
      <alignment horizontal="center" vertical="center" wrapText="1"/>
      <protection locked="0"/>
    </xf>
    <xf numFmtId="0" fontId="6" fillId="0" borderId="34" xfId="7" applyFont="1" applyBorder="1" applyAlignment="1">
      <alignment vertical="center" wrapText="1"/>
    </xf>
    <xf numFmtId="0" fontId="6" fillId="0" borderId="49" xfId="7" applyFont="1" applyBorder="1" applyAlignment="1">
      <alignment vertical="center" wrapText="1"/>
    </xf>
    <xf numFmtId="0" fontId="6" fillId="0" borderId="50" xfId="7" applyFont="1" applyBorder="1" applyAlignment="1">
      <alignment vertical="center" wrapText="1"/>
    </xf>
    <xf numFmtId="0" fontId="6" fillId="0" borderId="51" xfId="7" applyFont="1" applyBorder="1" applyAlignment="1">
      <alignment vertical="center" wrapText="1"/>
    </xf>
    <xf numFmtId="0" fontId="6" fillId="0" borderId="25" xfId="7" applyFont="1" applyBorder="1" applyAlignment="1">
      <alignment vertical="center" wrapText="1"/>
    </xf>
    <xf numFmtId="0" fontId="6" fillId="0" borderId="26" xfId="7" applyFont="1" applyBorder="1" applyAlignment="1">
      <alignment vertical="center" wrapText="1"/>
    </xf>
    <xf numFmtId="0" fontId="5" fillId="3" borderId="1" xfId="5" applyAlignment="1">
      <alignment vertical="center"/>
    </xf>
  </cellXfs>
  <cellStyles count="68">
    <cellStyle name="Assumption Currency." xfId="15" xr:uid="{00000000-0005-0000-0000-000000000000}"/>
    <cellStyle name="Assumption Date." xfId="11" xr:uid="{00000000-0005-0000-0000-000001000000}"/>
    <cellStyle name="Assumption Heading." xfId="9" xr:uid="{00000000-0005-0000-0000-000002000000}"/>
    <cellStyle name="Assumption Multiple." xfId="14" xr:uid="{00000000-0005-0000-0000-000003000000}"/>
    <cellStyle name="Assumption Number." xfId="12" xr:uid="{00000000-0005-0000-0000-000004000000}"/>
    <cellStyle name="Assumption Percentage." xfId="13" xr:uid="{00000000-0005-0000-0000-000005000000}"/>
    <cellStyle name="Assumption Year." xfId="10" xr:uid="{00000000-0005-0000-0000-000006000000}"/>
    <cellStyle name="Bad" xfId="64" builtinId="27"/>
    <cellStyle name="Cell Link." xfId="16" xr:uid="{00000000-0005-0000-0000-000008000000}"/>
    <cellStyle name="Cell Link. 2" xfId="66" xr:uid="{00000000-0005-0000-0000-000009000000}"/>
    <cellStyle name="Comma" xfId="59" builtinId="3"/>
    <cellStyle name="Currency" xfId="61" builtinId="4"/>
    <cellStyle name="Currency." xfId="22" xr:uid="{00000000-0005-0000-0000-00000A000000}"/>
    <cellStyle name="Date." xfId="18" xr:uid="{00000000-0005-0000-0000-00000B000000}"/>
    <cellStyle name="Good" xfId="63" builtinId="26"/>
    <cellStyle name="Heading 1." xfId="4" xr:uid="{00000000-0005-0000-0000-00000C000000}"/>
    <cellStyle name="Heading 2." xfId="5" xr:uid="{00000000-0005-0000-0000-00000D000000}"/>
    <cellStyle name="Heading 3." xfId="6" xr:uid="{00000000-0005-0000-0000-00000E000000}"/>
    <cellStyle name="Heading 4." xfId="7" xr:uid="{00000000-0005-0000-0000-00000F000000}"/>
    <cellStyle name="Hyperlink" xfId="57" builtinId="8"/>
    <cellStyle name="Hyperlink Arrow." xfId="28" xr:uid="{00000000-0005-0000-0000-000011000000}"/>
    <cellStyle name="Hyperlink Check." xfId="29" xr:uid="{00000000-0005-0000-0000-000012000000}"/>
    <cellStyle name="Hyperlink Text." xfId="27" xr:uid="{00000000-0005-0000-0000-000013000000}"/>
    <cellStyle name="Hyperlink TOC 1." xfId="30" xr:uid="{00000000-0005-0000-0000-000014000000}"/>
    <cellStyle name="Hyperlink TOC 2." xfId="31" xr:uid="{00000000-0005-0000-0000-000015000000}"/>
    <cellStyle name="Hyperlink TOC 3." xfId="32" xr:uid="{00000000-0005-0000-0000-000016000000}"/>
    <cellStyle name="Hyperlink TOC 4." xfId="33" xr:uid="{00000000-0005-0000-0000-000017000000}"/>
    <cellStyle name="Lookup Table Heading." xfId="24" xr:uid="{00000000-0005-0000-0000-000019000000}"/>
    <cellStyle name="Lookup Table Label." xfId="26" xr:uid="{00000000-0005-0000-0000-00001A000000}"/>
    <cellStyle name="Lookup Table Number." xfId="25" xr:uid="{00000000-0005-0000-0000-00001B000000}"/>
    <cellStyle name="Milliers [0] 2" xfId="60" xr:uid="{00000000-0005-0000-0000-00001D000000}"/>
    <cellStyle name="Model Name." xfId="3" xr:uid="{00000000-0005-0000-0000-00001E000000}"/>
    <cellStyle name="Multiple." xfId="21" xr:uid="{00000000-0005-0000-0000-000020000000}"/>
    <cellStyle name="Neutral" xfId="65" builtinId="28"/>
    <cellStyle name="Normal" xfId="0" builtinId="0"/>
    <cellStyle name="Normal 2" xfId="62" xr:uid="{00000000-0005-0000-0000-000023000000}"/>
    <cellStyle name="Normal 2 2" xfId="67" xr:uid="{00000000-0005-0000-0000-000024000000}"/>
    <cellStyle name="Number." xfId="19" xr:uid="{00000000-0005-0000-0000-000025000000}"/>
    <cellStyle name="Percent" xfId="58" builtinId="5"/>
    <cellStyle name="Percentage." xfId="20" xr:uid="{00000000-0005-0000-0000-000026000000}"/>
    <cellStyle name="Period Title." xfId="23" xr:uid="{00000000-0005-0000-0000-000027000000}"/>
    <cellStyle name="Presentation Currency." xfId="45" xr:uid="{00000000-0005-0000-0000-000029000000}"/>
    <cellStyle name="Presentation Date." xfId="47" xr:uid="{00000000-0005-0000-0000-00002A000000}"/>
    <cellStyle name="Presentation Heading 1." xfId="37" xr:uid="{00000000-0005-0000-0000-00002B000000}"/>
    <cellStyle name="Presentation Heading 2." xfId="38" xr:uid="{00000000-0005-0000-0000-00002C000000}"/>
    <cellStyle name="Presentation Heading 3." xfId="39" xr:uid="{00000000-0005-0000-0000-00002D000000}"/>
    <cellStyle name="Presentation Heading 4." xfId="40" xr:uid="{00000000-0005-0000-0000-00002E000000}"/>
    <cellStyle name="Presentation Hyperlink Arrow." xfId="50" xr:uid="{00000000-0005-0000-0000-00002F000000}"/>
    <cellStyle name="Presentation Hyperlink Check." xfId="51" xr:uid="{00000000-0005-0000-0000-000030000000}"/>
    <cellStyle name="Presentation Hyperlink Text." xfId="49" xr:uid="{00000000-0005-0000-0000-000031000000}"/>
    <cellStyle name="Presentation Model Name." xfId="36" xr:uid="{00000000-0005-0000-0000-000032000000}"/>
    <cellStyle name="Presentation Multiple." xfId="44" xr:uid="{00000000-0005-0000-0000-000033000000}"/>
    <cellStyle name="Presentation Normal." xfId="56" xr:uid="{00000000-0005-0000-0000-000034000000}"/>
    <cellStyle name="Presentation Number." xfId="42" xr:uid="{00000000-0005-0000-0000-000035000000}"/>
    <cellStyle name="Presentation Percentage." xfId="43" xr:uid="{00000000-0005-0000-0000-000036000000}"/>
    <cellStyle name="Presentation Period Title." xfId="48" xr:uid="{00000000-0005-0000-0000-000037000000}"/>
    <cellStyle name="Presentation Section Number." xfId="35" xr:uid="{00000000-0005-0000-0000-000038000000}"/>
    <cellStyle name="Presentation Sheet Title." xfId="34" xr:uid="{00000000-0005-0000-0000-000039000000}"/>
    <cellStyle name="Presentation Sub Total." xfId="41" xr:uid="{00000000-0005-0000-0000-00003A000000}"/>
    <cellStyle name="Presentation TOC 1." xfId="52" xr:uid="{00000000-0005-0000-0000-00003B000000}"/>
    <cellStyle name="Presentation TOC 2." xfId="53" xr:uid="{00000000-0005-0000-0000-00003C000000}"/>
    <cellStyle name="Presentation TOC 3." xfId="54" xr:uid="{00000000-0005-0000-0000-00003D000000}"/>
    <cellStyle name="Presentation TOC 4." xfId="55" xr:uid="{00000000-0005-0000-0000-00003E000000}"/>
    <cellStyle name="Presentation Year." xfId="46" xr:uid="{00000000-0005-0000-0000-00003F000000}"/>
    <cellStyle name="Section Number." xfId="2" xr:uid="{00000000-0005-0000-0000-000040000000}"/>
    <cellStyle name="Sheet Title." xfId="1" xr:uid="{00000000-0005-0000-0000-000041000000}"/>
    <cellStyle name="Sub Total." xfId="8" xr:uid="{00000000-0005-0000-0000-000042000000}"/>
    <cellStyle name="Year." xfId="17" xr:uid="{00000000-0005-0000-0000-000043000000}"/>
  </cellStyles>
  <dxfs count="96">
    <dxf>
      <font>
        <b/>
        <i val="0"/>
        <color indexed="58"/>
      </font>
    </dxf>
    <dxf>
      <font>
        <b/>
        <i val="0"/>
        <color indexed="58"/>
      </font>
    </dxf>
    <dxf>
      <font>
        <b/>
        <i val="0"/>
        <color indexed="58"/>
      </font>
    </dxf>
    <dxf>
      <font>
        <color rgb="FF9C0006"/>
      </font>
      <fill>
        <patternFill>
          <bgColor rgb="FFFFC7CE"/>
        </patternFill>
      </fill>
    </dxf>
    <dxf>
      <fill>
        <patternFill>
          <bgColor theme="9" tint="0.59993285927915285"/>
        </patternFill>
      </fill>
    </dxf>
    <dxf>
      <font>
        <color rgb="FF9C0006"/>
      </font>
      <fill>
        <patternFill>
          <bgColor rgb="FFFFC7CE"/>
        </patternFill>
      </fill>
    </dxf>
    <dxf>
      <fill>
        <patternFill>
          <bgColor theme="7" tint="0.59993285927915285"/>
        </patternFill>
      </fill>
    </dxf>
    <dxf>
      <font>
        <color rgb="FF9C0006"/>
      </font>
      <fill>
        <patternFill>
          <bgColor rgb="FFFFC7CE"/>
        </patternFill>
      </fill>
    </dxf>
    <dxf>
      <fill>
        <patternFill>
          <bgColor theme="7" tint="0.59993285927915285"/>
        </patternFill>
      </fill>
    </dxf>
    <dxf>
      <fill>
        <patternFill>
          <bgColor theme="9" tint="0.59993285927915285"/>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59993285927915285"/>
        </patternFill>
      </fill>
    </dxf>
    <dxf>
      <fill>
        <patternFill>
          <bgColor theme="9" tint="0.59993285927915285"/>
        </patternFill>
      </fill>
    </dxf>
    <dxf>
      <fill>
        <patternFill>
          <bgColor theme="9" tint="0.59993285927915285"/>
        </patternFill>
      </fill>
    </dxf>
    <dxf>
      <font>
        <color rgb="FF9C0006"/>
      </font>
      <fill>
        <patternFill>
          <bgColor rgb="FFFFC7CE"/>
        </patternFill>
      </fill>
    </dxf>
    <dxf>
      <fill>
        <patternFill>
          <bgColor theme="7" tint="0.59993285927915285"/>
        </patternFill>
      </fill>
    </dxf>
    <dxf>
      <font>
        <color rgb="FF9C0006"/>
      </font>
      <fill>
        <patternFill>
          <bgColor rgb="FFFFC7CE"/>
        </patternFill>
      </fill>
    </dxf>
    <dxf>
      <font>
        <color rgb="FF9C0006"/>
      </font>
      <fill>
        <patternFill>
          <bgColor rgb="FFFFC7CE"/>
        </patternFill>
      </fill>
    </dxf>
    <dxf>
      <fill>
        <patternFill>
          <bgColor theme="7" tint="0.59993285927915285"/>
        </patternFill>
      </fill>
    </dxf>
    <dxf>
      <fill>
        <patternFill>
          <bgColor theme="9" tint="0.59993285927915285"/>
        </patternFill>
      </fill>
    </dxf>
    <dxf>
      <fill>
        <patternFill>
          <bgColor theme="9" tint="0.59993285927915285"/>
        </patternFill>
      </fill>
    </dxf>
    <dxf>
      <font>
        <color rgb="FF9C0006"/>
      </font>
      <fill>
        <patternFill>
          <bgColor rgb="FFFFC7CE"/>
        </patternFill>
      </fill>
    </dxf>
    <dxf>
      <fill>
        <patternFill>
          <bgColor theme="7" tint="0.59993285927915285"/>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ill>
        <patternFill>
          <bgColor theme="7" tint="0.59993285927915285"/>
        </patternFill>
      </fill>
    </dxf>
    <dxf>
      <fill>
        <patternFill>
          <bgColor theme="9" tint="0.59993285927915285"/>
        </patternFill>
      </fill>
    </dxf>
    <dxf>
      <fill>
        <patternFill>
          <bgColor theme="9" tint="0.59993285927915285"/>
        </patternFill>
      </fill>
    </dxf>
    <dxf>
      <font>
        <color rgb="FF9C0006"/>
      </font>
      <fill>
        <patternFill>
          <bgColor rgb="FFFFC7CE"/>
        </patternFill>
      </fill>
    </dxf>
    <dxf>
      <fill>
        <patternFill>
          <bgColor theme="7" tint="0.599932859279152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59993285927915285"/>
        </patternFill>
      </fill>
    </dxf>
    <dxf>
      <fill>
        <patternFill>
          <bgColor theme="9" tint="0.59993285927915285"/>
        </patternFill>
      </fill>
    </dxf>
    <dxf>
      <fill>
        <patternFill>
          <bgColor theme="9" tint="0.59993285927915285"/>
        </patternFill>
      </fill>
    </dxf>
    <dxf>
      <font>
        <color rgb="FF9C0006"/>
      </font>
      <fill>
        <patternFill>
          <bgColor rgb="FFFFC7CE"/>
        </patternFill>
      </fill>
    </dxf>
    <dxf>
      <fill>
        <patternFill>
          <bgColor theme="7" tint="0.59993285927915285"/>
        </patternFill>
      </fill>
    </dxf>
    <dxf>
      <font>
        <color rgb="FF9C0006"/>
      </font>
      <fill>
        <patternFill>
          <bgColor rgb="FFFFC7CE"/>
        </patternFill>
      </fill>
    </dxf>
    <dxf>
      <font>
        <color rgb="FF9C0006"/>
      </font>
      <fill>
        <patternFill>
          <bgColor rgb="FFFFC7CE"/>
        </patternFill>
      </fill>
    </dxf>
    <dxf>
      <fill>
        <patternFill>
          <bgColor theme="7" tint="0.59993285927915285"/>
        </patternFill>
      </fill>
    </dxf>
    <dxf>
      <fill>
        <patternFill>
          <bgColor theme="9" tint="0.59993285927915285"/>
        </patternFill>
      </fill>
    </dxf>
    <dxf>
      <fill>
        <patternFill>
          <bgColor theme="9" tint="0.59993285927915285"/>
        </patternFill>
      </fill>
    </dxf>
    <dxf>
      <font>
        <color rgb="FF9C0006"/>
      </font>
      <fill>
        <patternFill>
          <bgColor rgb="FFFFC7CE"/>
        </patternFill>
      </fill>
    </dxf>
    <dxf>
      <fill>
        <patternFill>
          <bgColor theme="7" tint="0.59993285927915285"/>
        </patternFill>
      </fill>
    </dxf>
    <dxf>
      <font>
        <color rgb="FF9C0006"/>
      </font>
      <fill>
        <patternFill>
          <bgColor rgb="FFFFC7CE"/>
        </patternFill>
      </fill>
    </dxf>
    <dxf>
      <fill>
        <patternFill>
          <bgColor theme="7" tint="0.59993285927915285"/>
        </patternFill>
      </fill>
    </dxf>
    <dxf>
      <fill>
        <patternFill>
          <bgColor theme="9" tint="0.59993285927915285"/>
        </patternFill>
      </fill>
    </dxf>
    <dxf>
      <fill>
        <patternFill>
          <bgColor theme="9" tint="0.59993285927915285"/>
        </patternFill>
      </fill>
    </dxf>
    <dxf>
      <font>
        <color rgb="FF9C0006"/>
      </font>
      <fill>
        <patternFill>
          <bgColor rgb="FFFFC7CE"/>
        </patternFill>
      </fill>
    </dxf>
    <dxf>
      <fill>
        <patternFill>
          <bgColor theme="7" tint="0.59993285927915285"/>
        </patternFill>
      </fill>
    </dxf>
    <dxf>
      <font>
        <color rgb="FF9C0006"/>
      </font>
      <fill>
        <patternFill>
          <bgColor rgb="FFFFC7CE"/>
        </patternFill>
      </fill>
    </dxf>
    <dxf>
      <fill>
        <patternFill>
          <bgColor theme="7" tint="0.59993285927915285"/>
        </patternFill>
      </fill>
    </dxf>
    <dxf>
      <fill>
        <patternFill>
          <bgColor theme="9" tint="0.59993285927915285"/>
        </patternFill>
      </fill>
    </dxf>
    <dxf>
      <fill>
        <patternFill>
          <bgColor theme="9" tint="0.59993285927915285"/>
        </patternFill>
      </fill>
    </dxf>
    <dxf>
      <font>
        <color rgb="FF9C0006"/>
      </font>
      <fill>
        <patternFill>
          <bgColor rgb="FFFFC7CE"/>
        </patternFill>
      </fill>
    </dxf>
    <dxf>
      <fill>
        <patternFill>
          <bgColor theme="7" tint="0.59993285927915285"/>
        </patternFill>
      </fill>
    </dxf>
    <dxf>
      <font>
        <color rgb="FF9C0006"/>
      </font>
      <fill>
        <patternFill>
          <bgColor rgb="FFFFC7CE"/>
        </patternFill>
      </fill>
    </dxf>
    <dxf>
      <fill>
        <patternFill>
          <bgColor theme="7" tint="0.59993285927915285"/>
        </patternFill>
      </fill>
    </dxf>
    <dxf>
      <fill>
        <patternFill>
          <bgColor theme="9" tint="0.59993285927915285"/>
        </patternFill>
      </fill>
    </dxf>
    <dxf>
      <fill>
        <patternFill>
          <bgColor theme="9" tint="0.59993285927915285"/>
        </patternFill>
      </fill>
    </dxf>
    <dxf>
      <font>
        <color rgb="FF9C0006"/>
      </font>
      <fill>
        <patternFill>
          <bgColor rgb="FFFFC7CE"/>
        </patternFill>
      </fill>
    </dxf>
    <dxf>
      <fill>
        <patternFill>
          <bgColor theme="7" tint="0.59993285927915285"/>
        </patternFill>
      </fill>
    </dxf>
    <dxf>
      <fill>
        <patternFill>
          <bgColor rgb="FFFFCCFF"/>
        </patternFill>
      </fill>
    </dxf>
    <dxf>
      <fill>
        <patternFill>
          <bgColor rgb="FFFFCCFF"/>
        </patternFill>
      </fill>
    </dxf>
    <dxf>
      <fill>
        <patternFill>
          <bgColor rgb="FFFFCCFF"/>
        </patternFill>
      </fill>
    </dxf>
    <dxf>
      <fill>
        <patternFill>
          <bgColor theme="9" tint="0.39994506668294322"/>
        </patternFill>
      </fill>
    </dxf>
    <dxf>
      <font>
        <color rgb="FF9C0006"/>
      </font>
      <fill>
        <patternFill>
          <bgColor rgb="FFFFC7CE"/>
        </patternFill>
      </fill>
    </dxf>
    <dxf>
      <fill>
        <patternFill>
          <bgColor theme="7" tint="0.59993285927915285"/>
        </patternFill>
      </fill>
    </dxf>
    <dxf>
      <fill>
        <patternFill>
          <bgColor theme="9" tint="0.59993285927915285"/>
        </patternFill>
      </fill>
    </dxf>
    <dxf>
      <fill>
        <patternFill>
          <bgColor theme="9" tint="0.59993285927915285"/>
        </patternFill>
      </fill>
    </dxf>
    <dxf>
      <font>
        <color rgb="FF9C0006"/>
      </font>
      <fill>
        <patternFill>
          <bgColor rgb="FFFFC7CE"/>
        </patternFill>
      </fill>
    </dxf>
    <dxf>
      <fill>
        <patternFill>
          <bgColor theme="7" tint="0.59993285927915285"/>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404040"/>
      <rgbColor rgb="00FFFFFF"/>
      <rgbColor rgb="00FF0000"/>
      <rgbColor rgb="0000FF00"/>
      <rgbColor rgb="000000FF"/>
      <rgbColor rgb="00FFFF00"/>
      <rgbColor rgb="00FF00FF"/>
      <rgbColor rgb="0000FFFF"/>
      <rgbColor rgb="00800000"/>
      <rgbColor rgb="00008000"/>
      <rgbColor rgb="00E6E6E6"/>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954F72"/>
      <rgbColor rgb="00339966"/>
      <rgbColor rgb="00CB2840"/>
      <rgbColor rgb="00375623"/>
      <rgbColor rgb="00203764"/>
      <rgbColor rgb="00993366"/>
      <rgbColor rgb="00FFFF78"/>
      <rgbColor rgb="00FFFF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600" b="1" i="0" u="none" baseline="0">
                <a:solidFill>
                  <a:schemeClr val="tx1"/>
                </a:solidFill>
                <a:latin typeface="+mn-lt"/>
                <a:ea typeface="+mn-ea"/>
                <a:cs typeface="+mn-cs"/>
              </a:rPr>
              <a:t>Diferencia financiera (USD)</a:t>
            </a:r>
          </a:p>
        </c:rich>
      </c:tx>
      <c:overlay val="0"/>
      <c:spPr>
        <a:noFill/>
        <a:ln w="6350">
          <a:noFill/>
        </a:ln>
      </c:spPr>
    </c:title>
    <c:autoTitleDeleted val="0"/>
    <c:plotArea>
      <c:layout/>
      <c:barChart>
        <c:barDir val="col"/>
        <c:grouping val="stacked"/>
        <c:varyColors val="0"/>
        <c:ser>
          <c:idx val="2"/>
          <c:order val="0"/>
          <c:tx>
            <c:strRef>
              <c:f>Data!$D$6</c:f>
              <c:strCache>
                <c:ptCount val="1"/>
                <c:pt idx="0">
                  <c:v>Total Government Contribution</c:v>
                </c:pt>
              </c:strCache>
            </c:strRef>
          </c:tx>
          <c:spPr>
            <a:solidFill>
              <a:schemeClr val="accent1">
                <a:alpha val="95000"/>
              </a:schemeClr>
            </a:solidFill>
            <a:ln w="6350">
              <a:noFill/>
            </a:ln>
            <a:effectLst>
              <a:outerShdw blurRad="57150" dist="19050" dir="5400000" algn="ctr" rotWithShape="0">
                <a:prstClr val="black">
                  <a:alpha val="63000"/>
                </a:prstClr>
              </a:outerShdw>
            </a:effectLst>
          </c:spPr>
          <c:invertIfNegative val="0"/>
          <c:cat>
            <c:numRef>
              <c:f>Data!$B$7:$B$11</c:f>
              <c:numCache>
                <c:formatCode>_(###0_);\(###0\);_("-"_);_)@_)</c:formatCode>
                <c:ptCount val="5"/>
                <c:pt idx="0">
                  <c:v>2019</c:v>
                </c:pt>
                <c:pt idx="1">
                  <c:v>2020</c:v>
                </c:pt>
                <c:pt idx="2">
                  <c:v>2021</c:v>
                </c:pt>
                <c:pt idx="3">
                  <c:v>2022</c:v>
                </c:pt>
                <c:pt idx="4">
                  <c:v>2023</c:v>
                </c:pt>
              </c:numCache>
            </c:numRef>
          </c:cat>
          <c:val>
            <c:numRef>
              <c:f>Data!$D$7:$D$11</c:f>
              <c:numCache>
                <c:formatCode>_("$"#,##0_);\("$"#,##0\);_("-"_);_)@_)</c:formatCode>
                <c:ptCount val="5"/>
                <c:pt idx="0">
                  <c:v>16555827.468331249</c:v>
                </c:pt>
                <c:pt idx="1">
                  <c:v>16555827.468331249</c:v>
                </c:pt>
                <c:pt idx="2">
                  <c:v>16555827.468331249</c:v>
                </c:pt>
                <c:pt idx="3">
                  <c:v>16555827.468331249</c:v>
                </c:pt>
                <c:pt idx="4">
                  <c:v>16555827.468331249</c:v>
                </c:pt>
              </c:numCache>
            </c:numRef>
          </c:val>
          <c:extLst>
            <c:ext xmlns:c16="http://schemas.microsoft.com/office/drawing/2014/chart" uri="{C3380CC4-5D6E-409C-BE32-E72D297353CC}">
              <c16:uniqueId val="{00000000-05CA-4A79-AAE6-B1AFA35CCFA6}"/>
            </c:ext>
          </c:extLst>
        </c:ser>
        <c:ser>
          <c:idx val="3"/>
          <c:order val="1"/>
          <c:tx>
            <c:strRef>
              <c:f>Data!$E$6</c:f>
              <c:strCache>
                <c:ptCount val="1"/>
                <c:pt idx="0">
                  <c:v>Total Partner Contribution</c:v>
                </c:pt>
              </c:strCache>
            </c:strRef>
          </c:tx>
          <c:spPr>
            <a:solidFill>
              <a:schemeClr val="accent6">
                <a:lumMod val="75000"/>
              </a:schemeClr>
            </a:solidFill>
            <a:ln w="6350">
              <a:noFill/>
            </a:ln>
            <a:effectLst>
              <a:outerShdw blurRad="57150" dist="19050" dir="5400000" algn="ctr" rotWithShape="0">
                <a:prstClr val="black">
                  <a:alpha val="63000"/>
                </a:prstClr>
              </a:outerShdw>
            </a:effectLst>
          </c:spPr>
          <c:invertIfNegative val="0"/>
          <c:cat>
            <c:numRef>
              <c:f>Data!$B$7:$B$11</c:f>
              <c:numCache>
                <c:formatCode>_(###0_);\(###0\);_("-"_);_)@_)</c:formatCode>
                <c:ptCount val="5"/>
                <c:pt idx="0">
                  <c:v>2019</c:v>
                </c:pt>
                <c:pt idx="1">
                  <c:v>2020</c:v>
                </c:pt>
                <c:pt idx="2">
                  <c:v>2021</c:v>
                </c:pt>
                <c:pt idx="3">
                  <c:v>2022</c:v>
                </c:pt>
                <c:pt idx="4">
                  <c:v>2023</c:v>
                </c:pt>
              </c:numCache>
            </c:numRef>
          </c:cat>
          <c:val>
            <c:numRef>
              <c:f>Data!$E$7:$E$11</c:f>
              <c:numCache>
                <c:formatCode>_("$"#,##0_);\("$"#,##0\);_("-"_);_)@_)</c:formatCode>
                <c:ptCount val="5"/>
                <c:pt idx="0">
                  <c:v>38149564</c:v>
                </c:pt>
                <c:pt idx="1">
                  <c:v>62623516</c:v>
                </c:pt>
                <c:pt idx="2">
                  <c:v>36731828</c:v>
                </c:pt>
                <c:pt idx="3">
                  <c:v>11443000</c:v>
                </c:pt>
                <c:pt idx="4">
                  <c:v>11433000</c:v>
                </c:pt>
              </c:numCache>
            </c:numRef>
          </c:val>
          <c:extLst>
            <c:ext xmlns:c16="http://schemas.microsoft.com/office/drawing/2014/chart" uri="{C3380CC4-5D6E-409C-BE32-E72D297353CC}">
              <c16:uniqueId val="{00000001-05CA-4A79-AAE6-B1AFA35CCFA6}"/>
            </c:ext>
          </c:extLst>
        </c:ser>
        <c:ser>
          <c:idx val="1"/>
          <c:order val="3"/>
          <c:tx>
            <c:strRef>
              <c:f>Data!$H$6</c:f>
              <c:strCache>
                <c:ptCount val="1"/>
                <c:pt idx="0">
                  <c:v>Funding Gap</c:v>
                </c:pt>
              </c:strCache>
            </c:strRef>
          </c:tx>
          <c:spPr>
            <a:solidFill>
              <a:srgbClr val="FF0000"/>
            </a:solidFill>
            <a:ln w="6350">
              <a:noFill/>
            </a:ln>
            <a:effectLst>
              <a:outerShdw blurRad="57150" dist="19050" dir="5400000" algn="ctr" rotWithShape="0">
                <a:prstClr val="black">
                  <a:alpha val="63000"/>
                </a:prstClr>
              </a:outerShdw>
            </a:effectLst>
          </c:spPr>
          <c:invertIfNegative val="0"/>
          <c:dLbls>
            <c:dLbl>
              <c:idx val="0"/>
              <c:layout>
                <c:manualLayout>
                  <c:x val="-8.0000000000000002E-3"/>
                  <c:y val="-6.7500000000000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17-44F9-AAB2-E5AA29292A08}"/>
                </c:ext>
              </c:extLst>
            </c:dLbl>
            <c:dLbl>
              <c:idx val="1"/>
              <c:layout>
                <c:manualLayout>
                  <c:x val="-7.0000000000000001E-3"/>
                  <c:y val="-4.3499999999999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17-44F9-AAB2-E5AA29292A08}"/>
                </c:ext>
              </c:extLst>
            </c:dLbl>
            <c:dLbl>
              <c:idx val="2"/>
              <c:layout>
                <c:manualLayout>
                  <c:x val="-4.0000000000000001E-3"/>
                  <c:y val="-9.7500000000000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17-44F9-AAB2-E5AA29292A08}"/>
                </c:ext>
              </c:extLst>
            </c:dLbl>
            <c:dLbl>
              <c:idx val="3"/>
              <c:layout>
                <c:manualLayout>
                  <c:x val="5.2500000000000003E-3"/>
                  <c:y val="-0.14199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17-44F9-AAB2-E5AA29292A08}"/>
                </c:ext>
              </c:extLst>
            </c:dLbl>
            <c:dLbl>
              <c:idx val="4"/>
              <c:layout>
                <c:manualLayout>
                  <c:x val="0"/>
                  <c:y val="-0.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17-44F9-AAB2-E5AA29292A08}"/>
                </c:ext>
              </c:extLst>
            </c:dLbl>
            <c:spPr>
              <a:noFill/>
              <a:ln w="6350">
                <a:noFill/>
              </a:ln>
            </c:spPr>
            <c:txPr>
              <a:bodyPr rot="0" vert="horz"/>
              <a:lstStyle/>
              <a:p>
                <a:pPr algn="ctr">
                  <a:defRPr lang="en-US" sz="900" b="0" i="0" u="none"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Data!$B$7:$B$11</c:f>
              <c:numCache>
                <c:formatCode>_(###0_);\(###0\);_("-"_);_)@_)</c:formatCode>
                <c:ptCount val="5"/>
                <c:pt idx="0">
                  <c:v>2019</c:v>
                </c:pt>
                <c:pt idx="1">
                  <c:v>2020</c:v>
                </c:pt>
                <c:pt idx="2">
                  <c:v>2021</c:v>
                </c:pt>
                <c:pt idx="3">
                  <c:v>2022</c:v>
                </c:pt>
                <c:pt idx="4">
                  <c:v>2023</c:v>
                </c:pt>
              </c:numCache>
            </c:numRef>
          </c:cat>
          <c:val>
            <c:numRef>
              <c:f>Data!$H$7:$H$11</c:f>
              <c:numCache>
                <c:formatCode>_("$"* #,##0.0_);_("$"* \(#,##0.0\);_("$"* "-"??_);_(@_)</c:formatCode>
                <c:ptCount val="5"/>
                <c:pt idx="0">
                  <c:v>30.757834692596674</c:v>
                </c:pt>
                <c:pt idx="1">
                  <c:v>14.428516272508919</c:v>
                </c:pt>
                <c:pt idx="2">
                  <c:v>37.46570930366093</c:v>
                </c:pt>
                <c:pt idx="3">
                  <c:v>61.725862849359764</c:v>
                </c:pt>
                <c:pt idx="4">
                  <c:v>62.986188435860647</c:v>
                </c:pt>
              </c:numCache>
            </c:numRef>
          </c:val>
          <c:extLst>
            <c:ext xmlns:c16="http://schemas.microsoft.com/office/drawing/2014/chart" uri="{C3380CC4-5D6E-409C-BE32-E72D297353CC}">
              <c16:uniqueId val="{00000007-05CA-4A79-AAE6-B1AFA35CCFA6}"/>
            </c:ext>
          </c:extLst>
        </c:ser>
        <c:dLbls>
          <c:showLegendKey val="0"/>
          <c:showVal val="0"/>
          <c:showCatName val="0"/>
          <c:showSerName val="0"/>
          <c:showPercent val="0"/>
          <c:showBubbleSize val="0"/>
        </c:dLbls>
        <c:gapWidth val="30"/>
        <c:overlap val="100"/>
        <c:axId val="410654784"/>
        <c:axId val="410655328"/>
      </c:barChart>
      <c:barChart>
        <c:barDir val="col"/>
        <c:grouping val="stacked"/>
        <c:varyColors val="0"/>
        <c:ser>
          <c:idx val="0"/>
          <c:order val="2"/>
          <c:tx>
            <c:strRef>
              <c:f>Data!$C$6</c:f>
              <c:strCache>
                <c:ptCount val="1"/>
                <c:pt idx="0">
                  <c:v>Financial Requirement</c:v>
                </c:pt>
              </c:strCache>
            </c:strRef>
          </c:tx>
          <c:spPr>
            <a:solidFill>
              <a:schemeClr val="accent2">
                <a:alpha val="19000"/>
              </a:schemeClr>
            </a:solidFill>
            <a:ln w="6350">
              <a:noFill/>
            </a:ln>
            <a:effectLst>
              <a:outerShdw blurRad="57150" dist="19050" dir="5400000" algn="ctr" rotWithShape="0">
                <a:prstClr val="black">
                  <a:alpha val="63000"/>
                </a:prstClr>
              </a:outerShdw>
            </a:effectLst>
          </c:spPr>
          <c:invertIfNegative val="0"/>
          <c:cat>
            <c:numRef>
              <c:f>Data!$B$7:$B$11</c:f>
              <c:numCache>
                <c:formatCode>_(###0_);\(###0\);_("-"_);_)@_)</c:formatCode>
                <c:ptCount val="5"/>
                <c:pt idx="0">
                  <c:v>2019</c:v>
                </c:pt>
                <c:pt idx="1">
                  <c:v>2020</c:v>
                </c:pt>
                <c:pt idx="2">
                  <c:v>2021</c:v>
                </c:pt>
                <c:pt idx="3">
                  <c:v>2022</c:v>
                </c:pt>
                <c:pt idx="4">
                  <c:v>2023</c:v>
                </c:pt>
              </c:numCache>
            </c:numRef>
          </c:cat>
          <c:val>
            <c:numRef>
              <c:f>Data!$C$7:$C$11</c:f>
              <c:numCache>
                <c:formatCode>_("$"#,##0_);\("$"#,##0\);_("-"_);_)@_)</c:formatCode>
                <c:ptCount val="5"/>
                <c:pt idx="0">
                  <c:v>85463226.160927922</c:v>
                </c:pt>
                <c:pt idx="1">
                  <c:v>93607859.740840167</c:v>
                </c:pt>
                <c:pt idx="2">
                  <c:v>90753364.771992177</c:v>
                </c:pt>
                <c:pt idx="3">
                  <c:v>89724690.317691013</c:v>
                </c:pt>
                <c:pt idx="4">
                  <c:v>90975015.904191896</c:v>
                </c:pt>
              </c:numCache>
            </c:numRef>
          </c:val>
          <c:extLst>
            <c:ext xmlns:c16="http://schemas.microsoft.com/office/drawing/2014/chart" uri="{C3380CC4-5D6E-409C-BE32-E72D297353CC}">
              <c16:uniqueId val="{00000008-05CA-4A79-AAE6-B1AFA35CCFA6}"/>
            </c:ext>
          </c:extLst>
        </c:ser>
        <c:dLbls>
          <c:showLegendKey val="0"/>
          <c:showVal val="0"/>
          <c:showCatName val="0"/>
          <c:showSerName val="0"/>
          <c:showPercent val="0"/>
          <c:showBubbleSize val="0"/>
        </c:dLbls>
        <c:gapWidth val="30"/>
        <c:overlap val="100"/>
        <c:axId val="410656416"/>
        <c:axId val="410667296"/>
      </c:barChart>
      <c:catAx>
        <c:axId val="410654784"/>
        <c:scaling>
          <c:orientation val="minMax"/>
        </c:scaling>
        <c:delete val="0"/>
        <c:axPos val="b"/>
        <c:numFmt formatCode="_(###0_);\(###0\);_(&quot;-&quot;_);_)@_)" sourceLinked="1"/>
        <c:majorTickMark val="none"/>
        <c:minorTickMark val="none"/>
        <c:tickLblPos val="nextTo"/>
        <c:spPr>
          <a:noFill/>
          <a:ln w="12700" cap="flat" cmpd="sng">
            <a:solidFill>
              <a:schemeClr val="tx1">
                <a:lumMod val="15000"/>
                <a:lumOff val="85000"/>
              </a:schemeClr>
            </a:solidFill>
            <a:round/>
          </a:ln>
        </c:spPr>
        <c:txPr>
          <a:bodyPr/>
          <a:lstStyle/>
          <a:p>
            <a:pPr>
              <a:defRPr lang="en-US" sz="900" b="0" i="0" u="none" baseline="0">
                <a:solidFill>
                  <a:schemeClr val="tx1"/>
                </a:solidFill>
                <a:latin typeface="+mn-lt"/>
                <a:ea typeface="+mn-ea"/>
                <a:cs typeface="+mn-cs"/>
              </a:defRPr>
            </a:pPr>
            <a:endParaRPr lang="en-US"/>
          </a:p>
        </c:txPr>
        <c:crossAx val="410655328"/>
        <c:crosses val="autoZero"/>
        <c:auto val="1"/>
        <c:lblAlgn val="ctr"/>
        <c:lblOffset val="100"/>
        <c:noMultiLvlLbl val="0"/>
      </c:catAx>
      <c:valAx>
        <c:axId val="410655328"/>
        <c:scaling>
          <c:orientation val="minMax"/>
          <c:max val="100000000"/>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solidFill>
                <a:latin typeface="+mn-lt"/>
                <a:ea typeface="+mn-ea"/>
                <a:cs typeface="+mn-cs"/>
              </a:defRPr>
            </a:pPr>
            <a:endParaRPr lang="en-US"/>
          </a:p>
        </c:txPr>
        <c:crossAx val="410654784"/>
        <c:crosses val="autoZero"/>
        <c:crossBetween val="between"/>
      </c:valAx>
      <c:catAx>
        <c:axId val="410656416"/>
        <c:scaling>
          <c:orientation val="minMax"/>
        </c:scaling>
        <c:delete val="1"/>
        <c:axPos val="b"/>
        <c:numFmt formatCode="_(###0_);\(###0\);_(&quot;-&quot;_);_)@_)" sourceLinked="1"/>
        <c:majorTickMark val="out"/>
        <c:minorTickMark val="none"/>
        <c:tickLblPos val="nextTo"/>
        <c:crossAx val="410667296"/>
        <c:crosses val="autoZero"/>
        <c:auto val="1"/>
        <c:lblAlgn val="ctr"/>
        <c:lblOffset val="100"/>
        <c:noMultiLvlLbl val="0"/>
      </c:catAx>
      <c:valAx>
        <c:axId val="410667296"/>
        <c:scaling>
          <c:orientation val="minMax"/>
          <c:min val="0"/>
        </c:scaling>
        <c:delete val="0"/>
        <c:axPos val="r"/>
        <c:numFmt formatCode="_(&quot;$&quot;#,##0_);\(&quot;$&quot;#,##0\);_(&quot;-&quot;_);_)@_)" sourceLinked="1"/>
        <c:majorTickMark val="out"/>
        <c:minorTickMark val="none"/>
        <c:tickLblPos val="none"/>
        <c:spPr>
          <a:noFill/>
          <a:ln w="6350">
            <a:noFill/>
          </a:ln>
        </c:spPr>
        <c:txPr>
          <a:bodyPr/>
          <a:lstStyle/>
          <a:p>
            <a:pPr>
              <a:defRPr lang="en-US" sz="900" b="0" i="0" u="none" baseline="0">
                <a:solidFill>
                  <a:schemeClr val="tx1"/>
                </a:solidFill>
                <a:latin typeface="+mn-lt"/>
                <a:ea typeface="+mn-ea"/>
                <a:cs typeface="+mn-cs"/>
              </a:defRPr>
            </a:pPr>
            <a:endParaRPr lang="en-US"/>
          </a:p>
        </c:txPr>
        <c:crossAx val="410656416"/>
        <c:crosses val="max"/>
        <c:crossBetween val="between"/>
      </c:valAx>
      <c:spPr>
        <a:noFill/>
        <a:ln w="6350">
          <a:noFill/>
        </a:ln>
      </c:spPr>
    </c:plotArea>
    <c:legend>
      <c:legendPos val="b"/>
      <c:legendEntry>
        <c:idx val="2"/>
        <c:delete val="1"/>
      </c:legendEntry>
      <c:overlay val="0"/>
      <c:spPr>
        <a:noFill/>
        <a:ln w="6350">
          <a:noFill/>
        </a:ln>
      </c:spPr>
      <c:txPr>
        <a:bodyPr rot="0" vert="horz"/>
        <a:lstStyle/>
        <a:p>
          <a:pPr>
            <a:defRPr lang="en-US" sz="900" b="0" i="0" u="none" baseline="0">
              <a:solidFill>
                <a:schemeClr val="tx1"/>
              </a:solidFill>
              <a:latin typeface="+mn-lt"/>
              <a:ea typeface="+mn-ea"/>
              <a:cs typeface="+mn-cs"/>
            </a:defRPr>
          </a:pPr>
          <a:endParaRPr lang="en-US"/>
        </a:p>
      </c:txPr>
    </c:legend>
    <c:plotVisOnly val="1"/>
    <c:dispBlanksAs val="gap"/>
    <c:showDLblsOverMax val="0"/>
  </c:chart>
  <c:spPr>
    <a:solidFill>
      <a:schemeClr val="bg1"/>
    </a:solidFill>
    <a:ln w="12700" cap="rnd" cmpd="sng">
      <a:solidFill>
        <a:schemeClr val="accent1"/>
      </a:solidFill>
      <a:prstDash val="solid"/>
      <a:round/>
    </a:ln>
    <a:effectLst>
      <a:glow rad="101600">
        <a:schemeClr val="accent3">
          <a:satMod val="175000"/>
          <a:alpha val="40000"/>
        </a:schemeClr>
      </a:glow>
      <a:softEdge rad="0"/>
    </a:effectLst>
  </c:spPr>
  <c:txPr>
    <a:bodyPr rot="0" vert="horz"/>
    <a:lstStyle/>
    <a:p>
      <a:pPr>
        <a:defRPr lang="en-US" u="none"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800" b="1" i="0" u="none" cap="all" spc="150" baseline="0">
                <a:solidFill>
                  <a:schemeClr val="tx1">
                    <a:lumMod val="50000"/>
                    <a:lumOff val="50000"/>
                  </a:schemeClr>
                </a:solidFill>
                <a:latin typeface="+mn-lt"/>
                <a:ea typeface="+mn-ea"/>
                <a:cs typeface="+mn-cs"/>
              </a:rPr>
              <a:t>ESTRATEGIA 9</a:t>
            </a:r>
          </a:p>
        </c:rich>
      </c:tx>
      <c:layout>
        <c:manualLayout>
          <c:xMode val="edge"/>
          <c:yMode val="edge"/>
          <c:x val="4.2750000000000003E-2"/>
          <c:y val="2.6249999999999999E-2"/>
        </c:manualLayout>
      </c:layout>
      <c:overlay val="0"/>
      <c:spPr>
        <a:noFill/>
        <a:ln w="6350">
          <a:noFill/>
        </a:ln>
      </c:spPr>
    </c:title>
    <c:autoTitleDeleted val="0"/>
    <c:plotArea>
      <c:layout/>
      <c:areaChart>
        <c:grouping val="standard"/>
        <c:varyColors val="0"/>
        <c:ser>
          <c:idx val="1"/>
          <c:order val="0"/>
          <c:tx>
            <c:strRef>
              <c:f>Tablero!$F$529</c:f>
              <c:strCache>
                <c:ptCount val="1"/>
                <c:pt idx="0">
                  <c:v>Necesidad total</c:v>
                </c:pt>
              </c:strCache>
            </c:strRef>
          </c:tx>
          <c:spPr>
            <a:pattFill prst="wdUpDiag">
              <a:fgClr>
                <a:srgbClr val="FF0000"/>
              </a:fgClr>
              <a:bgClr>
                <a:schemeClr val="bg1"/>
              </a:bgClr>
            </a:pattFill>
            <a:ln w="25400">
              <a:noFill/>
            </a:ln>
            <a:effectLst>
              <a:innerShdw blurRad="114300">
                <a:schemeClr val="accent2"/>
              </a:innerShdw>
            </a:effectLst>
          </c:spPr>
          <c:val>
            <c:numRef>
              <c:f>Tablero!$H$529:$L$529</c:f>
              <c:numCache>
                <c:formatCode>_("$"#,##0_);\("$"#,##0\);_("-"_);_)@_)</c:formatCode>
                <c:ptCount val="5"/>
                <c:pt idx="0">
                  <c:v>0</c:v>
                </c:pt>
                <c:pt idx="1">
                  <c:v>0</c:v>
                </c:pt>
                <c:pt idx="2">
                  <c:v>0</c:v>
                </c:pt>
                <c:pt idx="3">
                  <c:v>0</c:v>
                </c:pt>
                <c:pt idx="4">
                  <c:v>0</c:v>
                </c:pt>
              </c:numCache>
            </c:numRef>
          </c:val>
          <c:extLst>
            <c:ext xmlns:c16="http://schemas.microsoft.com/office/drawing/2014/chart" uri="{C3380CC4-5D6E-409C-BE32-E72D297353CC}">
              <c16:uniqueId val="{00000002-E3B1-46AB-8DE7-BDDFE0312DD8}"/>
            </c:ext>
          </c:extLst>
        </c:ser>
        <c:ser>
          <c:idx val="0"/>
          <c:order val="1"/>
          <c:tx>
            <c:strRef>
              <c:f>Tablero!$F$527</c:f>
              <c:strCache>
                <c:ptCount val="1"/>
                <c:pt idx="0">
                  <c:v>Fondos disponibles</c:v>
                </c:pt>
              </c:strCache>
            </c:strRef>
          </c:tx>
          <c:spPr>
            <a:solidFill>
              <a:schemeClr val="accent6">
                <a:lumMod val="75000"/>
              </a:schemeClr>
            </a:solidFill>
            <a:ln w="6350">
              <a:noFill/>
            </a:ln>
            <a:effectLst>
              <a:innerShdw blurRad="114300">
                <a:schemeClr val="accent1"/>
              </a:innerShdw>
            </a:effectLst>
          </c:spPr>
          <c:val>
            <c:numRef>
              <c:f>Tablero!$H$527:$L$527</c:f>
              <c:numCache>
                <c:formatCode>_("$"#,##0_);\("$"#,##0\);_("-"_);_)@_)</c:formatCode>
                <c:ptCount val="5"/>
                <c:pt idx="0">
                  <c:v>0</c:v>
                </c:pt>
                <c:pt idx="1">
                  <c:v>0</c:v>
                </c:pt>
                <c:pt idx="2">
                  <c:v>0</c:v>
                </c:pt>
                <c:pt idx="3">
                  <c:v>0</c:v>
                </c:pt>
                <c:pt idx="4">
                  <c:v>0</c:v>
                </c:pt>
              </c:numCache>
            </c:numRef>
          </c:val>
          <c:extLst>
            <c:ext xmlns:c16="http://schemas.microsoft.com/office/drawing/2014/chart" uri="{C3380CC4-5D6E-409C-BE32-E72D297353CC}">
              <c16:uniqueId val="{00000001-E3B1-46AB-8DE7-BDDFE0312DD8}"/>
            </c:ext>
          </c:extLst>
        </c:ser>
        <c:dLbls>
          <c:showLegendKey val="0"/>
          <c:showVal val="0"/>
          <c:showCatName val="0"/>
          <c:showSerName val="0"/>
          <c:showPercent val="0"/>
          <c:showBubbleSize val="0"/>
        </c:dLbls>
        <c:axId val="410664032"/>
        <c:axId val="410664576"/>
      </c:areaChart>
      <c:catAx>
        <c:axId val="410664032"/>
        <c:scaling>
          <c:orientation val="minMax"/>
        </c:scaling>
        <c:delete val="0"/>
        <c:axPos val="b"/>
        <c:numFmt formatCode="General" sourceLinked="1"/>
        <c:majorTickMark val="none"/>
        <c:minorTickMark val="none"/>
        <c:tickLblPos val="nextTo"/>
        <c:spPr>
          <a:noFill/>
          <a:ln w="6350">
            <a:noFill/>
          </a:ln>
        </c:spPr>
        <c:txPr>
          <a:bodyPr/>
          <a:lstStyle/>
          <a:p>
            <a:pPr>
              <a:defRPr lang="en-US" sz="900" b="0" i="0" u="none" cap="all" spc="120" baseline="0">
                <a:solidFill>
                  <a:schemeClr val="tx1">
                    <a:lumMod val="65000"/>
                    <a:lumOff val="35000"/>
                  </a:schemeClr>
                </a:solidFill>
                <a:latin typeface="+mn-lt"/>
                <a:ea typeface="+mn-ea"/>
                <a:cs typeface="+mn-cs"/>
              </a:defRPr>
            </a:pPr>
            <a:endParaRPr lang="en-US"/>
          </a:p>
        </c:txPr>
        <c:crossAx val="410664576"/>
        <c:crosses val="autoZero"/>
        <c:auto val="1"/>
        <c:lblAlgn val="ctr"/>
        <c:lblOffset val="100"/>
        <c:noMultiLvlLbl val="0"/>
      </c:catAx>
      <c:valAx>
        <c:axId val="410664576"/>
        <c:scaling>
          <c:orientation val="minMax"/>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10664032"/>
        <c:crosses val="autoZero"/>
        <c:crossBetween val="midCat"/>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800" b="1" i="0" u="none" cap="all" spc="150" baseline="0">
                <a:solidFill>
                  <a:schemeClr val="tx1">
                    <a:lumMod val="50000"/>
                    <a:lumOff val="50000"/>
                  </a:schemeClr>
                </a:solidFill>
                <a:latin typeface="+mn-lt"/>
                <a:ea typeface="+mn-ea"/>
                <a:cs typeface="+mn-cs"/>
              </a:rPr>
              <a:t>ESTRATEGIA 10</a:t>
            </a:r>
          </a:p>
        </c:rich>
      </c:tx>
      <c:layout>
        <c:manualLayout>
          <c:xMode val="edge"/>
          <c:yMode val="edge"/>
          <c:x val="4.7E-2"/>
          <c:y val="2.4500000000000001E-2"/>
        </c:manualLayout>
      </c:layout>
      <c:overlay val="0"/>
      <c:spPr>
        <a:noFill/>
        <a:ln w="6350">
          <a:noFill/>
        </a:ln>
      </c:spPr>
    </c:title>
    <c:autoTitleDeleted val="0"/>
    <c:plotArea>
      <c:layout/>
      <c:areaChart>
        <c:grouping val="standard"/>
        <c:varyColors val="0"/>
        <c:ser>
          <c:idx val="1"/>
          <c:order val="0"/>
          <c:tx>
            <c:strRef>
              <c:f>Tablero!$F$577</c:f>
              <c:strCache>
                <c:ptCount val="1"/>
                <c:pt idx="0">
                  <c:v>Necesidad total</c:v>
                </c:pt>
              </c:strCache>
            </c:strRef>
          </c:tx>
          <c:spPr>
            <a:pattFill prst="wdUpDiag">
              <a:fgClr>
                <a:srgbClr val="FF0000"/>
              </a:fgClr>
              <a:bgClr>
                <a:schemeClr val="bg1"/>
              </a:bgClr>
            </a:pattFill>
            <a:ln w="25400">
              <a:noFill/>
            </a:ln>
            <a:effectLst>
              <a:innerShdw blurRad="114300">
                <a:schemeClr val="accent2"/>
              </a:innerShdw>
            </a:effectLst>
          </c:spPr>
          <c:val>
            <c:numRef>
              <c:f>Tablero!$H$577:$L$577</c:f>
              <c:numCache>
                <c:formatCode>_("$"#,##0_);\("$"#,##0\);_("-"_);_)@_)</c:formatCode>
                <c:ptCount val="5"/>
                <c:pt idx="0">
                  <c:v>0</c:v>
                </c:pt>
                <c:pt idx="1">
                  <c:v>0</c:v>
                </c:pt>
                <c:pt idx="2">
                  <c:v>0</c:v>
                </c:pt>
                <c:pt idx="3">
                  <c:v>0</c:v>
                </c:pt>
                <c:pt idx="4">
                  <c:v>0</c:v>
                </c:pt>
              </c:numCache>
            </c:numRef>
          </c:val>
          <c:extLst>
            <c:ext xmlns:c16="http://schemas.microsoft.com/office/drawing/2014/chart" uri="{C3380CC4-5D6E-409C-BE32-E72D297353CC}">
              <c16:uniqueId val="{00000002-1510-4909-B8BC-8EFFCC328C86}"/>
            </c:ext>
          </c:extLst>
        </c:ser>
        <c:ser>
          <c:idx val="0"/>
          <c:order val="1"/>
          <c:tx>
            <c:strRef>
              <c:f>Tablero!$F$575</c:f>
              <c:strCache>
                <c:ptCount val="1"/>
                <c:pt idx="0">
                  <c:v>Fondos disponibles</c:v>
                </c:pt>
              </c:strCache>
            </c:strRef>
          </c:tx>
          <c:spPr>
            <a:solidFill>
              <a:schemeClr val="accent6">
                <a:lumMod val="75000"/>
              </a:schemeClr>
            </a:solidFill>
            <a:ln w="6350">
              <a:noFill/>
            </a:ln>
            <a:effectLst>
              <a:innerShdw blurRad="114300">
                <a:schemeClr val="accent1"/>
              </a:innerShdw>
            </a:effectLst>
          </c:spPr>
          <c:val>
            <c:numRef>
              <c:f>Tablero!$H$575:$L$575</c:f>
              <c:numCache>
                <c:formatCode>_("$"#,##0_);\("$"#,##0\);_("-"_);_)@_)</c:formatCode>
                <c:ptCount val="5"/>
                <c:pt idx="0">
                  <c:v>0</c:v>
                </c:pt>
                <c:pt idx="1">
                  <c:v>0</c:v>
                </c:pt>
                <c:pt idx="2">
                  <c:v>0</c:v>
                </c:pt>
                <c:pt idx="3">
                  <c:v>0</c:v>
                </c:pt>
                <c:pt idx="4">
                  <c:v>0</c:v>
                </c:pt>
              </c:numCache>
            </c:numRef>
          </c:val>
          <c:extLst>
            <c:ext xmlns:c16="http://schemas.microsoft.com/office/drawing/2014/chart" uri="{C3380CC4-5D6E-409C-BE32-E72D297353CC}">
              <c16:uniqueId val="{00000001-1510-4909-B8BC-8EFFCC328C86}"/>
            </c:ext>
          </c:extLst>
        </c:ser>
        <c:dLbls>
          <c:showLegendKey val="0"/>
          <c:showVal val="0"/>
          <c:showCatName val="0"/>
          <c:showSerName val="0"/>
          <c:showPercent val="0"/>
          <c:showBubbleSize val="0"/>
        </c:dLbls>
        <c:axId val="410665120"/>
        <c:axId val="410660224"/>
      </c:areaChart>
      <c:catAx>
        <c:axId val="410665120"/>
        <c:scaling>
          <c:orientation val="minMax"/>
        </c:scaling>
        <c:delete val="0"/>
        <c:axPos val="b"/>
        <c:numFmt formatCode="General" sourceLinked="1"/>
        <c:majorTickMark val="none"/>
        <c:minorTickMark val="none"/>
        <c:tickLblPos val="nextTo"/>
        <c:spPr>
          <a:noFill/>
          <a:ln w="6350">
            <a:noFill/>
          </a:ln>
        </c:spPr>
        <c:txPr>
          <a:bodyPr/>
          <a:lstStyle/>
          <a:p>
            <a:pPr>
              <a:defRPr lang="en-US" sz="900" b="0" i="0" u="none" cap="all" spc="120" baseline="0">
                <a:solidFill>
                  <a:schemeClr val="tx1">
                    <a:lumMod val="65000"/>
                    <a:lumOff val="35000"/>
                  </a:schemeClr>
                </a:solidFill>
                <a:latin typeface="+mn-lt"/>
                <a:ea typeface="+mn-ea"/>
                <a:cs typeface="+mn-cs"/>
              </a:defRPr>
            </a:pPr>
            <a:endParaRPr lang="en-US"/>
          </a:p>
        </c:txPr>
        <c:crossAx val="410660224"/>
        <c:crosses val="autoZero"/>
        <c:auto val="1"/>
        <c:lblAlgn val="ctr"/>
        <c:lblOffset val="100"/>
        <c:noMultiLvlLbl val="0"/>
      </c:catAx>
      <c:valAx>
        <c:axId val="410660224"/>
        <c:scaling>
          <c:orientation val="minMax"/>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10665120"/>
        <c:crosses val="autoZero"/>
        <c:crossBetween val="midCat"/>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800" b="1" i="0" u="none" cap="all" spc="150" baseline="0">
                <a:solidFill>
                  <a:schemeClr val="tx1">
                    <a:lumMod val="50000"/>
                    <a:lumOff val="50000"/>
                  </a:schemeClr>
                </a:solidFill>
                <a:latin typeface="+mn-lt"/>
                <a:ea typeface="+mn-ea"/>
                <a:cs typeface="+mn-cs"/>
              </a:rPr>
              <a:t>ESTRATEGIA 6</a:t>
            </a:r>
          </a:p>
        </c:rich>
      </c:tx>
      <c:layout>
        <c:manualLayout>
          <c:xMode val="edge"/>
          <c:yMode val="edge"/>
          <c:x val="4.2750000000000003E-2"/>
          <c:y val="2.6249999999999999E-2"/>
        </c:manualLayout>
      </c:layout>
      <c:overlay val="0"/>
      <c:spPr>
        <a:noFill/>
        <a:ln w="6350">
          <a:noFill/>
        </a:ln>
      </c:spPr>
    </c:title>
    <c:autoTitleDeleted val="0"/>
    <c:plotArea>
      <c:layout/>
      <c:areaChart>
        <c:grouping val="standard"/>
        <c:varyColors val="0"/>
        <c:ser>
          <c:idx val="1"/>
          <c:order val="0"/>
          <c:tx>
            <c:strRef>
              <c:f>Tablero!$F$385</c:f>
              <c:strCache>
                <c:ptCount val="1"/>
                <c:pt idx="0">
                  <c:v>Necesidad total</c:v>
                </c:pt>
              </c:strCache>
            </c:strRef>
          </c:tx>
          <c:spPr>
            <a:pattFill prst="wdUpDiag">
              <a:fgClr>
                <a:srgbClr val="FF0000"/>
              </a:fgClr>
              <a:bgClr>
                <a:schemeClr val="bg1"/>
              </a:bgClr>
            </a:pattFill>
            <a:ln w="6350" cap="flat" cmpd="sng">
              <a:solidFill>
                <a:schemeClr val="accent1"/>
              </a:solidFill>
            </a:ln>
            <a:effectLst>
              <a:innerShdw blurRad="114300">
                <a:schemeClr val="accent2"/>
              </a:innerShdw>
            </a:effectLst>
          </c:spPr>
          <c:cat>
            <c:numRef>
              <c:f>Summary_Available_Funds!$J$6:$N$6</c:f>
              <c:numCache>
                <c:formatCode>_(###0_);\(###0\);_("-"_);_)@_)</c:formatCode>
                <c:ptCount val="5"/>
                <c:pt idx="0">
                  <c:v>2019</c:v>
                </c:pt>
                <c:pt idx="1">
                  <c:v>2020</c:v>
                </c:pt>
                <c:pt idx="2">
                  <c:v>2021</c:v>
                </c:pt>
                <c:pt idx="3">
                  <c:v>2022</c:v>
                </c:pt>
                <c:pt idx="4">
                  <c:v>2023</c:v>
                </c:pt>
              </c:numCache>
            </c:numRef>
          </c:cat>
          <c:val>
            <c:numRef>
              <c:f>Tablero!$H$385:$L$385</c:f>
              <c:numCache>
                <c:formatCode>_("$"#,##0_);\("$"#,##0\);_("-"_);_)@_)</c:formatCode>
                <c:ptCount val="5"/>
                <c:pt idx="0">
                  <c:v>0</c:v>
                </c:pt>
                <c:pt idx="1">
                  <c:v>0</c:v>
                </c:pt>
                <c:pt idx="2">
                  <c:v>0</c:v>
                </c:pt>
                <c:pt idx="3">
                  <c:v>0</c:v>
                </c:pt>
                <c:pt idx="4">
                  <c:v>0</c:v>
                </c:pt>
              </c:numCache>
            </c:numRef>
          </c:val>
          <c:extLst>
            <c:ext xmlns:c16="http://schemas.microsoft.com/office/drawing/2014/chart" uri="{C3380CC4-5D6E-409C-BE32-E72D297353CC}">
              <c16:uniqueId val="{00000000-41B6-4EFA-9074-38C9250E853D}"/>
            </c:ext>
          </c:extLst>
        </c:ser>
        <c:ser>
          <c:idx val="0"/>
          <c:order val="1"/>
          <c:tx>
            <c:strRef>
              <c:f>Tablero!$F$383</c:f>
              <c:strCache>
                <c:ptCount val="1"/>
                <c:pt idx="0">
                  <c:v>Fondos disponibles</c:v>
                </c:pt>
              </c:strCache>
            </c:strRef>
          </c:tx>
          <c:spPr>
            <a:solidFill>
              <a:schemeClr val="accent6">
                <a:lumMod val="75000"/>
              </a:schemeClr>
            </a:solidFill>
            <a:ln w="6350">
              <a:noFill/>
            </a:ln>
            <a:effectLst>
              <a:innerShdw blurRad="114300">
                <a:schemeClr val="accent1"/>
              </a:innerShdw>
            </a:effectLst>
          </c:spPr>
          <c:cat>
            <c:numRef>
              <c:f>Summary_Available_Funds!$J$6:$N$6</c:f>
              <c:numCache>
                <c:formatCode>_(###0_);\(###0\);_("-"_);_)@_)</c:formatCode>
                <c:ptCount val="5"/>
                <c:pt idx="0">
                  <c:v>2019</c:v>
                </c:pt>
                <c:pt idx="1">
                  <c:v>2020</c:v>
                </c:pt>
                <c:pt idx="2">
                  <c:v>2021</c:v>
                </c:pt>
                <c:pt idx="3">
                  <c:v>2022</c:v>
                </c:pt>
                <c:pt idx="4">
                  <c:v>2023</c:v>
                </c:pt>
              </c:numCache>
            </c:numRef>
          </c:cat>
          <c:val>
            <c:numRef>
              <c:f>Tablero!$H$383:$L$383</c:f>
              <c:numCache>
                <c:formatCode>_("$"#,##0_);\("$"#,##0\);_("-"_);_)@_)</c:formatCode>
                <c:ptCount val="5"/>
                <c:pt idx="0">
                  <c:v>0</c:v>
                </c:pt>
                <c:pt idx="1">
                  <c:v>0</c:v>
                </c:pt>
                <c:pt idx="2">
                  <c:v>0</c:v>
                </c:pt>
                <c:pt idx="3">
                  <c:v>0</c:v>
                </c:pt>
                <c:pt idx="4">
                  <c:v>0</c:v>
                </c:pt>
              </c:numCache>
            </c:numRef>
          </c:val>
          <c:extLst>
            <c:ext xmlns:c16="http://schemas.microsoft.com/office/drawing/2014/chart" uri="{C3380CC4-5D6E-409C-BE32-E72D297353CC}">
              <c16:uniqueId val="{00000001-41B6-4EFA-9074-38C9250E853D}"/>
            </c:ext>
          </c:extLst>
        </c:ser>
        <c:dLbls>
          <c:showLegendKey val="0"/>
          <c:showVal val="0"/>
          <c:showCatName val="0"/>
          <c:showSerName val="0"/>
          <c:showPercent val="0"/>
          <c:showBubbleSize val="0"/>
        </c:dLbls>
        <c:axId val="410660768"/>
        <c:axId val="410666208"/>
      </c:areaChart>
      <c:catAx>
        <c:axId val="410660768"/>
        <c:scaling>
          <c:orientation val="minMax"/>
        </c:scaling>
        <c:delete val="0"/>
        <c:axPos val="b"/>
        <c:numFmt formatCode="_(###0_);\(###0\);_(&quot;-&quot;_);_)@_)" sourceLinked="1"/>
        <c:majorTickMark val="none"/>
        <c:minorTickMark val="none"/>
        <c:tickLblPos val="nextTo"/>
        <c:spPr>
          <a:noFill/>
          <a:ln w="6350">
            <a:noFill/>
          </a:ln>
        </c:spPr>
        <c:txPr>
          <a:bodyPr/>
          <a:lstStyle/>
          <a:p>
            <a:pPr>
              <a:defRPr lang="en-US" sz="900" b="0" i="0" u="none" cap="all" spc="120" baseline="0">
                <a:solidFill>
                  <a:schemeClr val="tx1">
                    <a:lumMod val="65000"/>
                    <a:lumOff val="35000"/>
                  </a:schemeClr>
                </a:solidFill>
                <a:latin typeface="+mn-lt"/>
                <a:ea typeface="+mn-ea"/>
                <a:cs typeface="+mn-cs"/>
              </a:defRPr>
            </a:pPr>
            <a:endParaRPr lang="en-US"/>
          </a:p>
        </c:txPr>
        <c:crossAx val="410666208"/>
        <c:crosses val="autoZero"/>
        <c:auto val="1"/>
        <c:lblAlgn val="ctr"/>
        <c:lblOffset val="100"/>
        <c:noMultiLvlLbl val="0"/>
      </c:catAx>
      <c:valAx>
        <c:axId val="410666208"/>
        <c:scaling>
          <c:orientation val="minMax"/>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10660768"/>
        <c:crosses val="autoZero"/>
        <c:crossBetween val="midCat"/>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600" b="1" i="0" u="none" baseline="0">
                <a:solidFill>
                  <a:schemeClr val="tx1">
                    <a:lumMod val="65000"/>
                    <a:lumOff val="35000"/>
                  </a:schemeClr>
                </a:solidFill>
                <a:latin typeface="+mn-lt"/>
                <a:ea typeface="+mn-ea"/>
                <a:cs typeface="+mn-cs"/>
              </a:rPr>
              <a:t>Financial Requirement (USD)</a:t>
            </a:r>
          </a:p>
        </c:rich>
      </c:tx>
      <c:overlay val="0"/>
      <c:spPr>
        <a:noFill/>
        <a:ln w="6350">
          <a:noFill/>
        </a:ln>
      </c:spPr>
    </c:title>
    <c:autoTitleDeleted val="0"/>
    <c:plotArea>
      <c:layout/>
      <c:barChart>
        <c:barDir val="col"/>
        <c:grouping val="clustered"/>
        <c:varyColors val="0"/>
        <c:ser>
          <c:idx val="1"/>
          <c:order val="0"/>
          <c:tx>
            <c:strRef>
              <c:f>Data!$C$6</c:f>
              <c:strCache>
                <c:ptCount val="1"/>
                <c:pt idx="0">
                  <c:v>Financial Requirement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a:gradFill>
            <a:ln w="6350">
              <a:noFill/>
            </a:ln>
            <a:effectLst>
              <a:outerShdw blurRad="57150" dist="19050" dir="5400000" algn="ctr" rotWithShape="0">
                <a:prstClr val="black">
                  <a:alpha val="63000"/>
                </a:prstClr>
              </a:outerShdw>
            </a:effectLst>
          </c:spPr>
          <c:invertIfNegative val="0"/>
          <c:cat>
            <c:numRef>
              <c:f>Data!$B$7:$B$11</c:f>
              <c:numCache>
                <c:formatCode>_(###0_);\(###0\);_("-"_);_)@_)</c:formatCode>
                <c:ptCount val="5"/>
                <c:pt idx="0">
                  <c:v>2019</c:v>
                </c:pt>
                <c:pt idx="1">
                  <c:v>2020</c:v>
                </c:pt>
                <c:pt idx="2">
                  <c:v>2021</c:v>
                </c:pt>
                <c:pt idx="3">
                  <c:v>2022</c:v>
                </c:pt>
                <c:pt idx="4">
                  <c:v>2023</c:v>
                </c:pt>
              </c:numCache>
            </c:numRef>
          </c:cat>
          <c:val>
            <c:numRef>
              <c:f>Data!$C$7:$C$11</c:f>
              <c:numCache>
                <c:formatCode>_("$"#,##0_);\("$"#,##0\);_("-"_);_)@_)</c:formatCode>
                <c:ptCount val="5"/>
                <c:pt idx="0">
                  <c:v>85463226.160927922</c:v>
                </c:pt>
                <c:pt idx="1">
                  <c:v>93607859.740840167</c:v>
                </c:pt>
                <c:pt idx="2">
                  <c:v>90753364.771992177</c:v>
                </c:pt>
                <c:pt idx="3">
                  <c:v>89724690.317691013</c:v>
                </c:pt>
                <c:pt idx="4">
                  <c:v>90975015.904191896</c:v>
                </c:pt>
              </c:numCache>
            </c:numRef>
          </c:val>
          <c:extLst>
            <c:ext xmlns:c16="http://schemas.microsoft.com/office/drawing/2014/chart" uri="{C3380CC4-5D6E-409C-BE32-E72D297353CC}">
              <c16:uniqueId val="{00000001-30CA-4225-A38E-8D5B57006A6C}"/>
            </c:ext>
          </c:extLst>
        </c:ser>
        <c:dLbls>
          <c:showLegendKey val="0"/>
          <c:showVal val="0"/>
          <c:showCatName val="0"/>
          <c:showSerName val="0"/>
          <c:showPercent val="0"/>
          <c:showBubbleSize val="0"/>
        </c:dLbls>
        <c:gapWidth val="34"/>
        <c:overlap val="-27"/>
        <c:axId val="453156128"/>
        <c:axId val="453160480"/>
      </c:barChart>
      <c:catAx>
        <c:axId val="453156128"/>
        <c:scaling>
          <c:orientation val="minMax"/>
        </c:scaling>
        <c:delete val="0"/>
        <c:axPos val="b"/>
        <c:numFmt formatCode="_(###0_);\(###0\);_(&quot;-&quot;_);_)@_)" sourceLinked="1"/>
        <c:majorTickMark val="none"/>
        <c:minorTickMark val="none"/>
        <c:tickLblPos val="nextTo"/>
        <c:spPr>
          <a:noFill/>
          <a:ln w="12700"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53160480"/>
        <c:crosses val="autoZero"/>
        <c:auto val="1"/>
        <c:lblAlgn val="ctr"/>
        <c:lblOffset val="100"/>
        <c:noMultiLvlLbl val="0"/>
      </c:catAx>
      <c:valAx>
        <c:axId val="453160480"/>
        <c:scaling>
          <c:orientation val="minMax"/>
          <c:min val="0"/>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53156128"/>
        <c:crosses val="autoZero"/>
        <c:crossBetween val="between"/>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600" b="1" i="0" u="none" baseline="0">
                <a:solidFill>
                  <a:schemeClr val="tx1">
                    <a:lumMod val="65000"/>
                    <a:lumOff val="35000"/>
                  </a:schemeClr>
                </a:solidFill>
                <a:latin typeface="+mn-lt"/>
                <a:ea typeface="+mn-ea"/>
                <a:cs typeface="+mn-cs"/>
              </a:rPr>
              <a:t>Government Contribution (USD)</a:t>
            </a:r>
          </a:p>
        </c:rich>
      </c:tx>
      <c:layout>
        <c:manualLayout>
          <c:xMode val="edge"/>
          <c:yMode val="edge"/>
          <c:x val="0.2465"/>
          <c:y val="5.5750000000000001E-2"/>
        </c:manualLayout>
      </c:layout>
      <c:overlay val="0"/>
      <c:spPr>
        <a:noFill/>
        <a:ln w="6350">
          <a:noFill/>
        </a:ln>
      </c:spPr>
    </c:title>
    <c:autoTitleDeleted val="0"/>
    <c:plotArea>
      <c:layout/>
      <c:barChart>
        <c:barDir val="col"/>
        <c:grouping val="clustered"/>
        <c:varyColors val="0"/>
        <c:ser>
          <c:idx val="0"/>
          <c:order val="0"/>
          <c:tx>
            <c:strRef>
              <c:f>Data!$D$6</c:f>
              <c:strCache>
                <c:ptCount val="1"/>
                <c:pt idx="0">
                  <c:v>Total Government Contribution</c:v>
                </c:pt>
              </c:strCache>
            </c:strRef>
          </c:tx>
          <c:spPr>
            <a:solidFill>
              <a:schemeClr val="accent1"/>
            </a:solidFill>
            <a:ln w="6350">
              <a:noFill/>
            </a:ln>
            <a:effectLst>
              <a:outerShdw blurRad="57150" dist="19050" dir="5400000" algn="ctr" rotWithShape="0">
                <a:prstClr val="black">
                  <a:alpha val="63000"/>
                </a:prstClr>
              </a:outerShdw>
            </a:effectLst>
          </c:spPr>
          <c:invertIfNegative val="0"/>
          <c:cat>
            <c:numRef>
              <c:f>Data!$B$7:$B$11</c:f>
              <c:numCache>
                <c:formatCode>_(###0_);\(###0\);_("-"_);_)@_)</c:formatCode>
                <c:ptCount val="5"/>
                <c:pt idx="0">
                  <c:v>2019</c:v>
                </c:pt>
                <c:pt idx="1">
                  <c:v>2020</c:v>
                </c:pt>
                <c:pt idx="2">
                  <c:v>2021</c:v>
                </c:pt>
                <c:pt idx="3">
                  <c:v>2022</c:v>
                </c:pt>
                <c:pt idx="4">
                  <c:v>2023</c:v>
                </c:pt>
              </c:numCache>
            </c:numRef>
          </c:cat>
          <c:val>
            <c:numRef>
              <c:f>Data!$D$7:$D$11</c:f>
              <c:numCache>
                <c:formatCode>_("$"#,##0_);\("$"#,##0\);_("-"_);_)@_)</c:formatCode>
                <c:ptCount val="5"/>
                <c:pt idx="0">
                  <c:v>16555827.468331249</c:v>
                </c:pt>
                <c:pt idx="1">
                  <c:v>16555827.468331249</c:v>
                </c:pt>
                <c:pt idx="2">
                  <c:v>16555827.468331249</c:v>
                </c:pt>
                <c:pt idx="3">
                  <c:v>16555827.468331249</c:v>
                </c:pt>
                <c:pt idx="4">
                  <c:v>16555827.468331249</c:v>
                </c:pt>
              </c:numCache>
            </c:numRef>
          </c:val>
          <c:extLst>
            <c:ext xmlns:c16="http://schemas.microsoft.com/office/drawing/2014/chart" uri="{C3380CC4-5D6E-409C-BE32-E72D297353CC}">
              <c16:uniqueId val="{00000001-E655-45BF-B828-173EC92D2826}"/>
            </c:ext>
          </c:extLst>
        </c:ser>
        <c:ser>
          <c:idx val="1"/>
          <c:order val="1"/>
          <c:tx>
            <c:strRef>
              <c:f>Data!$C$6</c:f>
              <c:strCache>
                <c:ptCount val="1"/>
                <c:pt idx="0">
                  <c:v>Financial Requirement</c:v>
                </c:pt>
              </c:strCache>
            </c:strRef>
          </c:tx>
          <c:spPr>
            <a:solidFill>
              <a:schemeClr val="accent2">
                <a:alpha val="19000"/>
              </a:schemeClr>
            </a:solidFill>
            <a:ln w="6350">
              <a:noFill/>
            </a:ln>
            <a:effectLst>
              <a:outerShdw blurRad="57150" dist="19050" dir="5400000" algn="ctr" rotWithShape="0">
                <a:prstClr val="black">
                  <a:alpha val="63000"/>
                </a:prstClr>
              </a:outerShdw>
            </a:effectLst>
          </c:spPr>
          <c:invertIfNegative val="0"/>
          <c:cat>
            <c:numRef>
              <c:f>Data!$B$7:$B$11</c:f>
              <c:numCache>
                <c:formatCode>_(###0_);\(###0\);_("-"_);_)@_)</c:formatCode>
                <c:ptCount val="5"/>
                <c:pt idx="0">
                  <c:v>2019</c:v>
                </c:pt>
                <c:pt idx="1">
                  <c:v>2020</c:v>
                </c:pt>
                <c:pt idx="2">
                  <c:v>2021</c:v>
                </c:pt>
                <c:pt idx="3">
                  <c:v>2022</c:v>
                </c:pt>
                <c:pt idx="4">
                  <c:v>2023</c:v>
                </c:pt>
              </c:numCache>
            </c:numRef>
          </c:cat>
          <c:val>
            <c:numRef>
              <c:f>Data!$C$7:$C$11</c:f>
              <c:numCache>
                <c:formatCode>_("$"#,##0_);\("$"#,##0\);_("-"_);_)@_)</c:formatCode>
                <c:ptCount val="5"/>
                <c:pt idx="0">
                  <c:v>85463226.160927922</c:v>
                </c:pt>
                <c:pt idx="1">
                  <c:v>93607859.740840167</c:v>
                </c:pt>
                <c:pt idx="2">
                  <c:v>90753364.771992177</c:v>
                </c:pt>
                <c:pt idx="3">
                  <c:v>89724690.317691013</c:v>
                </c:pt>
                <c:pt idx="4">
                  <c:v>90975015.904191896</c:v>
                </c:pt>
              </c:numCache>
            </c:numRef>
          </c:val>
          <c:extLst>
            <c:ext xmlns:c16="http://schemas.microsoft.com/office/drawing/2014/chart" uri="{C3380CC4-5D6E-409C-BE32-E72D297353CC}">
              <c16:uniqueId val="{00000002-E655-45BF-B828-173EC92D2826}"/>
            </c:ext>
          </c:extLst>
        </c:ser>
        <c:dLbls>
          <c:showLegendKey val="0"/>
          <c:showVal val="0"/>
          <c:showCatName val="0"/>
          <c:showSerName val="0"/>
          <c:showPercent val="0"/>
          <c:showBubbleSize val="0"/>
        </c:dLbls>
        <c:gapWidth val="34"/>
        <c:overlap val="100"/>
        <c:axId val="453157216"/>
        <c:axId val="453146336"/>
      </c:barChart>
      <c:catAx>
        <c:axId val="453157216"/>
        <c:scaling>
          <c:orientation val="minMax"/>
        </c:scaling>
        <c:delete val="0"/>
        <c:axPos val="b"/>
        <c:numFmt formatCode="_(###0_);\(###0\);_(&quot;-&quot;_);_)@_)" sourceLinked="1"/>
        <c:majorTickMark val="none"/>
        <c:minorTickMark val="none"/>
        <c:tickLblPos val="nextTo"/>
        <c:spPr>
          <a:noFill/>
          <a:ln w="12700"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53146336"/>
        <c:crosses val="autoZero"/>
        <c:auto val="1"/>
        <c:lblAlgn val="ctr"/>
        <c:lblOffset val="100"/>
        <c:noMultiLvlLbl val="0"/>
      </c:catAx>
      <c:valAx>
        <c:axId val="453146336"/>
        <c:scaling>
          <c:orientation val="minMax"/>
          <c:max val="100000000"/>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53157216"/>
        <c:crosses val="autoZero"/>
        <c:crossBetween val="between"/>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600" b="1" i="0" u="none" baseline="0">
                <a:solidFill>
                  <a:schemeClr val="tx1">
                    <a:lumMod val="65000"/>
                    <a:lumOff val="35000"/>
                  </a:schemeClr>
                </a:solidFill>
                <a:latin typeface="+mn-lt"/>
                <a:ea typeface="+mn-ea"/>
                <a:cs typeface="+mn-cs"/>
              </a:rPr>
              <a:t>Partners Contribution (USD)</a:t>
            </a:r>
          </a:p>
        </c:rich>
      </c:tx>
      <c:overlay val="0"/>
      <c:spPr>
        <a:noFill/>
        <a:ln w="6350">
          <a:noFill/>
        </a:ln>
      </c:spPr>
    </c:title>
    <c:autoTitleDeleted val="0"/>
    <c:plotArea>
      <c:layout/>
      <c:barChart>
        <c:barDir val="col"/>
        <c:grouping val="clustered"/>
        <c:varyColors val="0"/>
        <c:ser>
          <c:idx val="1"/>
          <c:order val="0"/>
          <c:tx>
            <c:strRef>
              <c:f>Data!$E$6</c:f>
              <c:strCache>
                <c:ptCount val="1"/>
                <c:pt idx="0">
                  <c:v>Total Partner Contribution</c:v>
                </c:pt>
              </c:strCache>
            </c:strRef>
          </c:tx>
          <c:spPr>
            <a:solidFill>
              <a:schemeClr val="accent6">
                <a:lumMod val="75000"/>
              </a:schemeClr>
            </a:solidFill>
            <a:ln w="6350">
              <a:noFill/>
            </a:ln>
            <a:effectLst>
              <a:outerShdw blurRad="57150" dist="19050" dir="5400000" algn="ctr" rotWithShape="0">
                <a:prstClr val="black">
                  <a:alpha val="63000"/>
                </a:prstClr>
              </a:outerShdw>
            </a:effectLst>
          </c:spPr>
          <c:invertIfNegative val="0"/>
          <c:cat>
            <c:numRef>
              <c:f>Data!$B$7:$B$11</c:f>
              <c:numCache>
                <c:formatCode>_(###0_);\(###0\);_("-"_);_)@_)</c:formatCode>
                <c:ptCount val="5"/>
                <c:pt idx="0">
                  <c:v>2019</c:v>
                </c:pt>
                <c:pt idx="1">
                  <c:v>2020</c:v>
                </c:pt>
                <c:pt idx="2">
                  <c:v>2021</c:v>
                </c:pt>
                <c:pt idx="3">
                  <c:v>2022</c:v>
                </c:pt>
                <c:pt idx="4">
                  <c:v>2023</c:v>
                </c:pt>
              </c:numCache>
            </c:numRef>
          </c:cat>
          <c:val>
            <c:numRef>
              <c:f>Data!$E$7:$E$11</c:f>
              <c:numCache>
                <c:formatCode>_("$"#,##0_);\("$"#,##0\);_("-"_);_)@_)</c:formatCode>
                <c:ptCount val="5"/>
                <c:pt idx="0">
                  <c:v>38149564</c:v>
                </c:pt>
                <c:pt idx="1">
                  <c:v>62623516</c:v>
                </c:pt>
                <c:pt idx="2">
                  <c:v>36731828</c:v>
                </c:pt>
                <c:pt idx="3">
                  <c:v>11443000</c:v>
                </c:pt>
                <c:pt idx="4">
                  <c:v>11433000</c:v>
                </c:pt>
              </c:numCache>
            </c:numRef>
          </c:val>
          <c:extLst>
            <c:ext xmlns:c16="http://schemas.microsoft.com/office/drawing/2014/chart" uri="{C3380CC4-5D6E-409C-BE32-E72D297353CC}">
              <c16:uniqueId val="{00000000-C50F-4C60-9BF2-06D7ED6D0C42}"/>
            </c:ext>
          </c:extLst>
        </c:ser>
        <c:ser>
          <c:idx val="0"/>
          <c:order val="1"/>
          <c:tx>
            <c:strRef>
              <c:f>Data!$C$6</c:f>
              <c:strCache>
                <c:ptCount val="1"/>
                <c:pt idx="0">
                  <c:v>Financial Requirement</c:v>
                </c:pt>
              </c:strCache>
            </c:strRef>
          </c:tx>
          <c:spPr>
            <a:solidFill>
              <a:schemeClr val="accent2">
                <a:alpha val="19000"/>
              </a:schemeClr>
            </a:solidFill>
            <a:ln w="6350">
              <a:noFill/>
            </a:ln>
            <a:effectLst>
              <a:outerShdw blurRad="57150" dist="19050" dir="5400000" algn="ctr" rotWithShape="0">
                <a:prstClr val="black">
                  <a:alpha val="63000"/>
                </a:prstClr>
              </a:outerShdw>
            </a:effectLst>
          </c:spPr>
          <c:invertIfNegative val="0"/>
          <c:cat>
            <c:numRef>
              <c:f>Data!$B$7:$B$11</c:f>
              <c:numCache>
                <c:formatCode>_(###0_);\(###0\);_("-"_);_)@_)</c:formatCode>
                <c:ptCount val="5"/>
                <c:pt idx="0">
                  <c:v>2019</c:v>
                </c:pt>
                <c:pt idx="1">
                  <c:v>2020</c:v>
                </c:pt>
                <c:pt idx="2">
                  <c:v>2021</c:v>
                </c:pt>
                <c:pt idx="3">
                  <c:v>2022</c:v>
                </c:pt>
                <c:pt idx="4">
                  <c:v>2023</c:v>
                </c:pt>
              </c:numCache>
            </c:numRef>
          </c:cat>
          <c:val>
            <c:numRef>
              <c:f>Data!$C$7:$C$11</c:f>
              <c:numCache>
                <c:formatCode>_("$"#,##0_);\("$"#,##0\);_("-"_);_)@_)</c:formatCode>
                <c:ptCount val="5"/>
                <c:pt idx="0">
                  <c:v>85463226.160927922</c:v>
                </c:pt>
                <c:pt idx="1">
                  <c:v>93607859.740840167</c:v>
                </c:pt>
                <c:pt idx="2">
                  <c:v>90753364.771992177</c:v>
                </c:pt>
                <c:pt idx="3">
                  <c:v>89724690.317691013</c:v>
                </c:pt>
                <c:pt idx="4">
                  <c:v>90975015.904191896</c:v>
                </c:pt>
              </c:numCache>
            </c:numRef>
          </c:val>
          <c:extLst>
            <c:ext xmlns:c16="http://schemas.microsoft.com/office/drawing/2014/chart" uri="{C3380CC4-5D6E-409C-BE32-E72D297353CC}">
              <c16:uniqueId val="{00000001-C50F-4C60-9BF2-06D7ED6D0C42}"/>
            </c:ext>
          </c:extLst>
        </c:ser>
        <c:dLbls>
          <c:showLegendKey val="0"/>
          <c:showVal val="0"/>
          <c:showCatName val="0"/>
          <c:showSerName val="0"/>
          <c:showPercent val="0"/>
          <c:showBubbleSize val="0"/>
        </c:dLbls>
        <c:gapWidth val="34"/>
        <c:overlap val="100"/>
        <c:axId val="453156672"/>
        <c:axId val="453153408"/>
      </c:barChart>
      <c:catAx>
        <c:axId val="453156672"/>
        <c:scaling>
          <c:orientation val="minMax"/>
        </c:scaling>
        <c:delete val="0"/>
        <c:axPos val="b"/>
        <c:numFmt formatCode="_(###0_);\(###0\);_(&quot;-&quot;_);_)@_)" sourceLinked="1"/>
        <c:majorTickMark val="none"/>
        <c:minorTickMark val="none"/>
        <c:tickLblPos val="nextTo"/>
        <c:spPr>
          <a:noFill/>
          <a:ln w="12700"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53153408"/>
        <c:crosses val="autoZero"/>
        <c:auto val="1"/>
        <c:lblAlgn val="ctr"/>
        <c:lblOffset val="100"/>
        <c:noMultiLvlLbl val="0"/>
      </c:catAx>
      <c:valAx>
        <c:axId val="453153408"/>
        <c:scaling>
          <c:orientation val="minMax"/>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53156672"/>
        <c:crosses val="autoZero"/>
        <c:crossBetween val="between"/>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600" b="1" i="0" u="none" baseline="0">
                <a:solidFill>
                  <a:schemeClr val="tx1">
                    <a:lumMod val="65000"/>
                    <a:lumOff val="35000"/>
                  </a:schemeClr>
                </a:solidFill>
                <a:latin typeface="+mn-lt"/>
                <a:ea typeface="+mn-ea"/>
                <a:cs typeface="+mn-cs"/>
              </a:rPr>
              <a:t>Total Available Funding (USD)</a:t>
            </a:r>
          </a:p>
        </c:rich>
      </c:tx>
      <c:overlay val="0"/>
      <c:spPr>
        <a:noFill/>
        <a:ln w="6350">
          <a:noFill/>
        </a:ln>
      </c:spPr>
    </c:title>
    <c:autoTitleDeleted val="0"/>
    <c:plotArea>
      <c:layout/>
      <c:barChart>
        <c:barDir val="col"/>
        <c:grouping val="clustered"/>
        <c:varyColors val="0"/>
        <c:ser>
          <c:idx val="1"/>
          <c:order val="0"/>
          <c:tx>
            <c:strRef>
              <c:f>Data!$F$6</c:f>
              <c:strCache>
                <c:ptCount val="1"/>
                <c:pt idx="0">
                  <c:v>Total Available Funding</c:v>
                </c:pt>
              </c:strCache>
            </c:strRef>
          </c:tx>
          <c:spPr>
            <a:solidFill>
              <a:srgbClr val="7030A0"/>
            </a:solidFill>
            <a:ln w="6350">
              <a:noFill/>
            </a:ln>
            <a:effectLst>
              <a:outerShdw blurRad="57150" dist="19050" dir="5400000" algn="ctr" rotWithShape="0">
                <a:prstClr val="black">
                  <a:alpha val="63000"/>
                </a:prstClr>
              </a:outerShdw>
            </a:effectLst>
          </c:spPr>
          <c:invertIfNegative val="0"/>
          <c:cat>
            <c:numRef>
              <c:f>Data!$B$7:$B$11</c:f>
              <c:numCache>
                <c:formatCode>_(###0_);\(###0\);_("-"_);_)@_)</c:formatCode>
                <c:ptCount val="5"/>
                <c:pt idx="0">
                  <c:v>2019</c:v>
                </c:pt>
                <c:pt idx="1">
                  <c:v>2020</c:v>
                </c:pt>
                <c:pt idx="2">
                  <c:v>2021</c:v>
                </c:pt>
                <c:pt idx="3">
                  <c:v>2022</c:v>
                </c:pt>
                <c:pt idx="4">
                  <c:v>2023</c:v>
                </c:pt>
              </c:numCache>
            </c:numRef>
          </c:cat>
          <c:val>
            <c:numRef>
              <c:f>Data!$F$7:$F$11</c:f>
              <c:numCache>
                <c:formatCode>_("$"#,##0_);\("$"#,##0\);_("-"_);_)@_)</c:formatCode>
                <c:ptCount val="5"/>
                <c:pt idx="0">
                  <c:v>54705391.468331248</c:v>
                </c:pt>
                <c:pt idx="1">
                  <c:v>79179343.468331248</c:v>
                </c:pt>
                <c:pt idx="2">
                  <c:v>53287655.468331248</c:v>
                </c:pt>
                <c:pt idx="3">
                  <c:v>27998827.468331248</c:v>
                </c:pt>
                <c:pt idx="4">
                  <c:v>27988827.468331248</c:v>
                </c:pt>
              </c:numCache>
            </c:numRef>
          </c:val>
          <c:extLst>
            <c:ext xmlns:c16="http://schemas.microsoft.com/office/drawing/2014/chart" uri="{C3380CC4-5D6E-409C-BE32-E72D297353CC}">
              <c16:uniqueId val="{00000000-A61A-4ED9-A045-EE9E7496D521}"/>
            </c:ext>
          </c:extLst>
        </c:ser>
        <c:ser>
          <c:idx val="2"/>
          <c:order val="2"/>
          <c:tx>
            <c:strRef>
              <c:f>Data!$C$6</c:f>
              <c:strCache>
                <c:ptCount val="1"/>
                <c:pt idx="0">
                  <c:v>Financial Requirement</c:v>
                </c:pt>
              </c:strCache>
            </c:strRef>
          </c:tx>
          <c:spPr>
            <a:solidFill>
              <a:schemeClr val="accent2">
                <a:alpha val="19000"/>
              </a:schemeClr>
            </a:solidFill>
            <a:ln w="6350">
              <a:noFill/>
            </a:ln>
            <a:effectLst>
              <a:outerShdw blurRad="57150" dist="19050" dir="5400000" algn="ctr" rotWithShape="0">
                <a:prstClr val="black">
                  <a:alpha val="63000"/>
                </a:prstClr>
              </a:outerShdw>
            </a:effectLst>
          </c:spPr>
          <c:invertIfNegative val="0"/>
          <c:cat>
            <c:numRef>
              <c:f>Data!$B$7:$B$11</c:f>
              <c:numCache>
                <c:formatCode>_(###0_);\(###0\);_("-"_);_)@_)</c:formatCode>
                <c:ptCount val="5"/>
                <c:pt idx="0">
                  <c:v>2019</c:v>
                </c:pt>
                <c:pt idx="1">
                  <c:v>2020</c:v>
                </c:pt>
                <c:pt idx="2">
                  <c:v>2021</c:v>
                </c:pt>
                <c:pt idx="3">
                  <c:v>2022</c:v>
                </c:pt>
                <c:pt idx="4">
                  <c:v>2023</c:v>
                </c:pt>
              </c:numCache>
            </c:numRef>
          </c:cat>
          <c:val>
            <c:numRef>
              <c:f>Data!$C$7:$C$11</c:f>
              <c:numCache>
                <c:formatCode>_("$"#,##0_);\("$"#,##0\);_("-"_);_)@_)</c:formatCode>
                <c:ptCount val="5"/>
                <c:pt idx="0">
                  <c:v>85463226.160927922</c:v>
                </c:pt>
                <c:pt idx="1">
                  <c:v>93607859.740840167</c:v>
                </c:pt>
                <c:pt idx="2">
                  <c:v>90753364.771992177</c:v>
                </c:pt>
                <c:pt idx="3">
                  <c:v>89724690.317691013</c:v>
                </c:pt>
                <c:pt idx="4">
                  <c:v>90975015.904191896</c:v>
                </c:pt>
              </c:numCache>
            </c:numRef>
          </c:val>
          <c:extLst>
            <c:ext xmlns:c16="http://schemas.microsoft.com/office/drawing/2014/chart" uri="{C3380CC4-5D6E-409C-BE32-E72D297353CC}">
              <c16:uniqueId val="{00000002-A61A-4ED9-A045-EE9E7496D521}"/>
            </c:ext>
          </c:extLst>
        </c:ser>
        <c:dLbls>
          <c:showLegendKey val="0"/>
          <c:showVal val="0"/>
          <c:showCatName val="0"/>
          <c:showSerName val="0"/>
          <c:showPercent val="0"/>
          <c:showBubbleSize val="0"/>
        </c:dLbls>
        <c:gapWidth val="34"/>
        <c:overlap val="100"/>
        <c:axId val="453147424"/>
        <c:axId val="453146880"/>
      </c:barChart>
      <c:barChart>
        <c:barDir val="col"/>
        <c:grouping val="clustered"/>
        <c:varyColors val="0"/>
        <c:ser>
          <c:idx val="0"/>
          <c:order val="1"/>
          <c:tx>
            <c:strRef>
              <c:f>Data!$G$6</c:f>
              <c:strCache>
                <c:ptCount val="1"/>
                <c:pt idx="0">
                  <c:v>% Requirement Covered</c:v>
                </c:pt>
              </c:strCache>
            </c:strRef>
          </c:tx>
          <c:spPr>
            <a:solidFill>
              <a:srgbClr val="00B050">
                <a:alpha val="0"/>
              </a:srgbClr>
            </a:solidFill>
            <a:ln w="6350">
              <a:noFill/>
            </a:ln>
            <a:effectLst>
              <a:outerShdw blurRad="57150" dist="19050" dir="5400000" algn="ctr" rotWithShape="0">
                <a:prstClr val="black">
                  <a:alpha val="63000"/>
                </a:prstClr>
              </a:outerShdw>
            </a:effectLst>
          </c:spPr>
          <c:invertIfNegative val="0"/>
          <c:dPt>
            <c:idx val="0"/>
            <c:invertIfNegative val="0"/>
            <c:bubble3D val="0"/>
            <c:spPr>
              <a:solidFill>
                <a:srgbClr val="00B050">
                  <a:alpha val="0"/>
                </a:srgbClr>
              </a:solidFill>
              <a:ln w="6350">
                <a:noFill/>
              </a:ln>
              <a:effectLst>
                <a:outerShdw blurRad="57150" dist="19050" dir="5400000" algn="ctr" rotWithShape="0">
                  <a:prstClr val="black">
                    <a:alpha val="63000"/>
                  </a:prstClr>
                </a:outerShdw>
              </a:effectLst>
            </c:spPr>
            <c:extLst>
              <c:ext xmlns:c16="http://schemas.microsoft.com/office/drawing/2014/chart" uri="{C3380CC4-5D6E-409C-BE32-E72D297353CC}">
                <c16:uniqueId val="{00000001-DBBF-4919-A33C-48FA451B9BF5}"/>
              </c:ext>
            </c:extLst>
          </c:dPt>
          <c:dLbls>
            <c:dLbl>
              <c:idx val="1"/>
              <c:layout>
                <c:manualLayout>
                  <c:x val="0"/>
                  <c:y val="1.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BF-4919-A33C-48FA451B9BF5}"/>
                </c:ext>
              </c:extLst>
            </c:dLbl>
            <c:spPr>
              <a:noFill/>
              <a:ln w="6350">
                <a:noFill/>
              </a:ln>
            </c:spPr>
            <c:txPr>
              <a:bodyPr rot="0" vert="horz">
                <a:spAutoFit/>
              </a:bodyPr>
              <a:lstStyle/>
              <a:p>
                <a:pPr algn="ctr">
                  <a:defRPr lang="en-US" sz="1600" b="1" i="0" u="none" baseline="0">
                    <a:solidFill>
                      <a:srgbClr val="7030A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Data!$B$7:$B$11</c:f>
              <c:numCache>
                <c:formatCode>_(###0_);\(###0\);_("-"_);_)@_)</c:formatCode>
                <c:ptCount val="5"/>
                <c:pt idx="0">
                  <c:v>2019</c:v>
                </c:pt>
                <c:pt idx="1">
                  <c:v>2020</c:v>
                </c:pt>
                <c:pt idx="2">
                  <c:v>2021</c:v>
                </c:pt>
                <c:pt idx="3">
                  <c:v>2022</c:v>
                </c:pt>
                <c:pt idx="4">
                  <c:v>2023</c:v>
                </c:pt>
              </c:numCache>
            </c:numRef>
          </c:cat>
          <c:val>
            <c:numRef>
              <c:f>Data!$G$7:$G$11</c:f>
              <c:numCache>
                <c:formatCode>0%</c:formatCode>
                <c:ptCount val="5"/>
                <c:pt idx="0">
                  <c:v>0.64010445106905478</c:v>
                </c:pt>
                <c:pt idx="1">
                  <c:v>0.84586212832495833</c:v>
                </c:pt>
                <c:pt idx="2">
                  <c:v>0.58717002506971072</c:v>
                </c:pt>
                <c:pt idx="3">
                  <c:v>0.31205265093916651</c:v>
                </c:pt>
                <c:pt idx="4">
                  <c:v>0.30765399917936803</c:v>
                </c:pt>
              </c:numCache>
            </c:numRef>
          </c:val>
          <c:extLst>
            <c:ext xmlns:c16="http://schemas.microsoft.com/office/drawing/2014/chart" uri="{C3380CC4-5D6E-409C-BE32-E72D297353CC}">
              <c16:uniqueId val="{00000001-A61A-4ED9-A045-EE9E7496D521}"/>
            </c:ext>
          </c:extLst>
        </c:ser>
        <c:dLbls>
          <c:showLegendKey val="0"/>
          <c:showVal val="0"/>
          <c:showCatName val="0"/>
          <c:showSerName val="0"/>
          <c:showPercent val="0"/>
          <c:showBubbleSize val="0"/>
        </c:dLbls>
        <c:gapWidth val="34"/>
        <c:overlap val="100"/>
        <c:axId val="453152320"/>
        <c:axId val="453147968"/>
      </c:barChart>
      <c:catAx>
        <c:axId val="453147424"/>
        <c:scaling>
          <c:orientation val="minMax"/>
        </c:scaling>
        <c:delete val="0"/>
        <c:axPos val="b"/>
        <c:numFmt formatCode="_(###0_);\(###0\);_(&quot;-&quot;_);_)@_)" sourceLinked="1"/>
        <c:majorTickMark val="none"/>
        <c:minorTickMark val="none"/>
        <c:tickLblPos val="nextTo"/>
        <c:spPr>
          <a:noFill/>
          <a:ln w="12700"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53146880"/>
        <c:crosses val="autoZero"/>
        <c:auto val="1"/>
        <c:lblAlgn val="ctr"/>
        <c:lblOffset val="100"/>
        <c:noMultiLvlLbl val="0"/>
      </c:catAx>
      <c:valAx>
        <c:axId val="453146880"/>
        <c:scaling>
          <c:orientation val="minMax"/>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53147424"/>
        <c:crosses val="autoZero"/>
        <c:crossBetween val="between"/>
      </c:valAx>
      <c:catAx>
        <c:axId val="453152320"/>
        <c:scaling>
          <c:orientation val="minMax"/>
        </c:scaling>
        <c:delete val="1"/>
        <c:axPos val="b"/>
        <c:numFmt formatCode="_(###0_);\(###0\);_(&quot;-&quot;_);_)@_)" sourceLinked="1"/>
        <c:majorTickMark val="out"/>
        <c:minorTickMark val="none"/>
        <c:tickLblPos val="nextTo"/>
        <c:crossAx val="453147968"/>
        <c:crosses val="autoZero"/>
        <c:auto val="1"/>
        <c:lblAlgn val="ctr"/>
        <c:lblOffset val="100"/>
        <c:noMultiLvlLbl val="0"/>
      </c:catAx>
      <c:valAx>
        <c:axId val="453147968"/>
        <c:scaling>
          <c:orientation val="minMax"/>
          <c:max val="1"/>
        </c:scaling>
        <c:delete val="0"/>
        <c:axPos val="r"/>
        <c:numFmt formatCode="0%" sourceLinked="1"/>
        <c:majorTickMark val="out"/>
        <c:minorTickMark val="none"/>
        <c:tickLblPos val="none"/>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53152320"/>
        <c:crosses val="max"/>
        <c:crossBetween val="between"/>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600" b="1" i="0" u="none" baseline="0">
                <a:solidFill>
                  <a:schemeClr val="tx1">
                    <a:lumMod val="65000"/>
                    <a:lumOff val="35000"/>
                  </a:schemeClr>
                </a:solidFill>
                <a:latin typeface="+mn-lt"/>
                <a:ea typeface="+mn-ea"/>
                <a:cs typeface="+mn-cs"/>
              </a:rPr>
              <a:t>Funding Gap (USD)</a:t>
            </a:r>
          </a:p>
        </c:rich>
      </c:tx>
      <c:overlay val="0"/>
      <c:spPr>
        <a:noFill/>
        <a:ln w="6350">
          <a:noFill/>
        </a:ln>
      </c:spPr>
    </c:title>
    <c:autoTitleDeleted val="0"/>
    <c:plotArea>
      <c:layout/>
      <c:barChart>
        <c:barDir val="col"/>
        <c:grouping val="stacked"/>
        <c:varyColors val="0"/>
        <c:ser>
          <c:idx val="2"/>
          <c:order val="0"/>
          <c:tx>
            <c:strRef>
              <c:f>Data!$D$6</c:f>
              <c:strCache>
                <c:ptCount val="1"/>
                <c:pt idx="0">
                  <c:v>Total Government Contribution</c:v>
                </c:pt>
              </c:strCache>
            </c:strRef>
          </c:tx>
          <c:spPr>
            <a:solidFill>
              <a:schemeClr val="accent1">
                <a:alpha val="95000"/>
              </a:schemeClr>
            </a:solidFill>
            <a:ln w="6350">
              <a:noFill/>
            </a:ln>
            <a:effectLst>
              <a:outerShdw blurRad="57150" dist="19050" dir="5400000" algn="ctr" rotWithShape="0">
                <a:prstClr val="black">
                  <a:alpha val="63000"/>
                </a:prstClr>
              </a:outerShdw>
            </a:effectLst>
          </c:spPr>
          <c:invertIfNegative val="0"/>
          <c:cat>
            <c:numRef>
              <c:f>Data!$B$7:$B$11</c:f>
              <c:numCache>
                <c:formatCode>_(###0_);\(###0\);_("-"_);_)@_)</c:formatCode>
                <c:ptCount val="5"/>
                <c:pt idx="0">
                  <c:v>2019</c:v>
                </c:pt>
                <c:pt idx="1">
                  <c:v>2020</c:v>
                </c:pt>
                <c:pt idx="2">
                  <c:v>2021</c:v>
                </c:pt>
                <c:pt idx="3">
                  <c:v>2022</c:v>
                </c:pt>
                <c:pt idx="4">
                  <c:v>2023</c:v>
                </c:pt>
              </c:numCache>
            </c:numRef>
          </c:cat>
          <c:val>
            <c:numRef>
              <c:f>Data!$D$7:$D$11</c:f>
              <c:numCache>
                <c:formatCode>_("$"#,##0_);\("$"#,##0\);_("-"_);_)@_)</c:formatCode>
                <c:ptCount val="5"/>
                <c:pt idx="0">
                  <c:v>16555827.468331249</c:v>
                </c:pt>
                <c:pt idx="1">
                  <c:v>16555827.468331249</c:v>
                </c:pt>
                <c:pt idx="2">
                  <c:v>16555827.468331249</c:v>
                </c:pt>
                <c:pt idx="3">
                  <c:v>16555827.468331249</c:v>
                </c:pt>
                <c:pt idx="4">
                  <c:v>16555827.468331249</c:v>
                </c:pt>
              </c:numCache>
            </c:numRef>
          </c:val>
          <c:extLst>
            <c:ext xmlns:c16="http://schemas.microsoft.com/office/drawing/2014/chart" uri="{C3380CC4-5D6E-409C-BE32-E72D297353CC}">
              <c16:uniqueId val="{00000002-CEFF-4FCE-9CBD-4CBDE0F0298D}"/>
            </c:ext>
          </c:extLst>
        </c:ser>
        <c:ser>
          <c:idx val="3"/>
          <c:order val="1"/>
          <c:tx>
            <c:strRef>
              <c:f>Data!$E$6</c:f>
              <c:strCache>
                <c:ptCount val="1"/>
                <c:pt idx="0">
                  <c:v>Total Partner Contribution</c:v>
                </c:pt>
              </c:strCache>
            </c:strRef>
          </c:tx>
          <c:spPr>
            <a:solidFill>
              <a:schemeClr val="accent6">
                <a:lumMod val="75000"/>
              </a:schemeClr>
            </a:solidFill>
            <a:ln w="6350">
              <a:noFill/>
            </a:ln>
            <a:effectLst>
              <a:outerShdw blurRad="57150" dist="19050" dir="5400000" algn="ctr" rotWithShape="0">
                <a:prstClr val="black">
                  <a:alpha val="63000"/>
                </a:prstClr>
              </a:outerShdw>
            </a:effectLst>
          </c:spPr>
          <c:invertIfNegative val="0"/>
          <c:cat>
            <c:numRef>
              <c:f>Data!$B$7:$B$11</c:f>
              <c:numCache>
                <c:formatCode>_(###0_);\(###0\);_("-"_);_)@_)</c:formatCode>
                <c:ptCount val="5"/>
                <c:pt idx="0">
                  <c:v>2019</c:v>
                </c:pt>
                <c:pt idx="1">
                  <c:v>2020</c:v>
                </c:pt>
                <c:pt idx="2">
                  <c:v>2021</c:v>
                </c:pt>
                <c:pt idx="3">
                  <c:v>2022</c:v>
                </c:pt>
                <c:pt idx="4">
                  <c:v>2023</c:v>
                </c:pt>
              </c:numCache>
            </c:numRef>
          </c:cat>
          <c:val>
            <c:numRef>
              <c:f>Data!$E$7:$E$11</c:f>
              <c:numCache>
                <c:formatCode>_("$"#,##0_);\("$"#,##0\);_("-"_);_)@_)</c:formatCode>
                <c:ptCount val="5"/>
                <c:pt idx="0">
                  <c:v>38149564</c:v>
                </c:pt>
                <c:pt idx="1">
                  <c:v>62623516</c:v>
                </c:pt>
                <c:pt idx="2">
                  <c:v>36731828</c:v>
                </c:pt>
                <c:pt idx="3">
                  <c:v>11443000</c:v>
                </c:pt>
                <c:pt idx="4">
                  <c:v>11433000</c:v>
                </c:pt>
              </c:numCache>
            </c:numRef>
          </c:val>
          <c:extLst>
            <c:ext xmlns:c16="http://schemas.microsoft.com/office/drawing/2014/chart" uri="{C3380CC4-5D6E-409C-BE32-E72D297353CC}">
              <c16:uniqueId val="{00000003-CEFF-4FCE-9CBD-4CBDE0F0298D}"/>
            </c:ext>
          </c:extLst>
        </c:ser>
        <c:ser>
          <c:idx val="1"/>
          <c:order val="3"/>
          <c:tx>
            <c:strRef>
              <c:f>Data!$H$6</c:f>
              <c:strCache>
                <c:ptCount val="1"/>
                <c:pt idx="0">
                  <c:v>Funding Gap</c:v>
                </c:pt>
              </c:strCache>
            </c:strRef>
          </c:tx>
          <c:spPr>
            <a:solidFill>
              <a:srgbClr val="FF0000"/>
            </a:solidFill>
            <a:ln w="6350">
              <a:noFill/>
            </a:ln>
            <a:effectLst>
              <a:outerShdw blurRad="57150" dist="19050" dir="5400000" algn="ctr" rotWithShape="0">
                <a:prstClr val="black">
                  <a:alpha val="63000"/>
                </a:prstClr>
              </a:outerShdw>
            </a:effectLst>
          </c:spPr>
          <c:invertIfNegative val="0"/>
          <c:dLbls>
            <c:dLbl>
              <c:idx val="0"/>
              <c:layout>
                <c:manualLayout>
                  <c:x val="4.7499999999999999E-3"/>
                  <c:y val="-0.11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6E-4D63-988D-2469FA0D7F3C}"/>
                </c:ext>
              </c:extLst>
            </c:dLbl>
            <c:dLbl>
              <c:idx val="1"/>
              <c:layout>
                <c:manualLayout>
                  <c:x val="2.2499999999999998E-3"/>
                  <c:y val="-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6E-4D63-988D-2469FA0D7F3C}"/>
                </c:ext>
              </c:extLst>
            </c:dLbl>
            <c:dLbl>
              <c:idx val="2"/>
              <c:layout>
                <c:manualLayout>
                  <c:x val="1.15E-2"/>
                  <c:y val="-0.14124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6E-4D63-988D-2469FA0D7F3C}"/>
                </c:ext>
              </c:extLst>
            </c:dLbl>
            <c:dLbl>
              <c:idx val="3"/>
              <c:layout>
                <c:manualLayout>
                  <c:x val="1.15E-2"/>
                  <c:y val="-0.185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6E-4D63-988D-2469FA0D7F3C}"/>
                </c:ext>
              </c:extLst>
            </c:dLbl>
            <c:dLbl>
              <c:idx val="4"/>
              <c:layout>
                <c:manualLayout>
                  <c:x val="0"/>
                  <c:y val="-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6E-4D63-988D-2469FA0D7F3C}"/>
                </c:ext>
              </c:extLst>
            </c:dLbl>
            <c:spPr>
              <a:noFill/>
              <a:ln w="6350">
                <a:noFill/>
              </a:ln>
            </c:spPr>
            <c:txPr>
              <a:bodyPr rot="0" vert="horz">
                <a:spAutoFit/>
              </a:bodyPr>
              <a:lstStyle/>
              <a:p>
                <a:pPr algn="ctr">
                  <a:defRPr lang="en-US" sz="1400" b="1" i="0" u="none"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Data!$B$7:$B$11</c:f>
              <c:numCache>
                <c:formatCode>_(###0_);\(###0\);_("-"_);_)@_)</c:formatCode>
                <c:ptCount val="5"/>
                <c:pt idx="0">
                  <c:v>2019</c:v>
                </c:pt>
                <c:pt idx="1">
                  <c:v>2020</c:v>
                </c:pt>
                <c:pt idx="2">
                  <c:v>2021</c:v>
                </c:pt>
                <c:pt idx="3">
                  <c:v>2022</c:v>
                </c:pt>
                <c:pt idx="4">
                  <c:v>2023</c:v>
                </c:pt>
              </c:numCache>
            </c:numRef>
          </c:cat>
          <c:val>
            <c:numRef>
              <c:f>Data!$H$7:$H$11</c:f>
              <c:numCache>
                <c:formatCode>_("$"* #,##0.0_);_("$"* \(#,##0.0\);_("$"* "-"??_);_(@_)</c:formatCode>
                <c:ptCount val="5"/>
                <c:pt idx="0">
                  <c:v>30.757834692596674</c:v>
                </c:pt>
                <c:pt idx="1">
                  <c:v>14.428516272508919</c:v>
                </c:pt>
                <c:pt idx="2">
                  <c:v>37.46570930366093</c:v>
                </c:pt>
                <c:pt idx="3">
                  <c:v>61.725862849359764</c:v>
                </c:pt>
                <c:pt idx="4">
                  <c:v>62.986188435860647</c:v>
                </c:pt>
              </c:numCache>
            </c:numRef>
          </c:val>
          <c:extLst>
            <c:ext xmlns:c16="http://schemas.microsoft.com/office/drawing/2014/chart" uri="{C3380CC4-5D6E-409C-BE32-E72D297353CC}">
              <c16:uniqueId val="{00000008-CEFF-4FCE-9CBD-4CBDE0F0298D}"/>
            </c:ext>
          </c:extLst>
        </c:ser>
        <c:dLbls>
          <c:showLegendKey val="0"/>
          <c:showVal val="0"/>
          <c:showCatName val="0"/>
          <c:showSerName val="0"/>
          <c:showPercent val="0"/>
          <c:showBubbleSize val="0"/>
        </c:dLbls>
        <c:gapWidth val="30"/>
        <c:overlap val="100"/>
        <c:axId val="453155040"/>
        <c:axId val="453157760"/>
      </c:barChart>
      <c:barChart>
        <c:barDir val="col"/>
        <c:grouping val="stacked"/>
        <c:varyColors val="0"/>
        <c:ser>
          <c:idx val="0"/>
          <c:order val="2"/>
          <c:tx>
            <c:strRef>
              <c:f>Data!$C$6</c:f>
              <c:strCache>
                <c:ptCount val="1"/>
                <c:pt idx="0">
                  <c:v>Financial Requirement</c:v>
                </c:pt>
              </c:strCache>
            </c:strRef>
          </c:tx>
          <c:spPr>
            <a:solidFill>
              <a:schemeClr val="accent2">
                <a:lumMod val="75000"/>
                <a:alpha val="19000"/>
              </a:schemeClr>
            </a:solidFill>
            <a:ln w="6350">
              <a:noFill/>
            </a:ln>
            <a:effectLst>
              <a:outerShdw blurRad="57150" dist="19050" dir="5400000" algn="ctr" rotWithShape="0">
                <a:prstClr val="black">
                  <a:alpha val="63000"/>
                </a:prstClr>
              </a:outerShdw>
            </a:effectLst>
          </c:spPr>
          <c:invertIfNegative val="0"/>
          <c:cat>
            <c:numRef>
              <c:f>Data!$B$7:$B$11</c:f>
              <c:numCache>
                <c:formatCode>_(###0_);\(###0\);_("-"_);_)@_)</c:formatCode>
                <c:ptCount val="5"/>
                <c:pt idx="0">
                  <c:v>2019</c:v>
                </c:pt>
                <c:pt idx="1">
                  <c:v>2020</c:v>
                </c:pt>
                <c:pt idx="2">
                  <c:v>2021</c:v>
                </c:pt>
                <c:pt idx="3">
                  <c:v>2022</c:v>
                </c:pt>
                <c:pt idx="4">
                  <c:v>2023</c:v>
                </c:pt>
              </c:numCache>
            </c:numRef>
          </c:cat>
          <c:val>
            <c:numRef>
              <c:f>Data!$C$7:$C$11</c:f>
              <c:numCache>
                <c:formatCode>_("$"#,##0_);\("$"#,##0\);_("-"_);_)@_)</c:formatCode>
                <c:ptCount val="5"/>
                <c:pt idx="0">
                  <c:v>85463226.160927922</c:v>
                </c:pt>
                <c:pt idx="1">
                  <c:v>93607859.740840167</c:v>
                </c:pt>
                <c:pt idx="2">
                  <c:v>90753364.771992177</c:v>
                </c:pt>
                <c:pt idx="3">
                  <c:v>89724690.317691013</c:v>
                </c:pt>
                <c:pt idx="4">
                  <c:v>90975015.904191896</c:v>
                </c:pt>
              </c:numCache>
            </c:numRef>
          </c:val>
          <c:extLst>
            <c:ext xmlns:c16="http://schemas.microsoft.com/office/drawing/2014/chart" uri="{C3380CC4-5D6E-409C-BE32-E72D297353CC}">
              <c16:uniqueId val="{00000001-CEFF-4FCE-9CBD-4CBDE0F0298D}"/>
            </c:ext>
          </c:extLst>
        </c:ser>
        <c:dLbls>
          <c:showLegendKey val="0"/>
          <c:showVal val="0"/>
          <c:showCatName val="0"/>
          <c:showSerName val="0"/>
          <c:showPercent val="0"/>
          <c:showBubbleSize val="0"/>
        </c:dLbls>
        <c:gapWidth val="30"/>
        <c:overlap val="100"/>
        <c:axId val="453145792"/>
        <c:axId val="453148512"/>
      </c:barChart>
      <c:catAx>
        <c:axId val="453155040"/>
        <c:scaling>
          <c:orientation val="minMax"/>
        </c:scaling>
        <c:delete val="0"/>
        <c:axPos val="b"/>
        <c:numFmt formatCode="_(###0_);\(###0\);_(&quot;-&quot;_);_)@_)" sourceLinked="1"/>
        <c:majorTickMark val="none"/>
        <c:minorTickMark val="none"/>
        <c:tickLblPos val="nextTo"/>
        <c:spPr>
          <a:noFill/>
          <a:ln w="12700"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53157760"/>
        <c:crosses val="autoZero"/>
        <c:auto val="1"/>
        <c:lblAlgn val="ctr"/>
        <c:lblOffset val="100"/>
        <c:noMultiLvlLbl val="0"/>
      </c:catAx>
      <c:valAx>
        <c:axId val="453157760"/>
        <c:scaling>
          <c:orientation val="minMax"/>
          <c:max val="100000000"/>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53155040"/>
        <c:crosses val="autoZero"/>
        <c:crossBetween val="between"/>
      </c:valAx>
      <c:catAx>
        <c:axId val="453145792"/>
        <c:scaling>
          <c:orientation val="minMax"/>
        </c:scaling>
        <c:delete val="1"/>
        <c:axPos val="b"/>
        <c:numFmt formatCode="_(###0_);\(###0\);_(&quot;-&quot;_);_)@_)" sourceLinked="1"/>
        <c:majorTickMark val="out"/>
        <c:minorTickMark val="none"/>
        <c:tickLblPos val="nextTo"/>
        <c:crossAx val="453148512"/>
        <c:crosses val="autoZero"/>
        <c:auto val="1"/>
        <c:lblAlgn val="ctr"/>
        <c:lblOffset val="100"/>
        <c:noMultiLvlLbl val="0"/>
      </c:catAx>
      <c:valAx>
        <c:axId val="453148512"/>
        <c:scaling>
          <c:orientation val="minMax"/>
          <c:min val="0"/>
        </c:scaling>
        <c:delete val="0"/>
        <c:axPos val="r"/>
        <c:numFmt formatCode="_(&quot;$&quot;#,##0_);\(&quot;$&quot;#,##0\);_(&quot;-&quot;_);_)@_)" sourceLinked="1"/>
        <c:majorTickMark val="out"/>
        <c:minorTickMark val="none"/>
        <c:tickLblPos val="none"/>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53145792"/>
        <c:crosses val="max"/>
        <c:crossBetween val="between"/>
      </c:valAx>
      <c:spPr>
        <a:noFill/>
        <a:ln w="6350">
          <a:noFill/>
        </a:ln>
      </c:spPr>
    </c:plotArea>
    <c:legend>
      <c:legendPos val="b"/>
      <c:legendEntry>
        <c:idx val="2"/>
        <c:delete val="1"/>
      </c:legendEntry>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800" b="1" i="0" u="none" cap="all" spc="150" baseline="0">
                <a:solidFill>
                  <a:schemeClr val="tx1">
                    <a:lumMod val="50000"/>
                    <a:lumOff val="50000"/>
                  </a:schemeClr>
                </a:solidFill>
                <a:latin typeface="+mn-lt"/>
                <a:ea typeface="+mn-ea"/>
                <a:cs typeface="+mn-cs"/>
              </a:rPr>
              <a:t>ALL STRATEGIES</a:t>
            </a:r>
          </a:p>
        </c:rich>
      </c:tx>
      <c:layout>
        <c:manualLayout>
          <c:xMode val="edge"/>
          <c:yMode val="edge"/>
          <c:x val="3.9E-2"/>
          <c:y val="3.7249999999999998E-2"/>
        </c:manualLayout>
      </c:layout>
      <c:overlay val="0"/>
      <c:spPr>
        <a:noFill/>
        <a:ln w="6350">
          <a:noFill/>
        </a:ln>
      </c:spPr>
    </c:title>
    <c:autoTitleDeleted val="0"/>
    <c:plotArea>
      <c:layout>
        <c:manualLayout>
          <c:layoutTarget val="inner"/>
          <c:xMode val="edge"/>
          <c:yMode val="edge"/>
          <c:x val="0.16600000000000001"/>
          <c:y val="0.15425"/>
          <c:w val="0.75700000000000001"/>
          <c:h val="0.66525000000000001"/>
        </c:manualLayout>
      </c:layout>
      <c:areaChart>
        <c:grouping val="standard"/>
        <c:varyColors val="0"/>
        <c:ser>
          <c:idx val="1"/>
          <c:order val="0"/>
          <c:tx>
            <c:strRef>
              <c:f>'Financial Req'!$G$154</c:f>
              <c:strCache>
                <c:ptCount val="1"/>
                <c:pt idx="0">
                  <c:v>TOTAL - Necesidades financieras</c:v>
                </c:pt>
              </c:strCache>
            </c:strRef>
          </c:tx>
          <c:spPr>
            <a:pattFill prst="wdUpDiag">
              <a:fgClr>
                <a:srgbClr val="FF0000"/>
              </a:fgClr>
              <a:bgClr>
                <a:schemeClr val="bg1"/>
              </a:bgClr>
            </a:pattFill>
            <a:ln w="6350" cap="flat" cmpd="sng">
              <a:solidFill>
                <a:schemeClr val="accent1"/>
              </a:solidFill>
            </a:ln>
            <a:effectLst>
              <a:innerShdw blurRad="114300">
                <a:schemeClr val="accent2"/>
              </a:innerShdw>
            </a:effectLst>
          </c:spPr>
          <c:cat>
            <c:numRef>
              <c:f>Summary_Available_Funds!$J$6:$N$6</c:f>
              <c:numCache>
                <c:formatCode>_(###0_);\(###0\);_("-"_);_)@_)</c:formatCode>
                <c:ptCount val="5"/>
                <c:pt idx="0">
                  <c:v>2019</c:v>
                </c:pt>
                <c:pt idx="1">
                  <c:v>2020</c:v>
                </c:pt>
                <c:pt idx="2">
                  <c:v>2021</c:v>
                </c:pt>
                <c:pt idx="3">
                  <c:v>2022</c:v>
                </c:pt>
                <c:pt idx="4">
                  <c:v>2023</c:v>
                </c:pt>
              </c:numCache>
            </c:numRef>
          </c:cat>
          <c:val>
            <c:numRef>
              <c:f>'Financial Req'!$J$154:$N$154</c:f>
              <c:numCache>
                <c:formatCode>_("$"#,##0_);\("$"#,##0\);_("-"_);_)@_)</c:formatCode>
                <c:ptCount val="5"/>
                <c:pt idx="0">
                  <c:v>85463226.160927922</c:v>
                </c:pt>
                <c:pt idx="1">
                  <c:v>93607859.740840167</c:v>
                </c:pt>
                <c:pt idx="2">
                  <c:v>90753364.771992177</c:v>
                </c:pt>
                <c:pt idx="3">
                  <c:v>89724690.317691013</c:v>
                </c:pt>
                <c:pt idx="4">
                  <c:v>90975015.904191896</c:v>
                </c:pt>
              </c:numCache>
            </c:numRef>
          </c:val>
          <c:extLst>
            <c:ext xmlns:c16="http://schemas.microsoft.com/office/drawing/2014/chart" uri="{C3380CC4-5D6E-409C-BE32-E72D297353CC}">
              <c16:uniqueId val="{00000000-8F40-4278-8C3C-816234EB2240}"/>
            </c:ext>
          </c:extLst>
        </c:ser>
        <c:ser>
          <c:idx val="0"/>
          <c:order val="1"/>
          <c:tx>
            <c:strRef>
              <c:f>Summary_Available_Funds!$F$43</c:f>
              <c:strCache>
                <c:ptCount val="1"/>
                <c:pt idx="0">
                  <c:v>TOTAL - All Available Funds (USD)</c:v>
                </c:pt>
              </c:strCache>
            </c:strRef>
          </c:tx>
          <c:spPr>
            <a:solidFill>
              <a:schemeClr val="accent6">
                <a:lumMod val="75000"/>
              </a:schemeClr>
            </a:solidFill>
            <a:ln w="6350">
              <a:noFill/>
            </a:ln>
            <a:effectLst>
              <a:innerShdw blurRad="114300">
                <a:schemeClr val="accent1"/>
              </a:innerShdw>
            </a:effectLst>
          </c:spPr>
          <c:cat>
            <c:numRef>
              <c:f>Summary_Available_Funds!$J$6:$N$6</c:f>
              <c:numCache>
                <c:formatCode>_(###0_);\(###0\);_("-"_);_)@_)</c:formatCode>
                <c:ptCount val="5"/>
                <c:pt idx="0">
                  <c:v>2019</c:v>
                </c:pt>
                <c:pt idx="1">
                  <c:v>2020</c:v>
                </c:pt>
                <c:pt idx="2">
                  <c:v>2021</c:v>
                </c:pt>
                <c:pt idx="3">
                  <c:v>2022</c:v>
                </c:pt>
                <c:pt idx="4">
                  <c:v>2023</c:v>
                </c:pt>
              </c:numCache>
            </c:numRef>
          </c:cat>
          <c:val>
            <c:numRef>
              <c:f>Summary_Available_Funds!$J$43:$N$43</c:f>
              <c:numCache>
                <c:formatCode>_("$"#,##0_);\("$"#,##0\);_("-"_);_)@_)</c:formatCode>
                <c:ptCount val="5"/>
                <c:pt idx="0">
                  <c:v>54705391.468331248</c:v>
                </c:pt>
                <c:pt idx="1">
                  <c:v>79179343.468331248</c:v>
                </c:pt>
                <c:pt idx="2">
                  <c:v>53287655.468331248</c:v>
                </c:pt>
                <c:pt idx="3">
                  <c:v>27998827.468331248</c:v>
                </c:pt>
                <c:pt idx="4">
                  <c:v>27988827.468331248</c:v>
                </c:pt>
              </c:numCache>
            </c:numRef>
          </c:val>
          <c:extLst>
            <c:ext xmlns:c16="http://schemas.microsoft.com/office/drawing/2014/chart" uri="{C3380CC4-5D6E-409C-BE32-E72D297353CC}">
              <c16:uniqueId val="{00000001-8F40-4278-8C3C-816234EB2240}"/>
            </c:ext>
          </c:extLst>
        </c:ser>
        <c:dLbls>
          <c:showLegendKey val="0"/>
          <c:showVal val="0"/>
          <c:showCatName val="0"/>
          <c:showSerName val="0"/>
          <c:showPercent val="0"/>
          <c:showBubbleSize val="0"/>
        </c:dLbls>
        <c:axId val="453153952"/>
        <c:axId val="453151776"/>
      </c:areaChart>
      <c:catAx>
        <c:axId val="453153952"/>
        <c:scaling>
          <c:orientation val="minMax"/>
        </c:scaling>
        <c:delete val="0"/>
        <c:axPos val="b"/>
        <c:numFmt formatCode="_(###0_);\(###0\);_(&quot;-&quot;_);_)@_)" sourceLinked="1"/>
        <c:majorTickMark val="none"/>
        <c:minorTickMark val="none"/>
        <c:tickLblPos val="nextTo"/>
        <c:spPr>
          <a:noFill/>
          <a:ln w="6350">
            <a:noFill/>
          </a:ln>
        </c:spPr>
        <c:txPr>
          <a:bodyPr/>
          <a:lstStyle/>
          <a:p>
            <a:pPr>
              <a:defRPr lang="en-US" sz="900" b="0" i="0" u="none" cap="all" spc="120" baseline="0">
                <a:solidFill>
                  <a:schemeClr val="tx1">
                    <a:lumMod val="65000"/>
                    <a:lumOff val="35000"/>
                  </a:schemeClr>
                </a:solidFill>
                <a:latin typeface="+mn-lt"/>
                <a:ea typeface="+mn-ea"/>
                <a:cs typeface="+mn-cs"/>
              </a:defRPr>
            </a:pPr>
            <a:endParaRPr lang="en-US"/>
          </a:p>
        </c:txPr>
        <c:crossAx val="453151776"/>
        <c:crosses val="autoZero"/>
        <c:auto val="1"/>
        <c:lblAlgn val="ctr"/>
        <c:lblOffset val="100"/>
        <c:noMultiLvlLbl val="0"/>
      </c:catAx>
      <c:valAx>
        <c:axId val="453151776"/>
        <c:scaling>
          <c:orientation val="minMax"/>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53153952"/>
        <c:crosses val="autoZero"/>
        <c:crossBetween val="midCat"/>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800" b="1" i="0" u="none" cap="all" spc="150" baseline="0">
                <a:solidFill>
                  <a:schemeClr val="tx1">
                    <a:lumMod val="50000"/>
                    <a:lumOff val="50000"/>
                  </a:schemeClr>
                </a:solidFill>
                <a:latin typeface="+mn-lt"/>
                <a:ea typeface="+mn-ea"/>
                <a:cs typeface="+mn-cs"/>
              </a:rPr>
              <a:t>Estrategia 1</a:t>
            </a:r>
          </a:p>
        </c:rich>
      </c:tx>
      <c:layout>
        <c:manualLayout>
          <c:xMode val="edge"/>
          <c:yMode val="edge"/>
          <c:x val="1E-3"/>
          <c:y val="2.1999999999999999E-2"/>
        </c:manualLayout>
      </c:layout>
      <c:overlay val="0"/>
      <c:spPr>
        <a:noFill/>
        <a:ln w="6350">
          <a:noFill/>
        </a:ln>
      </c:spPr>
    </c:title>
    <c:autoTitleDeleted val="0"/>
    <c:plotArea>
      <c:layout>
        <c:manualLayout>
          <c:layoutTarget val="inner"/>
          <c:xMode val="edge"/>
          <c:yMode val="edge"/>
          <c:x val="0.22550000000000001"/>
          <c:y val="0.17649999999999999"/>
          <c:w val="0.70474999999999999"/>
          <c:h val="0.63424999999999998"/>
        </c:manualLayout>
      </c:layout>
      <c:areaChart>
        <c:grouping val="standard"/>
        <c:varyColors val="0"/>
        <c:ser>
          <c:idx val="1"/>
          <c:order val="0"/>
          <c:tx>
            <c:strRef>
              <c:f>Tablero!$F$147</c:f>
              <c:strCache>
                <c:ptCount val="1"/>
                <c:pt idx="0">
                  <c:v>Necesidad total</c:v>
                </c:pt>
              </c:strCache>
            </c:strRef>
          </c:tx>
          <c:spPr>
            <a:pattFill prst="wdUpDiag">
              <a:fgClr>
                <a:srgbClr val="FF0000"/>
              </a:fgClr>
              <a:bgClr>
                <a:schemeClr val="bg1"/>
              </a:bgClr>
            </a:pattFill>
            <a:ln w="6350" cap="flat" cmpd="sng">
              <a:solidFill>
                <a:schemeClr val="accent1"/>
              </a:solidFill>
            </a:ln>
            <a:effectLst>
              <a:innerShdw blurRad="114300">
                <a:schemeClr val="accent2"/>
              </a:innerShdw>
            </a:effectLst>
          </c:spPr>
          <c:cat>
            <c:numRef>
              <c:f>Summary_Available_Funds!$J$6:$N$6</c:f>
              <c:numCache>
                <c:formatCode>_(###0_);\(###0\);_("-"_);_)@_)</c:formatCode>
                <c:ptCount val="5"/>
                <c:pt idx="0">
                  <c:v>2019</c:v>
                </c:pt>
                <c:pt idx="1">
                  <c:v>2020</c:v>
                </c:pt>
                <c:pt idx="2">
                  <c:v>2021</c:v>
                </c:pt>
                <c:pt idx="3">
                  <c:v>2022</c:v>
                </c:pt>
                <c:pt idx="4">
                  <c:v>2023</c:v>
                </c:pt>
              </c:numCache>
            </c:numRef>
          </c:cat>
          <c:val>
            <c:numRef>
              <c:f>Tablero!$H$147:$L$147</c:f>
              <c:numCache>
                <c:formatCode>_("$"#,##0_);\("$"#,##0\);_("-"_);_)@_)</c:formatCode>
                <c:ptCount val="5"/>
                <c:pt idx="0">
                  <c:v>1259712.0555555555</c:v>
                </c:pt>
                <c:pt idx="1">
                  <c:v>770237.42777777778</c:v>
                </c:pt>
                <c:pt idx="2">
                  <c:v>1281733.5367222221</c:v>
                </c:pt>
                <c:pt idx="3">
                  <c:v>578030.38888888888</c:v>
                </c:pt>
                <c:pt idx="4">
                  <c:v>1170169.9444444445</c:v>
                </c:pt>
              </c:numCache>
            </c:numRef>
          </c:val>
          <c:extLst>
            <c:ext xmlns:c16="http://schemas.microsoft.com/office/drawing/2014/chart" uri="{C3380CC4-5D6E-409C-BE32-E72D297353CC}">
              <c16:uniqueId val="{00000001-0879-406B-B908-45E833AF44B8}"/>
            </c:ext>
          </c:extLst>
        </c:ser>
        <c:ser>
          <c:idx val="0"/>
          <c:order val="1"/>
          <c:tx>
            <c:strRef>
              <c:f>Tablero!$F$145</c:f>
              <c:strCache>
                <c:ptCount val="1"/>
                <c:pt idx="0">
                  <c:v>Fondos disponibles</c:v>
                </c:pt>
              </c:strCache>
            </c:strRef>
          </c:tx>
          <c:spPr>
            <a:solidFill>
              <a:schemeClr val="accent6">
                <a:lumMod val="75000"/>
              </a:schemeClr>
            </a:solidFill>
            <a:ln w="6350">
              <a:noFill/>
            </a:ln>
            <a:effectLst>
              <a:innerShdw blurRad="114300">
                <a:schemeClr val="accent1"/>
              </a:innerShdw>
            </a:effectLst>
          </c:spPr>
          <c:cat>
            <c:numRef>
              <c:f>Summary_Available_Funds!$J$6:$N$6</c:f>
              <c:numCache>
                <c:formatCode>_(###0_);\(###0\);_("-"_);_)@_)</c:formatCode>
                <c:ptCount val="5"/>
                <c:pt idx="0">
                  <c:v>2019</c:v>
                </c:pt>
                <c:pt idx="1">
                  <c:v>2020</c:v>
                </c:pt>
                <c:pt idx="2">
                  <c:v>2021</c:v>
                </c:pt>
                <c:pt idx="3">
                  <c:v>2022</c:v>
                </c:pt>
                <c:pt idx="4">
                  <c:v>2023</c:v>
                </c:pt>
              </c:numCache>
            </c:numRef>
          </c:cat>
          <c:val>
            <c:numRef>
              <c:f>Tablero!$H$145:$L$145</c:f>
              <c:numCache>
                <c:formatCode>_("$"#,##0_);\("$"#,##0\);_("-"_);_)@_)</c:formatCode>
                <c:ptCount val="5"/>
                <c:pt idx="0">
                  <c:v>517312.32394933002</c:v>
                </c:pt>
                <c:pt idx="1">
                  <c:v>802537.32394933002</c:v>
                </c:pt>
                <c:pt idx="2">
                  <c:v>478362.32394933002</c:v>
                </c:pt>
                <c:pt idx="3">
                  <c:v>189489.32394932999</c:v>
                </c:pt>
                <c:pt idx="4">
                  <c:v>184489.32394932999</c:v>
                </c:pt>
              </c:numCache>
            </c:numRef>
          </c:val>
          <c:extLst>
            <c:ext xmlns:c16="http://schemas.microsoft.com/office/drawing/2014/chart" uri="{C3380CC4-5D6E-409C-BE32-E72D297353CC}">
              <c16:uniqueId val="{00000000-0879-406B-B908-45E833AF44B8}"/>
            </c:ext>
          </c:extLst>
        </c:ser>
        <c:dLbls>
          <c:showLegendKey val="0"/>
          <c:showVal val="0"/>
          <c:showCatName val="0"/>
          <c:showSerName val="0"/>
          <c:showPercent val="0"/>
          <c:showBubbleSize val="0"/>
        </c:dLbls>
        <c:axId val="410667840"/>
        <c:axId val="410657504"/>
      </c:areaChart>
      <c:catAx>
        <c:axId val="410667840"/>
        <c:scaling>
          <c:orientation val="minMax"/>
        </c:scaling>
        <c:delete val="0"/>
        <c:axPos val="b"/>
        <c:numFmt formatCode="_(###0_);\(###0\);_(&quot;-&quot;_);_)@_)" sourceLinked="1"/>
        <c:majorTickMark val="none"/>
        <c:minorTickMark val="none"/>
        <c:tickLblPos val="nextTo"/>
        <c:spPr>
          <a:noFill/>
          <a:ln w="6350">
            <a:noFill/>
          </a:ln>
        </c:spPr>
        <c:txPr>
          <a:bodyPr/>
          <a:lstStyle/>
          <a:p>
            <a:pPr>
              <a:defRPr lang="en-US" sz="900" b="0" i="0" u="none" cap="all" spc="120" baseline="0">
                <a:solidFill>
                  <a:schemeClr val="tx1">
                    <a:lumMod val="65000"/>
                    <a:lumOff val="35000"/>
                  </a:schemeClr>
                </a:solidFill>
                <a:latin typeface="+mn-lt"/>
                <a:ea typeface="+mn-ea"/>
                <a:cs typeface="+mn-cs"/>
              </a:defRPr>
            </a:pPr>
            <a:endParaRPr lang="en-US"/>
          </a:p>
        </c:txPr>
        <c:crossAx val="410657504"/>
        <c:crosses val="autoZero"/>
        <c:auto val="1"/>
        <c:lblAlgn val="ctr"/>
        <c:lblOffset val="100"/>
        <c:noMultiLvlLbl val="0"/>
      </c:catAx>
      <c:valAx>
        <c:axId val="410657504"/>
        <c:scaling>
          <c:orientation val="minMax"/>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10667840"/>
        <c:crosses val="autoZero"/>
        <c:crossBetween val="midCat"/>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800" b="1" i="0" u="none" cap="all" spc="150" baseline="0">
                <a:solidFill>
                  <a:schemeClr val="tx1">
                    <a:lumMod val="50000"/>
                    <a:lumOff val="50000"/>
                  </a:schemeClr>
                </a:solidFill>
                <a:latin typeface="+mn-lt"/>
                <a:ea typeface="+mn-ea"/>
                <a:cs typeface="+mn-cs"/>
              </a:rPr>
              <a:t>Estrategia 2</a:t>
            </a:r>
          </a:p>
        </c:rich>
      </c:tx>
      <c:layout>
        <c:manualLayout>
          <c:xMode val="edge"/>
          <c:yMode val="edge"/>
          <c:x val="2E-3"/>
          <c:y val="0"/>
        </c:manualLayout>
      </c:layout>
      <c:overlay val="0"/>
      <c:spPr>
        <a:noFill/>
        <a:ln w="6350">
          <a:noFill/>
        </a:ln>
      </c:spPr>
    </c:title>
    <c:autoTitleDeleted val="0"/>
    <c:plotArea>
      <c:layout/>
      <c:areaChart>
        <c:grouping val="standard"/>
        <c:varyColors val="0"/>
        <c:ser>
          <c:idx val="1"/>
          <c:order val="0"/>
          <c:tx>
            <c:strRef>
              <c:f>Tablero!$F$194</c:f>
              <c:strCache>
                <c:ptCount val="1"/>
                <c:pt idx="0">
                  <c:v>Necesidad total</c:v>
                </c:pt>
              </c:strCache>
            </c:strRef>
          </c:tx>
          <c:spPr>
            <a:pattFill prst="wdUpDiag">
              <a:fgClr>
                <a:srgbClr val="FF0000"/>
              </a:fgClr>
              <a:bgClr>
                <a:schemeClr val="bg1"/>
              </a:bgClr>
            </a:pattFill>
            <a:ln w="6350" cap="flat" cmpd="sng">
              <a:solidFill>
                <a:schemeClr val="accent1"/>
              </a:solidFill>
            </a:ln>
            <a:effectLst>
              <a:innerShdw blurRad="114300">
                <a:schemeClr val="accent2"/>
              </a:innerShdw>
            </a:effectLst>
          </c:spPr>
          <c:cat>
            <c:numRef>
              <c:f>Summary_Available_Funds!$J$6:$N$6</c:f>
              <c:numCache>
                <c:formatCode>_(###0_);\(###0\);_("-"_);_)@_)</c:formatCode>
                <c:ptCount val="5"/>
                <c:pt idx="0">
                  <c:v>2019</c:v>
                </c:pt>
                <c:pt idx="1">
                  <c:v>2020</c:v>
                </c:pt>
                <c:pt idx="2">
                  <c:v>2021</c:v>
                </c:pt>
                <c:pt idx="3">
                  <c:v>2022</c:v>
                </c:pt>
                <c:pt idx="4">
                  <c:v>2023</c:v>
                </c:pt>
              </c:numCache>
            </c:numRef>
          </c:cat>
          <c:val>
            <c:numRef>
              <c:f>Tablero!$H$194:$L$194</c:f>
              <c:numCache>
                <c:formatCode>_("$"#,##0_);\("$"#,##0\);_("-"_);_)@_)</c:formatCode>
                <c:ptCount val="5"/>
                <c:pt idx="0">
                  <c:v>12068015.644515835</c:v>
                </c:pt>
                <c:pt idx="1">
                  <c:v>14532447.384157779</c:v>
                </c:pt>
                <c:pt idx="2">
                  <c:v>13128649.85630011</c:v>
                </c:pt>
                <c:pt idx="3">
                  <c:v>13245195.400270222</c:v>
                </c:pt>
                <c:pt idx="4">
                  <c:v>13335574.827791667</c:v>
                </c:pt>
              </c:numCache>
            </c:numRef>
          </c:val>
          <c:extLst>
            <c:ext xmlns:c16="http://schemas.microsoft.com/office/drawing/2014/chart" uri="{C3380CC4-5D6E-409C-BE32-E72D297353CC}">
              <c16:uniqueId val="{00000001-95CE-4F35-8DB4-F581F8D44798}"/>
            </c:ext>
          </c:extLst>
        </c:ser>
        <c:ser>
          <c:idx val="0"/>
          <c:order val="1"/>
          <c:tx>
            <c:v>Fondos disponibles</c:v>
          </c:tx>
          <c:spPr>
            <a:solidFill>
              <a:schemeClr val="accent6">
                <a:lumMod val="75000"/>
              </a:schemeClr>
            </a:solidFill>
            <a:ln w="6350">
              <a:noFill/>
            </a:ln>
            <a:effectLst>
              <a:innerShdw blurRad="114300">
                <a:schemeClr val="accent1"/>
              </a:innerShdw>
            </a:effectLst>
          </c:spPr>
          <c:cat>
            <c:numRef>
              <c:f>Summary_Available_Funds!$J$6:$N$6</c:f>
              <c:numCache>
                <c:formatCode>_(###0_);\(###0\);_("-"_);_)@_)</c:formatCode>
                <c:ptCount val="5"/>
                <c:pt idx="0">
                  <c:v>2019</c:v>
                </c:pt>
                <c:pt idx="1">
                  <c:v>2020</c:v>
                </c:pt>
                <c:pt idx="2">
                  <c:v>2021</c:v>
                </c:pt>
                <c:pt idx="3">
                  <c:v>2022</c:v>
                </c:pt>
                <c:pt idx="4">
                  <c:v>2023</c:v>
                </c:pt>
              </c:numCache>
            </c:numRef>
          </c:cat>
          <c:val>
            <c:numRef>
              <c:f>Tablero!$H$192:$L$192</c:f>
              <c:numCache>
                <c:formatCode>_("$"#,##0_);\("$"#,##0\);_("-"_);_)@_)</c:formatCode>
                <c:ptCount val="5"/>
                <c:pt idx="0">
                  <c:v>10189349.544239035</c:v>
                </c:pt>
                <c:pt idx="1">
                  <c:v>13258123.044239035</c:v>
                </c:pt>
                <c:pt idx="2">
                  <c:v>10199349.544239035</c:v>
                </c:pt>
                <c:pt idx="3">
                  <c:v>7356295.0442390349</c:v>
                </c:pt>
                <c:pt idx="4">
                  <c:v>7351295.0442390349</c:v>
                </c:pt>
              </c:numCache>
            </c:numRef>
          </c:val>
          <c:extLst>
            <c:ext xmlns:c16="http://schemas.microsoft.com/office/drawing/2014/chart" uri="{C3380CC4-5D6E-409C-BE32-E72D297353CC}">
              <c16:uniqueId val="{00000000-95CE-4F35-8DB4-F581F8D44798}"/>
            </c:ext>
          </c:extLst>
        </c:ser>
        <c:dLbls>
          <c:showLegendKey val="0"/>
          <c:showVal val="0"/>
          <c:showCatName val="0"/>
          <c:showSerName val="0"/>
          <c:showPercent val="0"/>
          <c:showBubbleSize val="0"/>
        </c:dLbls>
        <c:axId val="410666752"/>
        <c:axId val="410652608"/>
      </c:areaChart>
      <c:catAx>
        <c:axId val="410666752"/>
        <c:scaling>
          <c:orientation val="minMax"/>
        </c:scaling>
        <c:delete val="0"/>
        <c:axPos val="b"/>
        <c:numFmt formatCode="_(###0_);\(###0\);_(&quot;-&quot;_);_)@_)" sourceLinked="1"/>
        <c:majorTickMark val="none"/>
        <c:minorTickMark val="none"/>
        <c:tickLblPos val="nextTo"/>
        <c:spPr>
          <a:noFill/>
          <a:ln w="6350">
            <a:noFill/>
          </a:ln>
        </c:spPr>
        <c:txPr>
          <a:bodyPr/>
          <a:lstStyle/>
          <a:p>
            <a:pPr>
              <a:defRPr lang="en-US" sz="900" b="0" i="0" u="none" cap="all" spc="120" baseline="0">
                <a:solidFill>
                  <a:schemeClr val="tx1">
                    <a:lumMod val="65000"/>
                    <a:lumOff val="35000"/>
                  </a:schemeClr>
                </a:solidFill>
                <a:latin typeface="+mn-lt"/>
                <a:ea typeface="+mn-ea"/>
                <a:cs typeface="+mn-cs"/>
              </a:defRPr>
            </a:pPr>
            <a:endParaRPr lang="en-US"/>
          </a:p>
        </c:txPr>
        <c:crossAx val="410652608"/>
        <c:crosses val="autoZero"/>
        <c:auto val="1"/>
        <c:lblAlgn val="ctr"/>
        <c:lblOffset val="100"/>
        <c:noMultiLvlLbl val="0"/>
      </c:catAx>
      <c:valAx>
        <c:axId val="410652608"/>
        <c:scaling>
          <c:orientation val="minMax"/>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10666752"/>
        <c:crosses val="autoZero"/>
        <c:crossBetween val="midCat"/>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800" b="1" i="0" u="none" cap="all" spc="150" baseline="0">
                <a:solidFill>
                  <a:schemeClr val="tx1">
                    <a:lumMod val="50000"/>
                    <a:lumOff val="50000"/>
                  </a:schemeClr>
                </a:solidFill>
                <a:latin typeface="+mn-lt"/>
                <a:ea typeface="+mn-ea"/>
                <a:cs typeface="+mn-cs"/>
              </a:rPr>
              <a:t>Estrategia 4</a:t>
            </a:r>
          </a:p>
        </c:rich>
      </c:tx>
      <c:layout>
        <c:manualLayout>
          <c:xMode val="edge"/>
          <c:yMode val="edge"/>
          <c:x val="3.4250000000000003E-2"/>
          <c:y val="2.5999999999999999E-2"/>
        </c:manualLayout>
      </c:layout>
      <c:overlay val="0"/>
      <c:spPr>
        <a:noFill/>
        <a:ln w="6350">
          <a:noFill/>
        </a:ln>
      </c:spPr>
    </c:title>
    <c:autoTitleDeleted val="0"/>
    <c:plotArea>
      <c:layout/>
      <c:areaChart>
        <c:grouping val="standard"/>
        <c:varyColors val="0"/>
        <c:ser>
          <c:idx val="1"/>
          <c:order val="0"/>
          <c:tx>
            <c:strRef>
              <c:f>Tablero!$F$289</c:f>
              <c:strCache>
                <c:ptCount val="1"/>
                <c:pt idx="0">
                  <c:v>Necesidad total</c:v>
                </c:pt>
              </c:strCache>
            </c:strRef>
          </c:tx>
          <c:spPr>
            <a:pattFill prst="wdUpDiag">
              <a:fgClr>
                <a:srgbClr val="FF0000"/>
              </a:fgClr>
              <a:bgClr>
                <a:schemeClr val="bg1"/>
              </a:bgClr>
            </a:pattFill>
            <a:ln w="6350" cap="flat" cmpd="sng">
              <a:solidFill>
                <a:schemeClr val="accent1"/>
              </a:solidFill>
            </a:ln>
            <a:effectLst>
              <a:innerShdw blurRad="114300">
                <a:schemeClr val="accent2"/>
              </a:innerShdw>
            </a:effectLst>
          </c:spPr>
          <c:cat>
            <c:numRef>
              <c:f>Summary_Available_Funds!$J$6:$N$6</c:f>
              <c:numCache>
                <c:formatCode>_(###0_);\(###0\);_("-"_);_)@_)</c:formatCode>
                <c:ptCount val="5"/>
                <c:pt idx="0">
                  <c:v>2019</c:v>
                </c:pt>
                <c:pt idx="1">
                  <c:v>2020</c:v>
                </c:pt>
                <c:pt idx="2">
                  <c:v>2021</c:v>
                </c:pt>
                <c:pt idx="3">
                  <c:v>2022</c:v>
                </c:pt>
                <c:pt idx="4">
                  <c:v>2023</c:v>
                </c:pt>
              </c:numCache>
            </c:numRef>
          </c:cat>
          <c:val>
            <c:numRef>
              <c:f>Tablero!$H$289:$L$289</c:f>
              <c:numCache>
                <c:formatCode>_("$"#,##0_);\("$"#,##0\);_("-"_);_)@_)</c:formatCode>
                <c:ptCount val="5"/>
                <c:pt idx="0">
                  <c:v>21615806.552014668</c:v>
                </c:pt>
                <c:pt idx="1">
                  <c:v>21496463.097007111</c:v>
                </c:pt>
                <c:pt idx="2">
                  <c:v>21534618.001151111</c:v>
                </c:pt>
                <c:pt idx="3">
                  <c:v>21573277.292925108</c:v>
                </c:pt>
                <c:pt idx="4">
                  <c:v>21612418.065237112</c:v>
                </c:pt>
              </c:numCache>
            </c:numRef>
          </c:val>
          <c:extLst>
            <c:ext xmlns:c16="http://schemas.microsoft.com/office/drawing/2014/chart" uri="{C3380CC4-5D6E-409C-BE32-E72D297353CC}">
              <c16:uniqueId val="{00000001-BC96-4079-A352-A1B4E1C48D9F}"/>
            </c:ext>
          </c:extLst>
        </c:ser>
        <c:ser>
          <c:idx val="0"/>
          <c:order val="1"/>
          <c:tx>
            <c:v>Fondos disponibles</c:v>
          </c:tx>
          <c:spPr>
            <a:solidFill>
              <a:schemeClr val="accent6">
                <a:lumMod val="75000"/>
              </a:schemeClr>
            </a:solidFill>
            <a:ln w="6350">
              <a:noFill/>
            </a:ln>
            <a:effectLst>
              <a:innerShdw blurRad="114300">
                <a:schemeClr val="accent1"/>
              </a:innerShdw>
            </a:effectLst>
          </c:spPr>
          <c:cat>
            <c:numRef>
              <c:f>Summary_Available_Funds!$J$6:$N$6</c:f>
              <c:numCache>
                <c:formatCode>_(###0_);\(###0\);_("-"_);_)@_)</c:formatCode>
                <c:ptCount val="5"/>
                <c:pt idx="0">
                  <c:v>2019</c:v>
                </c:pt>
                <c:pt idx="1">
                  <c:v>2020</c:v>
                </c:pt>
                <c:pt idx="2">
                  <c:v>2021</c:v>
                </c:pt>
                <c:pt idx="3">
                  <c:v>2022</c:v>
                </c:pt>
                <c:pt idx="4">
                  <c:v>2023</c:v>
                </c:pt>
              </c:numCache>
            </c:numRef>
          </c:cat>
          <c:val>
            <c:numRef>
              <c:f>Tablero!$H$287:$L$287</c:f>
              <c:numCache>
                <c:formatCode>_("$"#,##0_);\("$"#,##0\);_("-"_);_)@_)</c:formatCode>
                <c:ptCount val="5"/>
                <c:pt idx="0">
                  <c:v>11468625.770863619</c:v>
                </c:pt>
                <c:pt idx="1">
                  <c:v>14879561.270863619</c:v>
                </c:pt>
                <c:pt idx="2">
                  <c:v>11431225.770863619</c:v>
                </c:pt>
                <c:pt idx="3">
                  <c:v>7948148.2708636187</c:v>
                </c:pt>
                <c:pt idx="4">
                  <c:v>7948148.2708636187</c:v>
                </c:pt>
              </c:numCache>
            </c:numRef>
          </c:val>
          <c:extLst>
            <c:ext xmlns:c16="http://schemas.microsoft.com/office/drawing/2014/chart" uri="{C3380CC4-5D6E-409C-BE32-E72D297353CC}">
              <c16:uniqueId val="{00000000-BC96-4079-A352-A1B4E1C48D9F}"/>
            </c:ext>
          </c:extLst>
        </c:ser>
        <c:dLbls>
          <c:showLegendKey val="0"/>
          <c:showVal val="0"/>
          <c:showCatName val="0"/>
          <c:showSerName val="0"/>
          <c:showPercent val="0"/>
          <c:showBubbleSize val="0"/>
        </c:dLbls>
        <c:axId val="410653696"/>
        <c:axId val="410656960"/>
      </c:areaChart>
      <c:catAx>
        <c:axId val="410653696"/>
        <c:scaling>
          <c:orientation val="minMax"/>
        </c:scaling>
        <c:delete val="0"/>
        <c:axPos val="b"/>
        <c:numFmt formatCode="_(###0_);\(###0\);_(&quot;-&quot;_);_)@_)" sourceLinked="1"/>
        <c:majorTickMark val="none"/>
        <c:minorTickMark val="none"/>
        <c:tickLblPos val="nextTo"/>
        <c:spPr>
          <a:noFill/>
          <a:ln w="6350">
            <a:noFill/>
          </a:ln>
        </c:spPr>
        <c:txPr>
          <a:bodyPr/>
          <a:lstStyle/>
          <a:p>
            <a:pPr>
              <a:defRPr lang="en-US" sz="900" b="0" i="0" u="none" cap="all" spc="120" baseline="0">
                <a:solidFill>
                  <a:schemeClr val="tx1">
                    <a:lumMod val="65000"/>
                    <a:lumOff val="35000"/>
                  </a:schemeClr>
                </a:solidFill>
                <a:latin typeface="+mn-lt"/>
                <a:ea typeface="+mn-ea"/>
                <a:cs typeface="+mn-cs"/>
              </a:defRPr>
            </a:pPr>
            <a:endParaRPr lang="en-US"/>
          </a:p>
        </c:txPr>
        <c:crossAx val="410656960"/>
        <c:crosses val="autoZero"/>
        <c:auto val="1"/>
        <c:lblAlgn val="ctr"/>
        <c:lblOffset val="100"/>
        <c:noMultiLvlLbl val="0"/>
      </c:catAx>
      <c:valAx>
        <c:axId val="410656960"/>
        <c:scaling>
          <c:orientation val="minMax"/>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10653696"/>
        <c:crosses val="autoZero"/>
        <c:crossBetween val="midCat"/>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800" b="1" i="0" u="none" cap="all" spc="150" baseline="0">
                <a:solidFill>
                  <a:schemeClr val="tx1">
                    <a:lumMod val="50000"/>
                    <a:lumOff val="50000"/>
                  </a:schemeClr>
                </a:solidFill>
                <a:latin typeface="+mn-lt"/>
                <a:ea typeface="+mn-ea"/>
                <a:cs typeface="+mn-cs"/>
              </a:rPr>
              <a:t>ESTRATEGIA 5</a:t>
            </a:r>
          </a:p>
        </c:rich>
      </c:tx>
      <c:layout>
        <c:manualLayout>
          <c:xMode val="edge"/>
          <c:yMode val="edge"/>
          <c:x val="4.2750000000000003E-2"/>
          <c:y val="2.6249999999999999E-2"/>
        </c:manualLayout>
      </c:layout>
      <c:overlay val="0"/>
      <c:spPr>
        <a:noFill/>
        <a:ln w="6350">
          <a:noFill/>
        </a:ln>
      </c:spPr>
    </c:title>
    <c:autoTitleDeleted val="0"/>
    <c:plotArea>
      <c:layout/>
      <c:areaChart>
        <c:grouping val="standard"/>
        <c:varyColors val="0"/>
        <c:ser>
          <c:idx val="1"/>
          <c:order val="0"/>
          <c:tx>
            <c:strRef>
              <c:f>Tablero!$F$337</c:f>
              <c:strCache>
                <c:ptCount val="1"/>
                <c:pt idx="0">
                  <c:v>Necesidad total</c:v>
                </c:pt>
              </c:strCache>
            </c:strRef>
          </c:tx>
          <c:spPr>
            <a:pattFill prst="wdUpDiag">
              <a:fgClr>
                <a:srgbClr val="FF0000"/>
              </a:fgClr>
              <a:bgClr>
                <a:schemeClr val="bg1"/>
              </a:bgClr>
            </a:pattFill>
            <a:ln w="6350" cap="flat" cmpd="sng">
              <a:solidFill>
                <a:schemeClr val="accent1"/>
              </a:solidFill>
            </a:ln>
            <a:effectLst>
              <a:innerShdw blurRad="114300">
                <a:schemeClr val="accent2"/>
              </a:innerShdw>
            </a:effectLst>
          </c:spPr>
          <c:cat>
            <c:numRef>
              <c:f>Summary_Available_Funds!$J$6:$N$6</c:f>
              <c:numCache>
                <c:formatCode>_(###0_);\(###0\);_("-"_);_)@_)</c:formatCode>
                <c:ptCount val="5"/>
                <c:pt idx="0">
                  <c:v>2019</c:v>
                </c:pt>
                <c:pt idx="1">
                  <c:v>2020</c:v>
                </c:pt>
                <c:pt idx="2">
                  <c:v>2021</c:v>
                </c:pt>
                <c:pt idx="3">
                  <c:v>2022</c:v>
                </c:pt>
                <c:pt idx="4">
                  <c:v>2023</c:v>
                </c:pt>
              </c:numCache>
            </c:numRef>
          </c:cat>
          <c:val>
            <c:numRef>
              <c:f>Tablero!$H$337:$L$337</c:f>
              <c:numCache>
                <c:formatCode>_("$"#,##0_);\("$"#,##0\);_("-"_);_)@_)</c:formatCode>
                <c:ptCount val="5"/>
                <c:pt idx="0">
                  <c:v>3031886.0564814834</c:v>
                </c:pt>
                <c:pt idx="1">
                  <c:v>7483434.4824073883</c:v>
                </c:pt>
                <c:pt idx="2">
                  <c:v>7448500.5935185011</c:v>
                </c:pt>
                <c:pt idx="3">
                  <c:v>7440167.2601851672</c:v>
                </c:pt>
                <c:pt idx="4">
                  <c:v>7448500.5935185011</c:v>
                </c:pt>
              </c:numCache>
            </c:numRef>
          </c:val>
          <c:extLst>
            <c:ext xmlns:c16="http://schemas.microsoft.com/office/drawing/2014/chart" uri="{C3380CC4-5D6E-409C-BE32-E72D297353CC}">
              <c16:uniqueId val="{00000001-6994-40EC-8EBB-FD1523F3E807}"/>
            </c:ext>
          </c:extLst>
        </c:ser>
        <c:ser>
          <c:idx val="0"/>
          <c:order val="1"/>
          <c:tx>
            <c:v>Fondos disponibles</c:v>
          </c:tx>
          <c:spPr>
            <a:solidFill>
              <a:schemeClr val="accent6">
                <a:lumMod val="75000"/>
              </a:schemeClr>
            </a:solidFill>
            <a:ln w="6350">
              <a:noFill/>
            </a:ln>
            <a:effectLst>
              <a:innerShdw blurRad="114300">
                <a:schemeClr val="accent1"/>
              </a:innerShdw>
            </a:effectLst>
          </c:spPr>
          <c:cat>
            <c:numRef>
              <c:f>Summary_Available_Funds!$J$6:$N$6</c:f>
              <c:numCache>
                <c:formatCode>_(###0_);\(###0\);_("-"_);_)@_)</c:formatCode>
                <c:ptCount val="5"/>
                <c:pt idx="0">
                  <c:v>2019</c:v>
                </c:pt>
                <c:pt idx="1">
                  <c:v>2020</c:v>
                </c:pt>
                <c:pt idx="2">
                  <c:v>2021</c:v>
                </c:pt>
                <c:pt idx="3">
                  <c:v>2022</c:v>
                </c:pt>
                <c:pt idx="4">
                  <c:v>2023</c:v>
                </c:pt>
              </c:numCache>
            </c:numRef>
          </c:cat>
          <c:val>
            <c:numRef>
              <c:f>Tablero!$H$335:$L$335</c:f>
              <c:numCache>
                <c:formatCode>_("$"#,##0_);\("$"#,##0\);_("-"_);_)@_)</c:formatCode>
                <c:ptCount val="5"/>
                <c:pt idx="0">
                  <c:v>4264406.5986326421</c:v>
                </c:pt>
                <c:pt idx="1">
                  <c:v>4178445.5986326425</c:v>
                </c:pt>
                <c:pt idx="2">
                  <c:v>3875920.5986326425</c:v>
                </c:pt>
                <c:pt idx="3">
                  <c:v>3592047.5986326425</c:v>
                </c:pt>
                <c:pt idx="4">
                  <c:v>3592047.5986326425</c:v>
                </c:pt>
              </c:numCache>
            </c:numRef>
          </c:val>
          <c:extLst>
            <c:ext xmlns:c16="http://schemas.microsoft.com/office/drawing/2014/chart" uri="{C3380CC4-5D6E-409C-BE32-E72D297353CC}">
              <c16:uniqueId val="{00000000-6994-40EC-8EBB-FD1523F3E807}"/>
            </c:ext>
          </c:extLst>
        </c:ser>
        <c:dLbls>
          <c:showLegendKey val="0"/>
          <c:showVal val="0"/>
          <c:showCatName val="0"/>
          <c:showSerName val="0"/>
          <c:showPercent val="0"/>
          <c:showBubbleSize val="0"/>
        </c:dLbls>
        <c:axId val="410661856"/>
        <c:axId val="410659136"/>
      </c:areaChart>
      <c:catAx>
        <c:axId val="410661856"/>
        <c:scaling>
          <c:orientation val="minMax"/>
        </c:scaling>
        <c:delete val="0"/>
        <c:axPos val="b"/>
        <c:numFmt formatCode="_(###0_);\(###0\);_(&quot;-&quot;_);_)@_)" sourceLinked="1"/>
        <c:majorTickMark val="none"/>
        <c:minorTickMark val="none"/>
        <c:tickLblPos val="nextTo"/>
        <c:spPr>
          <a:noFill/>
          <a:ln w="6350">
            <a:noFill/>
          </a:ln>
        </c:spPr>
        <c:txPr>
          <a:bodyPr/>
          <a:lstStyle/>
          <a:p>
            <a:pPr>
              <a:defRPr lang="en-US" sz="900" b="0" i="0" u="none" cap="all" spc="120" baseline="0">
                <a:solidFill>
                  <a:schemeClr val="tx1">
                    <a:lumMod val="65000"/>
                    <a:lumOff val="35000"/>
                  </a:schemeClr>
                </a:solidFill>
                <a:latin typeface="+mn-lt"/>
                <a:ea typeface="+mn-ea"/>
                <a:cs typeface="+mn-cs"/>
              </a:defRPr>
            </a:pPr>
            <a:endParaRPr lang="en-US"/>
          </a:p>
        </c:txPr>
        <c:crossAx val="410659136"/>
        <c:crosses val="autoZero"/>
        <c:auto val="1"/>
        <c:lblAlgn val="ctr"/>
        <c:lblOffset val="100"/>
        <c:noMultiLvlLbl val="0"/>
      </c:catAx>
      <c:valAx>
        <c:axId val="410659136"/>
        <c:scaling>
          <c:orientation val="minMax"/>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10661856"/>
        <c:crosses val="autoZero"/>
        <c:crossBetween val="midCat"/>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800" b="1" i="0" u="none" cap="all" spc="150" baseline="0">
                <a:solidFill>
                  <a:schemeClr val="tx1">
                    <a:lumMod val="50000"/>
                    <a:lumOff val="50000"/>
                  </a:schemeClr>
                </a:solidFill>
                <a:latin typeface="+mn-lt"/>
                <a:ea typeface="+mn-ea"/>
                <a:cs typeface="+mn-cs"/>
              </a:rPr>
              <a:t>Estrategia 3</a:t>
            </a:r>
          </a:p>
        </c:rich>
      </c:tx>
      <c:layout>
        <c:manualLayout>
          <c:xMode val="edge"/>
          <c:yMode val="edge"/>
          <c:x val="3.8249999999999999E-2"/>
          <c:y val="3.7499999999999999E-2"/>
        </c:manualLayout>
      </c:layout>
      <c:overlay val="0"/>
      <c:spPr>
        <a:noFill/>
        <a:ln w="6350">
          <a:noFill/>
        </a:ln>
      </c:spPr>
    </c:title>
    <c:autoTitleDeleted val="0"/>
    <c:plotArea>
      <c:layout/>
      <c:areaChart>
        <c:grouping val="standard"/>
        <c:varyColors val="0"/>
        <c:ser>
          <c:idx val="1"/>
          <c:order val="0"/>
          <c:tx>
            <c:strRef>
              <c:f>Tablero!$F$241</c:f>
              <c:strCache>
                <c:ptCount val="1"/>
                <c:pt idx="0">
                  <c:v>Necesidad total</c:v>
                </c:pt>
              </c:strCache>
            </c:strRef>
          </c:tx>
          <c:spPr>
            <a:pattFill prst="wdUpDiag">
              <a:fgClr>
                <a:srgbClr val="FF0000"/>
              </a:fgClr>
              <a:bgClr>
                <a:schemeClr val="bg1"/>
              </a:bgClr>
            </a:pattFill>
            <a:ln w="6350" cap="flat" cmpd="sng">
              <a:solidFill>
                <a:schemeClr val="accent1"/>
              </a:solidFill>
            </a:ln>
            <a:effectLst>
              <a:innerShdw blurRad="114300">
                <a:schemeClr val="accent2"/>
              </a:innerShdw>
            </a:effectLst>
          </c:spPr>
          <c:cat>
            <c:numRef>
              <c:f>Summary_Available_Funds!$J$6:$N$6</c:f>
              <c:numCache>
                <c:formatCode>_(###0_);\(###0\);_("-"_);_)@_)</c:formatCode>
                <c:ptCount val="5"/>
                <c:pt idx="0">
                  <c:v>2019</c:v>
                </c:pt>
                <c:pt idx="1">
                  <c:v>2020</c:v>
                </c:pt>
                <c:pt idx="2">
                  <c:v>2021</c:v>
                </c:pt>
                <c:pt idx="3">
                  <c:v>2022</c:v>
                </c:pt>
                <c:pt idx="4">
                  <c:v>2023</c:v>
                </c:pt>
              </c:numCache>
            </c:numRef>
          </c:cat>
          <c:val>
            <c:numRef>
              <c:f>Tablero!$H$241:$L$241</c:f>
              <c:numCache>
                <c:formatCode>_("$"#,##0_);\("$"#,##0\);_("-"_);_)@_)</c:formatCode>
                <c:ptCount val="5"/>
                <c:pt idx="0">
                  <c:v>47487805.85236039</c:v>
                </c:pt>
                <c:pt idx="1">
                  <c:v>49325277.349490114</c:v>
                </c:pt>
                <c:pt idx="2">
                  <c:v>47359862.784300223</c:v>
                </c:pt>
                <c:pt idx="3">
                  <c:v>46888019.975421607</c:v>
                </c:pt>
                <c:pt idx="4">
                  <c:v>47408352.473200165</c:v>
                </c:pt>
              </c:numCache>
            </c:numRef>
          </c:val>
          <c:extLst>
            <c:ext xmlns:c16="http://schemas.microsoft.com/office/drawing/2014/chart" uri="{C3380CC4-5D6E-409C-BE32-E72D297353CC}">
              <c16:uniqueId val="{00000001-CA2F-4C86-BF70-C953D1904644}"/>
            </c:ext>
          </c:extLst>
        </c:ser>
        <c:ser>
          <c:idx val="0"/>
          <c:order val="1"/>
          <c:tx>
            <c:v>Fondos disponibles</c:v>
          </c:tx>
          <c:spPr>
            <a:solidFill>
              <a:schemeClr val="accent6">
                <a:lumMod val="75000"/>
              </a:schemeClr>
            </a:solidFill>
            <a:ln w="6350">
              <a:noFill/>
            </a:ln>
            <a:effectLst>
              <a:innerShdw blurRad="114300">
                <a:schemeClr val="accent1"/>
              </a:innerShdw>
            </a:effectLst>
          </c:spPr>
          <c:cat>
            <c:numRef>
              <c:f>Summary_Available_Funds!$J$6:$N$6</c:f>
              <c:numCache>
                <c:formatCode>_(###0_);\(###0\);_("-"_);_)@_)</c:formatCode>
                <c:ptCount val="5"/>
                <c:pt idx="0">
                  <c:v>2019</c:v>
                </c:pt>
                <c:pt idx="1">
                  <c:v>2020</c:v>
                </c:pt>
                <c:pt idx="2">
                  <c:v>2021</c:v>
                </c:pt>
                <c:pt idx="3">
                  <c:v>2022</c:v>
                </c:pt>
                <c:pt idx="4">
                  <c:v>2023</c:v>
                </c:pt>
              </c:numCache>
            </c:numRef>
          </c:cat>
          <c:val>
            <c:numRef>
              <c:f>Tablero!$H$239:$L$239</c:f>
              <c:numCache>
                <c:formatCode>_("$"#,##0_);\("$"#,##0\);_("-"_);_)@_)</c:formatCode>
                <c:ptCount val="5"/>
                <c:pt idx="0">
                  <c:v>28265697.230646625</c:v>
                </c:pt>
                <c:pt idx="1">
                  <c:v>46060676.230646625</c:v>
                </c:pt>
                <c:pt idx="2">
                  <c:v>27302797.230646625</c:v>
                </c:pt>
                <c:pt idx="3">
                  <c:v>8912847.2306466252</c:v>
                </c:pt>
                <c:pt idx="4">
                  <c:v>8912847.2306466252</c:v>
                </c:pt>
              </c:numCache>
            </c:numRef>
          </c:val>
          <c:extLst>
            <c:ext xmlns:c16="http://schemas.microsoft.com/office/drawing/2014/chart" uri="{C3380CC4-5D6E-409C-BE32-E72D297353CC}">
              <c16:uniqueId val="{00000000-CA2F-4C86-BF70-C953D1904644}"/>
            </c:ext>
          </c:extLst>
        </c:ser>
        <c:dLbls>
          <c:showLegendKey val="0"/>
          <c:showVal val="0"/>
          <c:showCatName val="0"/>
          <c:showSerName val="0"/>
          <c:showPercent val="0"/>
          <c:showBubbleSize val="0"/>
        </c:dLbls>
        <c:axId val="410658048"/>
        <c:axId val="410662400"/>
      </c:areaChart>
      <c:catAx>
        <c:axId val="410658048"/>
        <c:scaling>
          <c:orientation val="minMax"/>
        </c:scaling>
        <c:delete val="0"/>
        <c:axPos val="b"/>
        <c:numFmt formatCode="_(###0_);\(###0\);_(&quot;-&quot;_);_)@_)" sourceLinked="1"/>
        <c:majorTickMark val="none"/>
        <c:minorTickMark val="none"/>
        <c:tickLblPos val="nextTo"/>
        <c:spPr>
          <a:noFill/>
          <a:ln w="6350">
            <a:noFill/>
          </a:ln>
        </c:spPr>
        <c:txPr>
          <a:bodyPr/>
          <a:lstStyle/>
          <a:p>
            <a:pPr>
              <a:defRPr lang="en-US" sz="900" b="0" i="0" u="none" cap="all" spc="120" baseline="0">
                <a:solidFill>
                  <a:schemeClr val="tx1">
                    <a:lumMod val="65000"/>
                    <a:lumOff val="35000"/>
                  </a:schemeClr>
                </a:solidFill>
                <a:latin typeface="+mn-lt"/>
                <a:ea typeface="+mn-ea"/>
                <a:cs typeface="+mn-cs"/>
              </a:defRPr>
            </a:pPr>
            <a:endParaRPr lang="en-US"/>
          </a:p>
        </c:txPr>
        <c:crossAx val="410662400"/>
        <c:crosses val="autoZero"/>
        <c:auto val="1"/>
        <c:lblAlgn val="ctr"/>
        <c:lblOffset val="100"/>
        <c:noMultiLvlLbl val="0"/>
      </c:catAx>
      <c:valAx>
        <c:axId val="410662400"/>
        <c:scaling>
          <c:orientation val="minMax"/>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10658048"/>
        <c:crosses val="autoZero"/>
        <c:crossBetween val="midCat"/>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800" b="1" i="0" u="none" cap="all" spc="150" baseline="0">
                <a:solidFill>
                  <a:schemeClr val="tx1">
                    <a:lumMod val="50000"/>
                    <a:lumOff val="50000"/>
                  </a:schemeClr>
                </a:solidFill>
                <a:latin typeface="+mn-lt"/>
                <a:ea typeface="+mn-ea"/>
                <a:cs typeface="+mn-cs"/>
              </a:rPr>
              <a:t>TODAS LAS ESTRATEGIAS</a:t>
            </a:r>
          </a:p>
        </c:rich>
      </c:tx>
      <c:layout>
        <c:manualLayout>
          <c:xMode val="edge"/>
          <c:yMode val="edge"/>
          <c:x val="3.9E-2"/>
          <c:y val="3.7249999999999998E-2"/>
        </c:manualLayout>
      </c:layout>
      <c:overlay val="0"/>
      <c:spPr>
        <a:noFill/>
        <a:ln w="6350">
          <a:noFill/>
        </a:ln>
      </c:spPr>
    </c:title>
    <c:autoTitleDeleted val="0"/>
    <c:plotArea>
      <c:layout>
        <c:manualLayout>
          <c:layoutTarget val="inner"/>
          <c:xMode val="edge"/>
          <c:yMode val="edge"/>
          <c:x val="0.16600000000000001"/>
          <c:y val="0.15425"/>
          <c:w val="0.75700000000000001"/>
          <c:h val="0.66525000000000001"/>
        </c:manualLayout>
      </c:layout>
      <c:areaChart>
        <c:grouping val="standard"/>
        <c:varyColors val="0"/>
        <c:ser>
          <c:idx val="1"/>
          <c:order val="0"/>
          <c:tx>
            <c:strRef>
              <c:f>'Financial Req'!$G$154</c:f>
              <c:strCache>
                <c:ptCount val="1"/>
                <c:pt idx="0">
                  <c:v>TOTAL - Necesidades financieras</c:v>
                </c:pt>
              </c:strCache>
            </c:strRef>
          </c:tx>
          <c:spPr>
            <a:pattFill prst="wdUpDiag">
              <a:fgClr>
                <a:srgbClr val="FF0000"/>
              </a:fgClr>
              <a:bgClr>
                <a:schemeClr val="bg1"/>
              </a:bgClr>
            </a:pattFill>
            <a:ln w="6350" cap="flat" cmpd="sng">
              <a:solidFill>
                <a:schemeClr val="accent1"/>
              </a:solidFill>
            </a:ln>
            <a:effectLst>
              <a:innerShdw blurRad="114300">
                <a:schemeClr val="accent2"/>
              </a:innerShdw>
            </a:effectLst>
          </c:spPr>
          <c:cat>
            <c:numRef>
              <c:f>Summary_Available_Funds!$J$6:$N$6</c:f>
              <c:numCache>
                <c:formatCode>_(###0_);\(###0\);_("-"_);_)@_)</c:formatCode>
                <c:ptCount val="5"/>
                <c:pt idx="0">
                  <c:v>2019</c:v>
                </c:pt>
                <c:pt idx="1">
                  <c:v>2020</c:v>
                </c:pt>
                <c:pt idx="2">
                  <c:v>2021</c:v>
                </c:pt>
                <c:pt idx="3">
                  <c:v>2022</c:v>
                </c:pt>
                <c:pt idx="4">
                  <c:v>2023</c:v>
                </c:pt>
              </c:numCache>
            </c:numRef>
          </c:cat>
          <c:val>
            <c:numRef>
              <c:f>'Financial Req'!$J$154:$N$154</c:f>
              <c:numCache>
                <c:formatCode>_("$"#,##0_);\("$"#,##0\);_("-"_);_)@_)</c:formatCode>
                <c:ptCount val="5"/>
                <c:pt idx="0">
                  <c:v>85463226.160927922</c:v>
                </c:pt>
                <c:pt idx="1">
                  <c:v>93607859.740840167</c:v>
                </c:pt>
                <c:pt idx="2">
                  <c:v>90753364.771992177</c:v>
                </c:pt>
                <c:pt idx="3">
                  <c:v>89724690.317691013</c:v>
                </c:pt>
                <c:pt idx="4">
                  <c:v>90975015.904191896</c:v>
                </c:pt>
              </c:numCache>
            </c:numRef>
          </c:val>
          <c:extLst>
            <c:ext xmlns:c16="http://schemas.microsoft.com/office/drawing/2014/chart" uri="{C3380CC4-5D6E-409C-BE32-E72D297353CC}">
              <c16:uniqueId val="{00000001-CB35-411B-B123-ECE014E3E38E}"/>
            </c:ext>
          </c:extLst>
        </c:ser>
        <c:ser>
          <c:idx val="0"/>
          <c:order val="1"/>
          <c:tx>
            <c:strRef>
              <c:f>Summary_Available_Funds!$F$43</c:f>
              <c:strCache>
                <c:ptCount val="1"/>
                <c:pt idx="0">
                  <c:v>TOTAL - All Available Funds (USD)</c:v>
                </c:pt>
              </c:strCache>
            </c:strRef>
          </c:tx>
          <c:spPr>
            <a:solidFill>
              <a:schemeClr val="accent6">
                <a:lumMod val="75000"/>
              </a:schemeClr>
            </a:solidFill>
            <a:ln w="6350">
              <a:noFill/>
            </a:ln>
            <a:effectLst>
              <a:innerShdw blurRad="114300">
                <a:schemeClr val="accent1"/>
              </a:innerShdw>
            </a:effectLst>
          </c:spPr>
          <c:cat>
            <c:numRef>
              <c:f>Summary_Available_Funds!$J$6:$N$6</c:f>
              <c:numCache>
                <c:formatCode>_(###0_);\(###0\);_("-"_);_)@_)</c:formatCode>
                <c:ptCount val="5"/>
                <c:pt idx="0">
                  <c:v>2019</c:v>
                </c:pt>
                <c:pt idx="1">
                  <c:v>2020</c:v>
                </c:pt>
                <c:pt idx="2">
                  <c:v>2021</c:v>
                </c:pt>
                <c:pt idx="3">
                  <c:v>2022</c:v>
                </c:pt>
                <c:pt idx="4">
                  <c:v>2023</c:v>
                </c:pt>
              </c:numCache>
            </c:numRef>
          </c:cat>
          <c:val>
            <c:numRef>
              <c:f>Summary_Available_Funds!$J$43:$N$43</c:f>
              <c:numCache>
                <c:formatCode>_("$"#,##0_);\("$"#,##0\);_("-"_);_)@_)</c:formatCode>
                <c:ptCount val="5"/>
                <c:pt idx="0">
                  <c:v>54705391.468331248</c:v>
                </c:pt>
                <c:pt idx="1">
                  <c:v>79179343.468331248</c:v>
                </c:pt>
                <c:pt idx="2">
                  <c:v>53287655.468331248</c:v>
                </c:pt>
                <c:pt idx="3">
                  <c:v>27998827.468331248</c:v>
                </c:pt>
                <c:pt idx="4">
                  <c:v>27988827.468331248</c:v>
                </c:pt>
              </c:numCache>
            </c:numRef>
          </c:val>
          <c:extLst>
            <c:ext xmlns:c16="http://schemas.microsoft.com/office/drawing/2014/chart" uri="{C3380CC4-5D6E-409C-BE32-E72D297353CC}">
              <c16:uniqueId val="{00000000-CB35-411B-B123-ECE014E3E38E}"/>
            </c:ext>
          </c:extLst>
        </c:ser>
        <c:dLbls>
          <c:showLegendKey val="0"/>
          <c:showVal val="0"/>
          <c:showCatName val="0"/>
          <c:showSerName val="0"/>
          <c:showPercent val="0"/>
          <c:showBubbleSize val="0"/>
        </c:dLbls>
        <c:axId val="410654240"/>
        <c:axId val="410658592"/>
      </c:areaChart>
      <c:catAx>
        <c:axId val="410654240"/>
        <c:scaling>
          <c:orientation val="minMax"/>
        </c:scaling>
        <c:delete val="0"/>
        <c:axPos val="b"/>
        <c:numFmt formatCode="_(###0_);\(###0\);_(&quot;-&quot;_);_)@_)" sourceLinked="1"/>
        <c:majorTickMark val="none"/>
        <c:minorTickMark val="none"/>
        <c:tickLblPos val="nextTo"/>
        <c:spPr>
          <a:noFill/>
          <a:ln w="6350">
            <a:noFill/>
          </a:ln>
        </c:spPr>
        <c:txPr>
          <a:bodyPr/>
          <a:lstStyle/>
          <a:p>
            <a:pPr>
              <a:defRPr lang="en-US" sz="900" b="0" i="0" u="none" cap="all" spc="120" baseline="0">
                <a:solidFill>
                  <a:schemeClr val="tx1">
                    <a:lumMod val="65000"/>
                    <a:lumOff val="35000"/>
                  </a:schemeClr>
                </a:solidFill>
                <a:latin typeface="+mn-lt"/>
                <a:ea typeface="+mn-ea"/>
                <a:cs typeface="+mn-cs"/>
              </a:defRPr>
            </a:pPr>
            <a:endParaRPr lang="en-US"/>
          </a:p>
        </c:txPr>
        <c:crossAx val="410658592"/>
        <c:crosses val="autoZero"/>
        <c:auto val="1"/>
        <c:lblAlgn val="ctr"/>
        <c:lblOffset val="100"/>
        <c:noMultiLvlLbl val="0"/>
      </c:catAx>
      <c:valAx>
        <c:axId val="410658592"/>
        <c:scaling>
          <c:orientation val="minMax"/>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10654240"/>
        <c:crosses val="autoZero"/>
        <c:crossBetween val="midCat"/>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800" b="1" i="0" u="none" cap="all" spc="150" baseline="0">
                <a:solidFill>
                  <a:schemeClr val="tx1">
                    <a:lumMod val="50000"/>
                    <a:lumOff val="50000"/>
                  </a:schemeClr>
                </a:solidFill>
                <a:latin typeface="+mn-lt"/>
                <a:ea typeface="+mn-ea"/>
                <a:cs typeface="+mn-cs"/>
              </a:rPr>
              <a:t>ESTRATEGIA 7</a:t>
            </a:r>
          </a:p>
        </c:rich>
      </c:tx>
      <c:layout>
        <c:manualLayout>
          <c:xMode val="edge"/>
          <c:yMode val="edge"/>
          <c:x val="4.2750000000000003E-2"/>
          <c:y val="2.6249999999999999E-2"/>
        </c:manualLayout>
      </c:layout>
      <c:overlay val="0"/>
      <c:spPr>
        <a:noFill/>
        <a:ln w="6350">
          <a:noFill/>
        </a:ln>
      </c:spPr>
    </c:title>
    <c:autoTitleDeleted val="0"/>
    <c:plotArea>
      <c:layout/>
      <c:areaChart>
        <c:grouping val="standard"/>
        <c:varyColors val="0"/>
        <c:ser>
          <c:idx val="1"/>
          <c:order val="0"/>
          <c:tx>
            <c:strRef>
              <c:f>Tablero!$F$433</c:f>
              <c:strCache>
                <c:ptCount val="1"/>
                <c:pt idx="0">
                  <c:v>Necesidad total</c:v>
                </c:pt>
              </c:strCache>
            </c:strRef>
          </c:tx>
          <c:spPr>
            <a:pattFill prst="wdUpDiag">
              <a:fgClr>
                <a:srgbClr val="FF0000"/>
              </a:fgClr>
              <a:bgClr>
                <a:schemeClr val="bg1"/>
              </a:bgClr>
            </a:pattFill>
            <a:ln w="25400">
              <a:noFill/>
            </a:ln>
            <a:effectLst>
              <a:innerShdw blurRad="114300">
                <a:schemeClr val="accent2"/>
              </a:innerShdw>
            </a:effectLst>
          </c:spPr>
          <c:val>
            <c:numRef>
              <c:f>Tablero!$H$433:$L$433</c:f>
              <c:numCache>
                <c:formatCode>_("$"#,##0_);\("$"#,##0\);_("-"_);_)@_)</c:formatCode>
                <c:ptCount val="5"/>
                <c:pt idx="0">
                  <c:v>0</c:v>
                </c:pt>
                <c:pt idx="1">
                  <c:v>0</c:v>
                </c:pt>
                <c:pt idx="2">
                  <c:v>0</c:v>
                </c:pt>
                <c:pt idx="3">
                  <c:v>0</c:v>
                </c:pt>
                <c:pt idx="4">
                  <c:v>0</c:v>
                </c:pt>
              </c:numCache>
            </c:numRef>
          </c:val>
          <c:extLst>
            <c:ext xmlns:c16="http://schemas.microsoft.com/office/drawing/2014/chart" uri="{C3380CC4-5D6E-409C-BE32-E72D297353CC}">
              <c16:uniqueId val="{00000002-E99A-4690-A0B5-7074E386AC50}"/>
            </c:ext>
          </c:extLst>
        </c:ser>
        <c:ser>
          <c:idx val="0"/>
          <c:order val="1"/>
          <c:tx>
            <c:strRef>
              <c:f>Tablero!$F$431</c:f>
              <c:strCache>
                <c:ptCount val="1"/>
                <c:pt idx="0">
                  <c:v>Fondos disponibles</c:v>
                </c:pt>
              </c:strCache>
            </c:strRef>
          </c:tx>
          <c:spPr>
            <a:solidFill>
              <a:schemeClr val="accent6">
                <a:lumMod val="75000"/>
              </a:schemeClr>
            </a:solidFill>
            <a:ln w="6350">
              <a:noFill/>
            </a:ln>
            <a:effectLst>
              <a:innerShdw blurRad="114300">
                <a:schemeClr val="accent1"/>
              </a:innerShdw>
            </a:effectLst>
          </c:spPr>
          <c:val>
            <c:numRef>
              <c:f>Tablero!$H$431:$L$431</c:f>
              <c:numCache>
                <c:formatCode>_("$"#,##0_);\("$"#,##0\);_("-"_);_)@_)</c:formatCode>
                <c:ptCount val="5"/>
                <c:pt idx="0">
                  <c:v>0</c:v>
                </c:pt>
                <c:pt idx="1">
                  <c:v>0</c:v>
                </c:pt>
                <c:pt idx="2">
                  <c:v>0</c:v>
                </c:pt>
                <c:pt idx="3">
                  <c:v>0</c:v>
                </c:pt>
                <c:pt idx="4">
                  <c:v>0</c:v>
                </c:pt>
              </c:numCache>
            </c:numRef>
          </c:val>
          <c:extLst>
            <c:ext xmlns:c16="http://schemas.microsoft.com/office/drawing/2014/chart" uri="{C3380CC4-5D6E-409C-BE32-E72D297353CC}">
              <c16:uniqueId val="{00000001-E99A-4690-A0B5-7074E386AC50}"/>
            </c:ext>
          </c:extLst>
        </c:ser>
        <c:dLbls>
          <c:showLegendKey val="0"/>
          <c:showVal val="0"/>
          <c:showCatName val="0"/>
          <c:showSerName val="0"/>
          <c:showPercent val="0"/>
          <c:showBubbleSize val="0"/>
        </c:dLbls>
        <c:axId val="410662944"/>
        <c:axId val="410665664"/>
      </c:areaChart>
      <c:catAx>
        <c:axId val="410662944"/>
        <c:scaling>
          <c:orientation val="minMax"/>
        </c:scaling>
        <c:delete val="0"/>
        <c:axPos val="b"/>
        <c:numFmt formatCode="General" sourceLinked="1"/>
        <c:majorTickMark val="none"/>
        <c:minorTickMark val="none"/>
        <c:tickLblPos val="nextTo"/>
        <c:spPr>
          <a:noFill/>
          <a:ln w="6350">
            <a:noFill/>
          </a:ln>
        </c:spPr>
        <c:txPr>
          <a:bodyPr/>
          <a:lstStyle/>
          <a:p>
            <a:pPr>
              <a:defRPr lang="en-US" sz="900" b="0" i="0" u="none" cap="all" spc="120" baseline="0">
                <a:solidFill>
                  <a:schemeClr val="tx1">
                    <a:lumMod val="65000"/>
                    <a:lumOff val="35000"/>
                  </a:schemeClr>
                </a:solidFill>
                <a:latin typeface="+mn-lt"/>
                <a:ea typeface="+mn-ea"/>
                <a:cs typeface="+mn-cs"/>
              </a:defRPr>
            </a:pPr>
            <a:endParaRPr lang="en-US"/>
          </a:p>
        </c:txPr>
        <c:crossAx val="410665664"/>
        <c:crosses val="autoZero"/>
        <c:auto val="1"/>
        <c:lblAlgn val="ctr"/>
        <c:lblOffset val="100"/>
        <c:noMultiLvlLbl val="0"/>
      </c:catAx>
      <c:valAx>
        <c:axId val="410665664"/>
        <c:scaling>
          <c:orientation val="minMax"/>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10662944"/>
        <c:crosses val="autoZero"/>
        <c:crossBetween val="midCat"/>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800" b="1" i="0" u="none" cap="all" spc="150" baseline="0">
                <a:solidFill>
                  <a:schemeClr val="tx1">
                    <a:lumMod val="50000"/>
                    <a:lumOff val="50000"/>
                  </a:schemeClr>
                </a:solidFill>
                <a:latin typeface="+mn-lt"/>
                <a:ea typeface="+mn-ea"/>
                <a:cs typeface="+mn-cs"/>
              </a:rPr>
              <a:t>ESTRATEGIA 8</a:t>
            </a:r>
          </a:p>
        </c:rich>
      </c:tx>
      <c:layout>
        <c:manualLayout>
          <c:xMode val="edge"/>
          <c:yMode val="edge"/>
          <c:x val="4.2750000000000003E-2"/>
          <c:y val="2.6249999999999999E-2"/>
        </c:manualLayout>
      </c:layout>
      <c:overlay val="0"/>
      <c:spPr>
        <a:noFill/>
        <a:ln w="6350">
          <a:noFill/>
        </a:ln>
      </c:spPr>
    </c:title>
    <c:autoTitleDeleted val="0"/>
    <c:plotArea>
      <c:layout/>
      <c:areaChart>
        <c:grouping val="standard"/>
        <c:varyColors val="0"/>
        <c:ser>
          <c:idx val="1"/>
          <c:order val="0"/>
          <c:tx>
            <c:strRef>
              <c:f>Tablero!$F$481</c:f>
              <c:strCache>
                <c:ptCount val="1"/>
                <c:pt idx="0">
                  <c:v>Necesidad total</c:v>
                </c:pt>
              </c:strCache>
            </c:strRef>
          </c:tx>
          <c:spPr>
            <a:pattFill prst="wdUpDiag">
              <a:fgClr>
                <a:srgbClr val="FF0000"/>
              </a:fgClr>
              <a:bgClr>
                <a:schemeClr val="bg1"/>
              </a:bgClr>
            </a:pattFill>
            <a:ln w="25400">
              <a:noFill/>
            </a:ln>
            <a:effectLst>
              <a:innerShdw blurRad="114300">
                <a:schemeClr val="accent2"/>
              </a:innerShdw>
            </a:effectLst>
          </c:spPr>
          <c:val>
            <c:numRef>
              <c:f>Tablero!$H$481:$L$481</c:f>
              <c:numCache>
                <c:formatCode>_("$"#,##0_);\("$"#,##0\);_("-"_);_)@_)</c:formatCode>
                <c:ptCount val="5"/>
                <c:pt idx="0">
                  <c:v>0</c:v>
                </c:pt>
                <c:pt idx="1">
                  <c:v>0</c:v>
                </c:pt>
                <c:pt idx="2">
                  <c:v>0</c:v>
                </c:pt>
                <c:pt idx="3">
                  <c:v>0</c:v>
                </c:pt>
                <c:pt idx="4">
                  <c:v>0</c:v>
                </c:pt>
              </c:numCache>
            </c:numRef>
          </c:val>
          <c:extLst>
            <c:ext xmlns:c16="http://schemas.microsoft.com/office/drawing/2014/chart" uri="{C3380CC4-5D6E-409C-BE32-E72D297353CC}">
              <c16:uniqueId val="{00000002-6B0E-49EC-9067-BE0129EF8750}"/>
            </c:ext>
          </c:extLst>
        </c:ser>
        <c:ser>
          <c:idx val="0"/>
          <c:order val="1"/>
          <c:tx>
            <c:strRef>
              <c:f>Tablero!$F$479</c:f>
              <c:strCache>
                <c:ptCount val="1"/>
                <c:pt idx="0">
                  <c:v>Fondos disponibles</c:v>
                </c:pt>
              </c:strCache>
            </c:strRef>
          </c:tx>
          <c:spPr>
            <a:solidFill>
              <a:schemeClr val="accent6">
                <a:lumMod val="75000"/>
              </a:schemeClr>
            </a:solidFill>
            <a:ln w="6350">
              <a:noFill/>
            </a:ln>
            <a:effectLst>
              <a:innerShdw blurRad="114300">
                <a:schemeClr val="accent1"/>
              </a:innerShdw>
            </a:effectLst>
          </c:spPr>
          <c:val>
            <c:numRef>
              <c:f>Tablero!$H$479:$L$479</c:f>
              <c:numCache>
                <c:formatCode>_("$"#,##0_);\("$"#,##0\);_("-"_);_)@_)</c:formatCode>
                <c:ptCount val="5"/>
                <c:pt idx="0">
                  <c:v>0</c:v>
                </c:pt>
                <c:pt idx="1">
                  <c:v>0</c:v>
                </c:pt>
                <c:pt idx="2">
                  <c:v>0</c:v>
                </c:pt>
                <c:pt idx="3">
                  <c:v>0</c:v>
                </c:pt>
                <c:pt idx="4">
                  <c:v>0</c:v>
                </c:pt>
              </c:numCache>
            </c:numRef>
          </c:val>
          <c:extLst>
            <c:ext xmlns:c16="http://schemas.microsoft.com/office/drawing/2014/chart" uri="{C3380CC4-5D6E-409C-BE32-E72D297353CC}">
              <c16:uniqueId val="{00000001-6B0E-49EC-9067-BE0129EF8750}"/>
            </c:ext>
          </c:extLst>
        </c:ser>
        <c:dLbls>
          <c:showLegendKey val="0"/>
          <c:showVal val="0"/>
          <c:showCatName val="0"/>
          <c:showSerName val="0"/>
          <c:showPercent val="0"/>
          <c:showBubbleSize val="0"/>
        </c:dLbls>
        <c:axId val="410659680"/>
        <c:axId val="410663488"/>
      </c:areaChart>
      <c:catAx>
        <c:axId val="410659680"/>
        <c:scaling>
          <c:orientation val="minMax"/>
        </c:scaling>
        <c:delete val="0"/>
        <c:axPos val="b"/>
        <c:numFmt formatCode="General" sourceLinked="1"/>
        <c:majorTickMark val="none"/>
        <c:minorTickMark val="none"/>
        <c:tickLblPos val="nextTo"/>
        <c:spPr>
          <a:noFill/>
          <a:ln w="6350">
            <a:noFill/>
          </a:ln>
        </c:spPr>
        <c:txPr>
          <a:bodyPr/>
          <a:lstStyle/>
          <a:p>
            <a:pPr>
              <a:defRPr lang="en-US" sz="900" b="0" i="0" u="none" cap="all" spc="120" baseline="0">
                <a:solidFill>
                  <a:schemeClr val="tx1">
                    <a:lumMod val="65000"/>
                    <a:lumOff val="35000"/>
                  </a:schemeClr>
                </a:solidFill>
                <a:latin typeface="+mn-lt"/>
                <a:ea typeface="+mn-ea"/>
                <a:cs typeface="+mn-cs"/>
              </a:defRPr>
            </a:pPr>
            <a:endParaRPr lang="en-US"/>
          </a:p>
        </c:txPr>
        <c:crossAx val="410663488"/>
        <c:crosses val="autoZero"/>
        <c:auto val="1"/>
        <c:lblAlgn val="ctr"/>
        <c:lblOffset val="100"/>
        <c:noMultiLvlLbl val="0"/>
      </c:catAx>
      <c:valAx>
        <c:axId val="410663488"/>
        <c:scaling>
          <c:orientation val="minMax"/>
        </c:scaling>
        <c:delete val="0"/>
        <c:axPos val="l"/>
        <c:majorGridlines>
          <c:spPr>
            <a:ln w="9525" cap="flat" cmpd="sng">
              <a:solidFill>
                <a:schemeClr val="tx1">
                  <a:lumMod val="15000"/>
                  <a:lumOff val="85000"/>
                </a:schemeClr>
              </a:solidFill>
              <a:round/>
            </a:ln>
          </c:spPr>
        </c:majorGridlines>
        <c:numFmt formatCode="_(&quot;$&quot;#,##0_);\(&quot;$&quot;#,##0\);_(&quot;-&quot;_);_)@_)"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10659680"/>
        <c:crosses val="autoZero"/>
        <c:crossBetween val="midCat"/>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trlProps/ctrlProp1.xml><?xml version="1.0" encoding="utf-8"?>
<formControlPr xmlns="http://schemas.microsoft.com/office/spreadsheetml/2009/9/main" objectType="Scroll" dx="22" fmlaLink="Data!$M$6" horiz="1" max="6" min="1" page="0" val="2"/>
</file>

<file path=xl/ctrlProps/ctrlProp10.xml><?xml version="1.0" encoding="utf-8"?>
<formControlPr xmlns="http://schemas.microsoft.com/office/spreadsheetml/2009/9/main" objectType="Drop" dropLines="3" dropStyle="combo" dx="15" fmlaLink="$H$43" fmlaRange="Lu_Nutrition_Result_Type" noThreeD="1" sel="1" val="0"/>
</file>

<file path=xl/ctrlProps/ctrlProp11.xml><?xml version="1.0" encoding="utf-8"?>
<formControlPr xmlns="http://schemas.microsoft.com/office/spreadsheetml/2009/9/main" objectType="Drop" dropLines="3" dropStyle="combo" dx="15" fmlaLink="$H$44" fmlaRange="Lu_Nutrition_Result_Type" noThreeD="1" sel="1" val="0"/>
</file>

<file path=xl/ctrlProps/ctrlProp12.xml><?xml version="1.0" encoding="utf-8"?>
<formControlPr xmlns="http://schemas.microsoft.com/office/spreadsheetml/2009/9/main" objectType="Drop" dropLines="3" dropStyle="combo" dx="15" fmlaLink="$H$46" fmlaRange="Lu_Nutrition_Result_Type" noThreeD="1" sel="1" val="0"/>
</file>

<file path=xl/ctrlProps/ctrlProp13.xml><?xml version="1.0" encoding="utf-8"?>
<formControlPr xmlns="http://schemas.microsoft.com/office/spreadsheetml/2009/9/main" objectType="Drop" dropLines="3" dropStyle="combo" dx="15" fmlaLink="$H$47" fmlaRange="Lu_Nutrition_Result_Type" noThreeD="1" sel="2" val="0"/>
</file>

<file path=xl/ctrlProps/ctrlProp14.xml><?xml version="1.0" encoding="utf-8"?>
<formControlPr xmlns="http://schemas.microsoft.com/office/spreadsheetml/2009/9/main" objectType="Drop" dropLines="3" dropStyle="combo" dx="15" fmlaLink="$H$48" fmlaRange="Lu_Nutrition_Result_Type" noThreeD="1" sel="1" val="0"/>
</file>

<file path=xl/ctrlProps/ctrlProp15.xml><?xml version="1.0" encoding="utf-8"?>
<formControlPr xmlns="http://schemas.microsoft.com/office/spreadsheetml/2009/9/main" objectType="Drop" dropLines="3" dropStyle="combo" dx="15" fmlaLink="$H$49" fmlaRange="Lu_Nutrition_Result_Type" noThreeD="1" sel="1" val="0"/>
</file>

<file path=xl/ctrlProps/ctrlProp16.xml><?xml version="1.0" encoding="utf-8"?>
<formControlPr xmlns="http://schemas.microsoft.com/office/spreadsheetml/2009/9/main" objectType="Drop" dropLines="3" dropStyle="combo" dx="15" fmlaLink="$H$50" fmlaRange="Lu_Nutrition_Result_Type" noThreeD="1" sel="1" val="0"/>
</file>

<file path=xl/ctrlProps/ctrlProp17.xml><?xml version="1.0" encoding="utf-8"?>
<formControlPr xmlns="http://schemas.microsoft.com/office/spreadsheetml/2009/9/main" objectType="Drop" dropLines="3" dropStyle="combo" dx="15" fmlaLink="$H$52" fmlaRange="Lu_Nutrition_Result_Type" noThreeD="1" sel="2" val="0"/>
</file>

<file path=xl/ctrlProps/ctrlProp18.xml><?xml version="1.0" encoding="utf-8"?>
<formControlPr xmlns="http://schemas.microsoft.com/office/spreadsheetml/2009/9/main" objectType="Drop" dropLines="3" dropStyle="combo" dx="15" fmlaLink="$H$53" fmlaRange="Lu_Nutrition_Result_Type" noThreeD="1" sel="1" val="0"/>
</file>

<file path=xl/ctrlProps/ctrlProp19.xml><?xml version="1.0" encoding="utf-8"?>
<formControlPr xmlns="http://schemas.microsoft.com/office/spreadsheetml/2009/9/main" objectType="Drop" dropLines="3" dropStyle="combo" dx="15" fmlaLink="$H$54" fmlaRange="Lu_Nutrition_Result_Type" noThreeD="1" sel="1" val="0"/>
</file>

<file path=xl/ctrlProps/ctrlProp2.xml><?xml version="1.0" encoding="utf-8"?>
<formControlPr xmlns="http://schemas.microsoft.com/office/spreadsheetml/2009/9/main" objectType="Drop" dropLines="20" dropStyle="combo" dx="15" fmlaLink="DD_Ts_Fin_Yr_End_Mth" fmlaRange="LU_Ts_Mth_Names" noThreeD="1" sel="12" val="0"/>
</file>

<file path=xl/ctrlProps/ctrlProp20.xml><?xml version="1.0" encoding="utf-8"?>
<formControlPr xmlns="http://schemas.microsoft.com/office/spreadsheetml/2009/9/main" objectType="Drop" dropLines="3" dropStyle="combo" dx="15" fmlaLink="$H$55" fmlaRange="Lu_Nutrition_Result_Type" noThreeD="1" sel="1" val="0"/>
</file>

<file path=xl/ctrlProps/ctrlProp21.xml><?xml version="1.0" encoding="utf-8"?>
<formControlPr xmlns="http://schemas.microsoft.com/office/spreadsheetml/2009/9/main" objectType="Drop" dropLines="3" dropStyle="combo" dx="15" fmlaLink="$H$56" fmlaRange="Lu_Nutrition_Result_Type" noThreeD="1" sel="1" val="0"/>
</file>

<file path=xl/ctrlProps/ctrlProp22.xml><?xml version="1.0" encoding="utf-8"?>
<formControlPr xmlns="http://schemas.microsoft.com/office/spreadsheetml/2009/9/main" objectType="Drop" dropLines="3" dropStyle="combo" dx="15" fmlaLink="$H$59" fmlaRange="Lu_Nutrition_Result_Type" noThreeD="1" sel="1" val="0"/>
</file>

<file path=xl/ctrlProps/ctrlProp23.xml><?xml version="1.0" encoding="utf-8"?>
<formControlPr xmlns="http://schemas.microsoft.com/office/spreadsheetml/2009/9/main" objectType="Drop" dropLines="3" dropStyle="combo" dx="15" fmlaLink="$H$60" fmlaRange="Lu_Nutrition_Result_Type" noThreeD="1" sel="2" val="0"/>
</file>

<file path=xl/ctrlProps/ctrlProp24.xml><?xml version="1.0" encoding="utf-8"?>
<formControlPr xmlns="http://schemas.microsoft.com/office/spreadsheetml/2009/9/main" objectType="Drop" dropLines="3" dropStyle="combo" dx="15" fmlaLink="$H$61" fmlaRange="Lu_Nutrition_Result_Type" noThreeD="1" sel="1" val="0"/>
</file>

<file path=xl/ctrlProps/ctrlProp25.xml><?xml version="1.0" encoding="utf-8"?>
<formControlPr xmlns="http://schemas.microsoft.com/office/spreadsheetml/2009/9/main" objectType="Drop" dropLines="3" dropStyle="combo" dx="15" fmlaLink="$H$62" fmlaRange="Lu_Nutrition_Result_Type" noThreeD="1" sel="1" val="0"/>
</file>

<file path=xl/ctrlProps/ctrlProp26.xml><?xml version="1.0" encoding="utf-8"?>
<formControlPr xmlns="http://schemas.microsoft.com/office/spreadsheetml/2009/9/main" objectType="Drop" dropLines="3" dropStyle="combo" dx="15" fmlaLink="$H$64" fmlaRange="Lu_Nutrition_Result_Type" noThreeD="1" sel="1" val="0"/>
</file>

<file path=xl/ctrlProps/ctrlProp27.xml><?xml version="1.0" encoding="utf-8"?>
<formControlPr xmlns="http://schemas.microsoft.com/office/spreadsheetml/2009/9/main" objectType="Drop" dropLines="3" dropStyle="combo" dx="15" fmlaLink="$H$65" fmlaRange="Lu_Nutrition_Result_Type" noThreeD="1" sel="1" val="0"/>
</file>

<file path=xl/ctrlProps/ctrlProp28.xml><?xml version="1.0" encoding="utf-8"?>
<formControlPr xmlns="http://schemas.microsoft.com/office/spreadsheetml/2009/9/main" objectType="Drop" dropLines="3" dropStyle="combo" dx="15" fmlaLink="$H$66" fmlaRange="Lu_Nutrition_Result_Type" noThreeD="1" sel="1" val="0"/>
</file>

<file path=xl/ctrlProps/ctrlProp29.xml><?xml version="1.0" encoding="utf-8"?>
<formControlPr xmlns="http://schemas.microsoft.com/office/spreadsheetml/2009/9/main" objectType="Drop" dropLines="3" dropStyle="combo" dx="15" fmlaLink="$H$67" fmlaRange="Lu_Nutrition_Result_Type" noThreeD="1" sel="1" val="0"/>
</file>

<file path=xl/ctrlProps/ctrlProp3.xml><?xml version="1.0" encoding="utf-8"?>
<formControlPr xmlns="http://schemas.microsoft.com/office/spreadsheetml/2009/9/main" objectType="Drop" dropLines="20" dropStyle="combo" dx="15" fmlaLink="DD_Ts_Denom" fmlaRange="LU_Ts_Denom" noThreeD="1" sel="1" val="0"/>
</file>

<file path=xl/ctrlProps/ctrlProp30.xml><?xml version="1.0" encoding="utf-8"?>
<formControlPr xmlns="http://schemas.microsoft.com/office/spreadsheetml/2009/9/main" objectType="Drop" dropLines="3" dropStyle="combo" dx="15" fmlaLink="$H$68" fmlaRange="Lu_Nutrition_Result_Type" noThreeD="1" sel="1" val="0"/>
</file>

<file path=xl/ctrlProps/ctrlProp31.xml><?xml version="1.0" encoding="utf-8"?>
<formControlPr xmlns="http://schemas.microsoft.com/office/spreadsheetml/2009/9/main" objectType="Drop" dropLines="3" dropStyle="combo" dx="15" fmlaLink="$H$70" fmlaRange="Lu_Nutrition_Result_Type" noThreeD="1" sel="1" val="0"/>
</file>

<file path=xl/ctrlProps/ctrlProp32.xml><?xml version="1.0" encoding="utf-8"?>
<formControlPr xmlns="http://schemas.microsoft.com/office/spreadsheetml/2009/9/main" objectType="Drop" dropLines="3" dropStyle="combo" dx="15" fmlaLink="$H$71" fmlaRange="Lu_Nutrition_Result_Type" noThreeD="1" sel="1" val="0"/>
</file>

<file path=xl/ctrlProps/ctrlProp33.xml><?xml version="1.0" encoding="utf-8"?>
<formControlPr xmlns="http://schemas.microsoft.com/office/spreadsheetml/2009/9/main" objectType="Drop" dropLines="3" dropStyle="combo" dx="15" fmlaLink="$H$72" fmlaRange="Lu_Nutrition_Result_Type" noThreeD="1" sel="1" val="0"/>
</file>

<file path=xl/ctrlProps/ctrlProp34.xml><?xml version="1.0" encoding="utf-8"?>
<formControlPr xmlns="http://schemas.microsoft.com/office/spreadsheetml/2009/9/main" objectType="Drop" dropLines="3" dropStyle="combo" dx="15" fmlaLink="$H$73" fmlaRange="Lu_Nutrition_Result_Type" noThreeD="1" sel="1" val="0"/>
</file>

<file path=xl/ctrlProps/ctrlProp35.xml><?xml version="1.0" encoding="utf-8"?>
<formControlPr xmlns="http://schemas.microsoft.com/office/spreadsheetml/2009/9/main" objectType="Drop" dropLines="3" dropStyle="combo" dx="15" fmlaLink="$H$74" fmlaRange="Lu_Nutrition_Result_Type" noThreeD="1" sel="1" val="0"/>
</file>

<file path=xl/ctrlProps/ctrlProp36.xml><?xml version="1.0" encoding="utf-8"?>
<formControlPr xmlns="http://schemas.microsoft.com/office/spreadsheetml/2009/9/main" objectType="Drop" dropLines="3" dropStyle="combo" dx="15" fmlaLink="$H$76" fmlaRange="Lu_Nutrition_Result_Type" noThreeD="1" sel="1" val="0"/>
</file>

<file path=xl/ctrlProps/ctrlProp37.xml><?xml version="1.0" encoding="utf-8"?>
<formControlPr xmlns="http://schemas.microsoft.com/office/spreadsheetml/2009/9/main" objectType="Drop" dropLines="3" dropStyle="combo" dx="15" fmlaLink="$H$77" fmlaRange="Lu_Nutrition_Result_Type" noThreeD="1" sel="1" val="0"/>
</file>

<file path=xl/ctrlProps/ctrlProp38.xml><?xml version="1.0" encoding="utf-8"?>
<formControlPr xmlns="http://schemas.microsoft.com/office/spreadsheetml/2009/9/main" objectType="Drop" dropLines="3" dropStyle="combo" dx="15" fmlaLink="$H$78" fmlaRange="Lu_Nutrition_Result_Type" noThreeD="1" sel="1" val="0"/>
</file>

<file path=xl/ctrlProps/ctrlProp39.xml><?xml version="1.0" encoding="utf-8"?>
<formControlPr xmlns="http://schemas.microsoft.com/office/spreadsheetml/2009/9/main" objectType="Drop" dropLines="3" dropStyle="combo" dx="15" fmlaLink="$H$79" fmlaRange="Lu_Nutrition_Result_Type" noThreeD="1" sel="1" val="0"/>
</file>

<file path=xl/ctrlProps/ctrlProp4.xml><?xml version="1.0" encoding="utf-8"?>
<formControlPr xmlns="http://schemas.microsoft.com/office/spreadsheetml/2009/9/main" objectType="Drop" dropLines="3" dropStyle="combo" dx="15" fmlaLink="$H$35" fmlaRange="Lu_Nutrition_Result_Type" noThreeD="1" sel="3" val="0"/>
</file>

<file path=xl/ctrlProps/ctrlProp40.xml><?xml version="1.0" encoding="utf-8"?>
<formControlPr xmlns="http://schemas.microsoft.com/office/spreadsheetml/2009/9/main" objectType="Drop" dropLines="3" dropStyle="combo" dx="15" fmlaLink="$H$80" fmlaRange="Lu_Nutrition_Result_Type" noThreeD="1" sel="1" val="0"/>
</file>

<file path=xl/ctrlProps/ctrlProp41.xml><?xml version="1.0" encoding="utf-8"?>
<formControlPr xmlns="http://schemas.microsoft.com/office/spreadsheetml/2009/9/main" objectType="Drop" dropLines="3" dropStyle="combo" dx="15" fmlaLink="$H$82" fmlaRange="Lu_Nutrition_Result_Type" noThreeD="1" sel="1" val="0"/>
</file>

<file path=xl/ctrlProps/ctrlProp42.xml><?xml version="1.0" encoding="utf-8"?>
<formControlPr xmlns="http://schemas.microsoft.com/office/spreadsheetml/2009/9/main" objectType="Drop" dropLines="3" dropStyle="combo" dx="15" fmlaLink="$H$83" fmlaRange="Lu_Nutrition_Result_Type" noThreeD="1" sel="1" val="0"/>
</file>

<file path=xl/ctrlProps/ctrlProp43.xml><?xml version="1.0" encoding="utf-8"?>
<formControlPr xmlns="http://schemas.microsoft.com/office/spreadsheetml/2009/9/main" objectType="Drop" dropLines="3" dropStyle="combo" dx="15" fmlaLink="$H$84" fmlaRange="Lu_Nutrition_Result_Type" noThreeD="1" sel="1" val="0"/>
</file>

<file path=xl/ctrlProps/ctrlProp44.xml><?xml version="1.0" encoding="utf-8"?>
<formControlPr xmlns="http://schemas.microsoft.com/office/spreadsheetml/2009/9/main" objectType="Drop" dropLines="3" dropStyle="combo" dx="15" fmlaLink="$H$85" fmlaRange="Lu_Nutrition_Result_Type" noThreeD="1" sel="1" val="0"/>
</file>

<file path=xl/ctrlProps/ctrlProp45.xml><?xml version="1.0" encoding="utf-8"?>
<formControlPr xmlns="http://schemas.microsoft.com/office/spreadsheetml/2009/9/main" objectType="Drop" dropLines="3" dropStyle="combo" dx="15" fmlaLink="$H$86" fmlaRange="Lu_Nutrition_Result_Type" noThreeD="1" sel="1" val="0"/>
</file>

<file path=xl/ctrlProps/ctrlProp46.xml><?xml version="1.0" encoding="utf-8"?>
<formControlPr xmlns="http://schemas.microsoft.com/office/spreadsheetml/2009/9/main" objectType="Drop" dropLines="3" dropStyle="combo" dx="15" fmlaLink="$H$88" fmlaRange="Lu_Nutrition_Result_Type" noThreeD="1" sel="1" val="0"/>
</file>

<file path=xl/ctrlProps/ctrlProp47.xml><?xml version="1.0" encoding="utf-8"?>
<formControlPr xmlns="http://schemas.microsoft.com/office/spreadsheetml/2009/9/main" objectType="Drop" dropLines="3" dropStyle="combo" dx="15" fmlaLink="$H$89" fmlaRange="Lu_Nutrition_Result_Type" noThreeD="1" sel="1" val="0"/>
</file>

<file path=xl/ctrlProps/ctrlProp48.xml><?xml version="1.0" encoding="utf-8"?>
<formControlPr xmlns="http://schemas.microsoft.com/office/spreadsheetml/2009/9/main" objectType="Drop" dropLines="3" dropStyle="combo" dx="15" fmlaLink="$H$90" fmlaRange="Lu_Nutrition_Result_Type" noThreeD="1" sel="1" val="0"/>
</file>

<file path=xl/ctrlProps/ctrlProp49.xml><?xml version="1.0" encoding="utf-8"?>
<formControlPr xmlns="http://schemas.microsoft.com/office/spreadsheetml/2009/9/main" objectType="Drop" dropLines="3" dropStyle="combo" dx="15" fmlaLink="$H$91" fmlaRange="Lu_Nutrition_Result_Type" noThreeD="1" sel="1" val="0"/>
</file>

<file path=xl/ctrlProps/ctrlProp5.xml><?xml version="1.0" encoding="utf-8"?>
<formControlPr xmlns="http://schemas.microsoft.com/office/spreadsheetml/2009/9/main" objectType="Drop" dropLines="3" dropStyle="combo" dx="15" fmlaLink="$H$36" fmlaRange="Lu_Nutrition_Result_Type" noThreeD="1" sel="3" val="0"/>
</file>

<file path=xl/ctrlProps/ctrlProp50.xml><?xml version="1.0" encoding="utf-8"?>
<formControlPr xmlns="http://schemas.microsoft.com/office/spreadsheetml/2009/9/main" objectType="Drop" dropLines="3" dropStyle="combo" dx="15" fmlaLink="$H$92" fmlaRange="Lu_Nutrition_Result_Type" noThreeD="1" sel="1" val="0"/>
</file>

<file path=xl/ctrlProps/ctrlProp51.xml><?xml version="1.0" encoding="utf-8"?>
<formControlPr xmlns="http://schemas.microsoft.com/office/spreadsheetml/2009/9/main" objectType="Drop" dropLines="3" dropStyle="combo" dx="15" fmlaLink="$H$40" fmlaRange="Lu_Nutrition_Result_Type" noThreeD="1" sel="1" val="0"/>
</file>

<file path=xl/ctrlProps/ctrlProp52.xml><?xml version="1.0" encoding="utf-8"?>
<formControlPr xmlns="http://schemas.microsoft.com/office/spreadsheetml/2009/9/main" objectType="Drop" dropLines="3" dropStyle="combo" dx="15" fmlaLink="$H$58" fmlaRange="Lu_Nutrition_Result_Type" noThreeD="1" sel="1" val="0"/>
</file>

<file path=xl/ctrlProps/ctrlProp53.xml><?xml version="1.0" encoding="utf-8"?>
<formControlPr xmlns="http://schemas.microsoft.com/office/spreadsheetml/2009/9/main" objectType="Drop" dropLines="3" dropStyle="combo" dx="15" fmlaLink="$H$34" fmlaRange="Lu_Nutrition_Result_Type" noThreeD="1" sel="3" val="0"/>
</file>

<file path=xl/ctrlProps/ctrlProp6.xml><?xml version="1.0" encoding="utf-8"?>
<formControlPr xmlns="http://schemas.microsoft.com/office/spreadsheetml/2009/9/main" objectType="Drop" dropLines="3" dropStyle="combo" dx="15" fmlaLink="$H$37" fmlaRange="Lu_Nutrition_Result_Type" noThreeD="1" sel="3" val="0"/>
</file>

<file path=xl/ctrlProps/ctrlProp7.xml><?xml version="1.0" encoding="utf-8"?>
<formControlPr xmlns="http://schemas.microsoft.com/office/spreadsheetml/2009/9/main" objectType="Drop" dropLines="3" dropStyle="combo" dx="15" fmlaLink="$H$38" fmlaRange="Lu_Nutrition_Result_Type" noThreeD="1" sel="3" val="0"/>
</file>

<file path=xl/ctrlProps/ctrlProp8.xml><?xml version="1.0" encoding="utf-8"?>
<formControlPr xmlns="http://schemas.microsoft.com/office/spreadsheetml/2009/9/main" objectType="Drop" dropLines="3" dropStyle="combo" dx="15" fmlaLink="$H$41" fmlaRange="Lu_Nutrition_Result_Type" noThreeD="1" sel="2" val="0"/>
</file>

<file path=xl/ctrlProps/ctrlProp9.xml><?xml version="1.0" encoding="utf-8"?>
<formControlPr xmlns="http://schemas.microsoft.com/office/spreadsheetml/2009/9/main" objectType="Drop" dropLines="3" dropStyle="combo" dx="15" fmlaLink="$H$42" fmlaRange="Lu_Nutrition_Result_Type" noThreeD="1" sel="1" val="0"/>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7.emf"/><Relationship Id="rId18" Type="http://schemas.openxmlformats.org/officeDocument/2006/relationships/image" Target="../media/image12.emf"/><Relationship Id="rId3" Type="http://schemas.openxmlformats.org/officeDocument/2006/relationships/chart" Target="../charts/chart4.xml"/><Relationship Id="rId7" Type="http://schemas.openxmlformats.org/officeDocument/2006/relationships/image" Target="../media/image1.png"/><Relationship Id="rId12" Type="http://schemas.openxmlformats.org/officeDocument/2006/relationships/image" Target="../media/image5.png"/><Relationship Id="rId17" Type="http://schemas.openxmlformats.org/officeDocument/2006/relationships/image" Target="../media/image11.emf"/><Relationship Id="rId2" Type="http://schemas.openxmlformats.org/officeDocument/2006/relationships/chart" Target="../charts/chart3.xml"/><Relationship Id="rId16" Type="http://schemas.openxmlformats.org/officeDocument/2006/relationships/image" Target="../media/image10.emf"/><Relationship Id="rId20" Type="http://schemas.openxmlformats.org/officeDocument/2006/relationships/chart" Target="../charts/chart12.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1.xml"/><Relationship Id="rId5" Type="http://schemas.openxmlformats.org/officeDocument/2006/relationships/chart" Target="../charts/chart6.xml"/><Relationship Id="rId15" Type="http://schemas.openxmlformats.org/officeDocument/2006/relationships/image" Target="../media/image9.emf"/><Relationship Id="rId10" Type="http://schemas.openxmlformats.org/officeDocument/2006/relationships/chart" Target="../charts/chart10.xml"/><Relationship Id="rId19" Type="http://schemas.openxmlformats.org/officeDocument/2006/relationships/image" Target="../media/image13.emf"/><Relationship Id="rId4" Type="http://schemas.openxmlformats.org/officeDocument/2006/relationships/chart" Target="../charts/chart5.xml"/><Relationship Id="rId9" Type="http://schemas.openxmlformats.org/officeDocument/2006/relationships/chart" Target="../charts/chart9.xml"/><Relationship Id="rId14" Type="http://schemas.openxmlformats.org/officeDocument/2006/relationships/image" Target="../media/image8.emf"/></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2</xdr:col>
      <xdr:colOff>11431</xdr:colOff>
      <xdr:row>1</xdr:row>
      <xdr:rowOff>15197</xdr:rowOff>
    </xdr:from>
    <xdr:to>
      <xdr:col>6</xdr:col>
      <xdr:colOff>895351</xdr:colOff>
      <xdr:row>5</xdr:row>
      <xdr:rowOff>17145</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a:stretch>
          <a:fillRect/>
        </a:stretch>
      </xdr:blipFill>
      <xdr:spPr>
        <a:xfrm>
          <a:off x="504825" y="171450"/>
          <a:ext cx="1876425" cy="609600"/>
        </a:xfrm>
        <a:prstGeom prst="rect">
          <a:avLst/>
        </a:prstGeom>
      </xdr:spPr>
    </xdr:pic>
    <xdr:clientData/>
  </xdr:twoCellAnchor>
  <xdr:twoCellAnchor editAs="oneCell">
    <xdr:from>
      <xdr:col>10</xdr:col>
      <xdr:colOff>519007</xdr:colOff>
      <xdr:row>5</xdr:row>
      <xdr:rowOff>146685</xdr:rowOff>
    </xdr:from>
    <xdr:to>
      <xdr:col>16</xdr:col>
      <xdr:colOff>0</xdr:colOff>
      <xdr:row>20</xdr:row>
      <xdr:rowOff>135255</xdr:rowOff>
    </xdr:to>
    <xdr:graphicFrame macro="">
      <xdr:nvGraphicFramePr>
        <xdr:cNvPr id="7" name="Chart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0</xdr:colOff>
      <xdr:row>19</xdr:row>
      <xdr:rowOff>0</xdr:rowOff>
    </xdr:from>
    <xdr:to>
      <xdr:col>20</xdr:col>
      <xdr:colOff>228601</xdr:colOff>
      <xdr:row>26</xdr:row>
      <xdr:rowOff>428625</xdr:rowOff>
    </xdr:to>
    <xdr:sp macro="" textlink="" fLocksText="0">
      <xdr:nvSpPr>
        <xdr:cNvPr id="2" name="Speech Bubble: Rectangle with Corners Rounded 1">
          <a:extLst>
            <a:ext uri="{FF2B5EF4-FFF2-40B4-BE49-F238E27FC236}">
              <a16:creationId xmlns:a16="http://schemas.microsoft.com/office/drawing/2014/main" id="{00000000-0008-0000-1600-000002000000}"/>
            </a:ext>
          </a:extLst>
        </xdr:cNvPr>
        <xdr:cNvSpPr/>
      </xdr:nvSpPr>
      <xdr:spPr>
        <a:xfrm>
          <a:off x="18440400" y="2847975"/>
          <a:ext cx="4133850" cy="2409825"/>
        </a:xfrm>
        <a:prstGeom prst="wedgeRoundRectCallout">
          <a:avLst>
            <a:gd name="adj1" fmla="val -49485"/>
            <a:gd name="adj2" fmla="val 74175"/>
            <a:gd name="adj3" fmla="val 16667"/>
          </a:avLst>
        </a:prstGeom>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r>
            <a:rPr lang="en-US" sz="1100"/>
            <a:t>Instructions</a:t>
          </a:r>
          <a:r>
            <a:rPr lang="en-US" sz="1100" baseline="0"/>
            <a:t>:</a:t>
          </a:r>
        </a:p>
        <a:p>
          <a:pPr algn="l"/>
          <a:endParaRPr lang="en-US" sz="1100" baseline="0"/>
        </a:p>
        <a:p>
          <a:pPr algn="l"/>
          <a:r>
            <a:rPr lang="en-US" sz="1100" baseline="0"/>
            <a:t>Please input partner2's contributions in international currency. They will be converted to local currency automatically in the form below.</a:t>
          </a:r>
        </a:p>
        <a:p>
          <a:pPr algn="l"/>
          <a:endParaRPr lang="en-US" sz="1100" baseline="0"/>
        </a:p>
        <a:p>
          <a:pPr algn="l"/>
          <a:r>
            <a:rPr lang="en-US" sz="1100" baseline="0"/>
            <a:t>Requirements for [Not In Use] strategies and indicators should be left blank. </a:t>
          </a:r>
        </a:p>
        <a:p>
          <a:pPr algn="l"/>
          <a:endParaRPr lang="en-US" sz="1100" baseline="0"/>
        </a:p>
        <a:p>
          <a:pPr algn="l"/>
          <a:r>
            <a:rPr lang="en-US" sz="1100" baseline="0"/>
            <a:t>These will be copied automatically throughout the tool and will be used as partner2's contributions.</a:t>
          </a: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0</xdr:colOff>
      <xdr:row>19</xdr:row>
      <xdr:rowOff>0</xdr:rowOff>
    </xdr:from>
    <xdr:to>
      <xdr:col>20</xdr:col>
      <xdr:colOff>228601</xdr:colOff>
      <xdr:row>26</xdr:row>
      <xdr:rowOff>428625</xdr:rowOff>
    </xdr:to>
    <xdr:sp macro="" textlink="" fLocksText="0">
      <xdr:nvSpPr>
        <xdr:cNvPr id="2" name="Speech Bubble: Rectangle with Corners Rounded 1">
          <a:extLst>
            <a:ext uri="{FF2B5EF4-FFF2-40B4-BE49-F238E27FC236}">
              <a16:creationId xmlns:a16="http://schemas.microsoft.com/office/drawing/2014/main" id="{00000000-0008-0000-1700-000002000000}"/>
            </a:ext>
          </a:extLst>
        </xdr:cNvPr>
        <xdr:cNvSpPr/>
      </xdr:nvSpPr>
      <xdr:spPr>
        <a:xfrm>
          <a:off x="18440400" y="2514600"/>
          <a:ext cx="4133850" cy="2409825"/>
        </a:xfrm>
        <a:prstGeom prst="wedgeRoundRectCallout">
          <a:avLst>
            <a:gd name="adj1" fmla="val -49485"/>
            <a:gd name="adj2" fmla="val 74175"/>
            <a:gd name="adj3" fmla="val 16667"/>
          </a:avLst>
        </a:prstGeom>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r>
            <a:rPr lang="en-US" sz="1100"/>
            <a:t>Instructions</a:t>
          </a:r>
          <a:r>
            <a:rPr lang="en-US" sz="1100" baseline="0"/>
            <a:t>:</a:t>
          </a:r>
        </a:p>
        <a:p>
          <a:pPr algn="l"/>
          <a:endParaRPr lang="en-US" sz="1100" baseline="0"/>
        </a:p>
        <a:p>
          <a:pPr algn="l"/>
          <a:r>
            <a:rPr lang="en-US" sz="1100" baseline="0"/>
            <a:t>Please input partner3's contributions in international currency. They will be converted to local currency automatically in the form below.</a:t>
          </a:r>
        </a:p>
        <a:p>
          <a:pPr algn="l"/>
          <a:endParaRPr lang="en-US" sz="1100" baseline="0"/>
        </a:p>
        <a:p>
          <a:pPr algn="l"/>
          <a:r>
            <a:rPr lang="en-US" sz="1100" baseline="0"/>
            <a:t>Requirements for [Not In Use] strategies and indicators should be left blank. </a:t>
          </a:r>
        </a:p>
        <a:p>
          <a:pPr algn="l"/>
          <a:endParaRPr lang="en-US" sz="1100" baseline="0"/>
        </a:p>
        <a:p>
          <a:pPr algn="l"/>
          <a:r>
            <a:rPr lang="en-US" sz="1100" baseline="0"/>
            <a:t>These will be copied automatically throughout the tool and will be used as partner3's contributions.</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0</xdr:colOff>
      <xdr:row>19</xdr:row>
      <xdr:rowOff>0</xdr:rowOff>
    </xdr:from>
    <xdr:to>
      <xdr:col>20</xdr:col>
      <xdr:colOff>228601</xdr:colOff>
      <xdr:row>26</xdr:row>
      <xdr:rowOff>428625</xdr:rowOff>
    </xdr:to>
    <xdr:sp macro="" textlink="" fLocksText="0">
      <xdr:nvSpPr>
        <xdr:cNvPr id="2" name="Speech Bubble: Rectangle with Corners Rounded 1">
          <a:extLst>
            <a:ext uri="{FF2B5EF4-FFF2-40B4-BE49-F238E27FC236}">
              <a16:creationId xmlns:a16="http://schemas.microsoft.com/office/drawing/2014/main" id="{00000000-0008-0000-1800-000002000000}"/>
            </a:ext>
          </a:extLst>
        </xdr:cNvPr>
        <xdr:cNvSpPr/>
      </xdr:nvSpPr>
      <xdr:spPr>
        <a:xfrm>
          <a:off x="18440400" y="2847975"/>
          <a:ext cx="4133850" cy="2409825"/>
        </a:xfrm>
        <a:prstGeom prst="wedgeRoundRectCallout">
          <a:avLst>
            <a:gd name="adj1" fmla="val -49485"/>
            <a:gd name="adj2" fmla="val 74175"/>
            <a:gd name="adj3" fmla="val 16667"/>
          </a:avLst>
        </a:prstGeom>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r>
            <a:rPr lang="en-US" sz="1100"/>
            <a:t>Instructions</a:t>
          </a:r>
          <a:r>
            <a:rPr lang="en-US" sz="1100" baseline="0"/>
            <a:t>:</a:t>
          </a:r>
        </a:p>
        <a:p>
          <a:pPr algn="l"/>
          <a:endParaRPr lang="en-US" sz="1100" baseline="0"/>
        </a:p>
        <a:p>
          <a:pPr algn="l"/>
          <a:r>
            <a:rPr lang="en-US" sz="1100" baseline="0"/>
            <a:t>Please input partner4's contributions in international currency. They will be converted to local currency automatically in the form below.</a:t>
          </a:r>
        </a:p>
        <a:p>
          <a:pPr algn="l"/>
          <a:endParaRPr lang="en-US" sz="1100" baseline="0"/>
        </a:p>
        <a:p>
          <a:pPr algn="l"/>
          <a:r>
            <a:rPr lang="en-US" sz="1100" baseline="0"/>
            <a:t>Requirements for [Not In Use] strategies and indicators should be left blank. </a:t>
          </a:r>
        </a:p>
        <a:p>
          <a:pPr algn="l"/>
          <a:endParaRPr lang="en-US" sz="1100" baseline="0"/>
        </a:p>
        <a:p>
          <a:pPr algn="l"/>
          <a:r>
            <a:rPr lang="en-US" sz="1100" baseline="0"/>
            <a:t>These will be copied automatically throughout the tool and will be used as partner4's contributions.</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0</xdr:colOff>
      <xdr:row>19</xdr:row>
      <xdr:rowOff>0</xdr:rowOff>
    </xdr:from>
    <xdr:to>
      <xdr:col>20</xdr:col>
      <xdr:colOff>228601</xdr:colOff>
      <xdr:row>26</xdr:row>
      <xdr:rowOff>428625</xdr:rowOff>
    </xdr:to>
    <xdr:sp macro="" textlink="" fLocksText="0">
      <xdr:nvSpPr>
        <xdr:cNvPr id="2" name="Speech Bubble: Rectangle with Corners Rounded 1">
          <a:extLst>
            <a:ext uri="{FF2B5EF4-FFF2-40B4-BE49-F238E27FC236}">
              <a16:creationId xmlns:a16="http://schemas.microsoft.com/office/drawing/2014/main" id="{00000000-0008-0000-1900-000002000000}"/>
            </a:ext>
          </a:extLst>
        </xdr:cNvPr>
        <xdr:cNvSpPr/>
      </xdr:nvSpPr>
      <xdr:spPr>
        <a:xfrm>
          <a:off x="18440400" y="2514600"/>
          <a:ext cx="4133850" cy="2409825"/>
        </a:xfrm>
        <a:prstGeom prst="wedgeRoundRectCallout">
          <a:avLst>
            <a:gd name="adj1" fmla="val -49485"/>
            <a:gd name="adj2" fmla="val 74175"/>
            <a:gd name="adj3" fmla="val 16667"/>
          </a:avLst>
        </a:prstGeom>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r>
            <a:rPr lang="en-US" sz="1100"/>
            <a:t>Instructions</a:t>
          </a:r>
          <a:r>
            <a:rPr lang="en-US" sz="1100" baseline="0"/>
            <a:t>:</a:t>
          </a:r>
        </a:p>
        <a:p>
          <a:pPr algn="l"/>
          <a:endParaRPr lang="en-US" sz="1100" baseline="0"/>
        </a:p>
        <a:p>
          <a:pPr algn="l"/>
          <a:r>
            <a:rPr lang="en-US" sz="1100" baseline="0"/>
            <a:t>Please input partner5's contributions in international currency. They will be converted to local currency automatically in the form below.</a:t>
          </a:r>
        </a:p>
        <a:p>
          <a:pPr algn="l"/>
          <a:endParaRPr lang="en-US" sz="1100" baseline="0"/>
        </a:p>
        <a:p>
          <a:pPr algn="l"/>
          <a:r>
            <a:rPr lang="en-US" sz="1100" baseline="0"/>
            <a:t>Requirements for [Not In Use] strategies and indicators should be left blank. </a:t>
          </a:r>
        </a:p>
        <a:p>
          <a:pPr algn="l"/>
          <a:endParaRPr lang="en-US" sz="1100" baseline="0"/>
        </a:p>
        <a:p>
          <a:pPr algn="l"/>
          <a:r>
            <a:rPr lang="en-US" sz="1100" baseline="0"/>
            <a:t>These will be copied automatically throughout the tool and will be used as partner5's contributions.</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19</xdr:row>
      <xdr:rowOff>0</xdr:rowOff>
    </xdr:from>
    <xdr:to>
      <xdr:col>20</xdr:col>
      <xdr:colOff>228601</xdr:colOff>
      <xdr:row>26</xdr:row>
      <xdr:rowOff>428625</xdr:rowOff>
    </xdr:to>
    <xdr:sp macro="" textlink="" fLocksText="0">
      <xdr:nvSpPr>
        <xdr:cNvPr id="2" name="Speech Bubble: Rectangle with Corners Rounded 1">
          <a:extLst>
            <a:ext uri="{FF2B5EF4-FFF2-40B4-BE49-F238E27FC236}">
              <a16:creationId xmlns:a16="http://schemas.microsoft.com/office/drawing/2014/main" id="{00000000-0008-0000-1A00-000002000000}"/>
            </a:ext>
          </a:extLst>
        </xdr:cNvPr>
        <xdr:cNvSpPr/>
      </xdr:nvSpPr>
      <xdr:spPr>
        <a:xfrm>
          <a:off x="18440400" y="2514600"/>
          <a:ext cx="4133850" cy="2409825"/>
        </a:xfrm>
        <a:prstGeom prst="wedgeRoundRectCallout">
          <a:avLst>
            <a:gd name="adj1" fmla="val -49485"/>
            <a:gd name="adj2" fmla="val 74175"/>
            <a:gd name="adj3" fmla="val 16667"/>
          </a:avLst>
        </a:prstGeom>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r>
            <a:rPr lang="en-US" sz="1100"/>
            <a:t>Instructions</a:t>
          </a:r>
          <a:r>
            <a:rPr lang="en-US" sz="1100" baseline="0"/>
            <a:t>:</a:t>
          </a:r>
        </a:p>
        <a:p>
          <a:pPr algn="l"/>
          <a:endParaRPr lang="en-US" sz="1100" baseline="0"/>
        </a:p>
        <a:p>
          <a:pPr algn="l"/>
          <a:r>
            <a:rPr lang="en-US" sz="1100" baseline="0"/>
            <a:t>Please input partner6's contributions in international currency. They will be converted to local currency automatically in the form below.</a:t>
          </a:r>
        </a:p>
        <a:p>
          <a:pPr algn="l"/>
          <a:endParaRPr lang="en-US" sz="1100" baseline="0"/>
        </a:p>
        <a:p>
          <a:pPr algn="l"/>
          <a:r>
            <a:rPr lang="en-US" sz="1100" baseline="0"/>
            <a:t>Requirements for [Not In Use] strategies and indicators should be left blank. </a:t>
          </a:r>
        </a:p>
        <a:p>
          <a:pPr algn="l"/>
          <a:endParaRPr lang="en-US" sz="1100" baseline="0"/>
        </a:p>
        <a:p>
          <a:pPr algn="l"/>
          <a:r>
            <a:rPr lang="en-US" sz="1100" baseline="0"/>
            <a:t>These will be copied automatically throughout the tool and will be used as partner6's contributions.</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19</xdr:row>
      <xdr:rowOff>0</xdr:rowOff>
    </xdr:from>
    <xdr:to>
      <xdr:col>20</xdr:col>
      <xdr:colOff>228601</xdr:colOff>
      <xdr:row>26</xdr:row>
      <xdr:rowOff>428625</xdr:rowOff>
    </xdr:to>
    <xdr:sp macro="" textlink="" fLocksText="0">
      <xdr:nvSpPr>
        <xdr:cNvPr id="2" name="Speech Bubble: Rectangle with Corners Rounded 1">
          <a:extLst>
            <a:ext uri="{FF2B5EF4-FFF2-40B4-BE49-F238E27FC236}">
              <a16:creationId xmlns:a16="http://schemas.microsoft.com/office/drawing/2014/main" id="{00000000-0008-0000-1B00-000002000000}"/>
            </a:ext>
          </a:extLst>
        </xdr:cNvPr>
        <xdr:cNvSpPr/>
      </xdr:nvSpPr>
      <xdr:spPr>
        <a:xfrm>
          <a:off x="18440400" y="2514600"/>
          <a:ext cx="4133850" cy="2409825"/>
        </a:xfrm>
        <a:prstGeom prst="wedgeRoundRectCallout">
          <a:avLst>
            <a:gd name="adj1" fmla="val -49485"/>
            <a:gd name="adj2" fmla="val 74175"/>
            <a:gd name="adj3" fmla="val 16667"/>
          </a:avLst>
        </a:prstGeom>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r>
            <a:rPr lang="en-US" sz="1100"/>
            <a:t>Instructions</a:t>
          </a:r>
          <a:r>
            <a:rPr lang="en-US" sz="1100" baseline="0"/>
            <a:t>:</a:t>
          </a:r>
        </a:p>
        <a:p>
          <a:pPr algn="l"/>
          <a:endParaRPr lang="en-US" sz="1100" baseline="0"/>
        </a:p>
        <a:p>
          <a:pPr algn="l"/>
          <a:r>
            <a:rPr lang="en-US" sz="1100" baseline="0"/>
            <a:t>Please input partner7's contributions in international currency. They will be converted to local currency automatically in the form below.</a:t>
          </a:r>
        </a:p>
        <a:p>
          <a:pPr algn="l"/>
          <a:endParaRPr lang="en-US" sz="1100" baseline="0"/>
        </a:p>
        <a:p>
          <a:pPr algn="l"/>
          <a:r>
            <a:rPr lang="en-US" sz="1100" baseline="0"/>
            <a:t>Requirements for [Not In Use] strategies and indicators should be left blank. </a:t>
          </a:r>
        </a:p>
        <a:p>
          <a:pPr algn="l"/>
          <a:endParaRPr lang="en-US" sz="1100" baseline="0"/>
        </a:p>
        <a:p>
          <a:pPr algn="l"/>
          <a:r>
            <a:rPr lang="en-US" sz="1100" baseline="0"/>
            <a:t>These will be copied automatically throughout the tool and will be used as partner7's contributions.</a:t>
          </a:r>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0</xdr:colOff>
      <xdr:row>19</xdr:row>
      <xdr:rowOff>0</xdr:rowOff>
    </xdr:from>
    <xdr:to>
      <xdr:col>20</xdr:col>
      <xdr:colOff>228601</xdr:colOff>
      <xdr:row>26</xdr:row>
      <xdr:rowOff>428625</xdr:rowOff>
    </xdr:to>
    <xdr:sp macro="" textlink="" fLocksText="0">
      <xdr:nvSpPr>
        <xdr:cNvPr id="2" name="Speech Bubble: Rectangle with Corners Rounded 1">
          <a:extLst>
            <a:ext uri="{FF2B5EF4-FFF2-40B4-BE49-F238E27FC236}">
              <a16:creationId xmlns:a16="http://schemas.microsoft.com/office/drawing/2014/main" id="{00000000-0008-0000-1C00-000002000000}"/>
            </a:ext>
          </a:extLst>
        </xdr:cNvPr>
        <xdr:cNvSpPr/>
      </xdr:nvSpPr>
      <xdr:spPr>
        <a:xfrm>
          <a:off x="18440400" y="2514600"/>
          <a:ext cx="4133850" cy="2409825"/>
        </a:xfrm>
        <a:prstGeom prst="wedgeRoundRectCallout">
          <a:avLst>
            <a:gd name="adj1" fmla="val -49485"/>
            <a:gd name="adj2" fmla="val 74175"/>
            <a:gd name="adj3" fmla="val 16667"/>
          </a:avLst>
        </a:prstGeom>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r>
            <a:rPr lang="en-US" sz="1100"/>
            <a:t>Instructions</a:t>
          </a:r>
          <a:r>
            <a:rPr lang="en-US" sz="1100" baseline="0"/>
            <a:t>:</a:t>
          </a:r>
        </a:p>
        <a:p>
          <a:pPr algn="l"/>
          <a:endParaRPr lang="en-US" sz="1100" baseline="0"/>
        </a:p>
        <a:p>
          <a:pPr algn="l"/>
          <a:r>
            <a:rPr lang="en-US" sz="1100" baseline="0"/>
            <a:t>Please input partner8's contributions in international currency. They will be converted to local currency automatically in the form below.</a:t>
          </a:r>
        </a:p>
        <a:p>
          <a:pPr algn="l"/>
          <a:endParaRPr lang="en-US" sz="1100" baseline="0"/>
        </a:p>
        <a:p>
          <a:pPr algn="l"/>
          <a:r>
            <a:rPr lang="en-US" sz="1100" baseline="0"/>
            <a:t>Requirements for [Not In Use] strategies and indicators should be left blank. </a:t>
          </a:r>
        </a:p>
        <a:p>
          <a:pPr algn="l"/>
          <a:endParaRPr lang="en-US" sz="1100" baseline="0"/>
        </a:p>
        <a:p>
          <a:pPr algn="l"/>
          <a:r>
            <a:rPr lang="en-US" sz="1100" baseline="0"/>
            <a:t>These will be copied automatically throughout the tool and will be used as partner8's contributions.</a:t>
          </a:r>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0</xdr:colOff>
      <xdr:row>19</xdr:row>
      <xdr:rowOff>0</xdr:rowOff>
    </xdr:from>
    <xdr:to>
      <xdr:col>20</xdr:col>
      <xdr:colOff>228601</xdr:colOff>
      <xdr:row>26</xdr:row>
      <xdr:rowOff>428625</xdr:rowOff>
    </xdr:to>
    <xdr:sp macro="" textlink="" fLocksText="0">
      <xdr:nvSpPr>
        <xdr:cNvPr id="2" name="Speech Bubble: Rectangle with Corners Rounded 1">
          <a:extLst>
            <a:ext uri="{FF2B5EF4-FFF2-40B4-BE49-F238E27FC236}">
              <a16:creationId xmlns:a16="http://schemas.microsoft.com/office/drawing/2014/main" id="{00000000-0008-0000-1D00-000002000000}"/>
            </a:ext>
          </a:extLst>
        </xdr:cNvPr>
        <xdr:cNvSpPr/>
      </xdr:nvSpPr>
      <xdr:spPr>
        <a:xfrm>
          <a:off x="18440400" y="2514600"/>
          <a:ext cx="4133850" cy="2409825"/>
        </a:xfrm>
        <a:prstGeom prst="wedgeRoundRectCallout">
          <a:avLst>
            <a:gd name="adj1" fmla="val -49485"/>
            <a:gd name="adj2" fmla="val 74175"/>
            <a:gd name="adj3" fmla="val 16667"/>
          </a:avLst>
        </a:prstGeom>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r>
            <a:rPr lang="en-US" sz="1100"/>
            <a:t>Instructions</a:t>
          </a:r>
          <a:r>
            <a:rPr lang="en-US" sz="1100" baseline="0"/>
            <a:t>:</a:t>
          </a:r>
        </a:p>
        <a:p>
          <a:pPr algn="l"/>
          <a:endParaRPr lang="en-US" sz="1100" baseline="0"/>
        </a:p>
        <a:p>
          <a:pPr algn="l"/>
          <a:r>
            <a:rPr lang="en-US" sz="1100" baseline="0"/>
            <a:t>Please input partner9's contributions in international currency. They will be converted to local currency automatically in the form below.</a:t>
          </a:r>
        </a:p>
        <a:p>
          <a:pPr algn="l"/>
          <a:endParaRPr lang="en-US" sz="1100" baseline="0"/>
        </a:p>
        <a:p>
          <a:pPr algn="l"/>
          <a:r>
            <a:rPr lang="en-US" sz="1100" baseline="0"/>
            <a:t>Requirements for [Not In Use] strategies and indicators should be left blank. </a:t>
          </a:r>
        </a:p>
        <a:p>
          <a:pPr algn="l"/>
          <a:endParaRPr lang="en-US" sz="1100" baseline="0"/>
        </a:p>
        <a:p>
          <a:pPr algn="l"/>
          <a:r>
            <a:rPr lang="en-US" sz="1100" baseline="0"/>
            <a:t>These will be copied automatically throughout the tool and will be used as partner9's contributions.</a:t>
          </a:r>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0</xdr:colOff>
      <xdr:row>19</xdr:row>
      <xdr:rowOff>0</xdr:rowOff>
    </xdr:from>
    <xdr:to>
      <xdr:col>20</xdr:col>
      <xdr:colOff>228601</xdr:colOff>
      <xdr:row>26</xdr:row>
      <xdr:rowOff>428625</xdr:rowOff>
    </xdr:to>
    <xdr:sp macro="" textlink="" fLocksText="0">
      <xdr:nvSpPr>
        <xdr:cNvPr id="2" name="Speech Bubble: Rectangle with Corners Rounded 1">
          <a:extLst>
            <a:ext uri="{FF2B5EF4-FFF2-40B4-BE49-F238E27FC236}">
              <a16:creationId xmlns:a16="http://schemas.microsoft.com/office/drawing/2014/main" id="{00000000-0008-0000-1E00-000002000000}"/>
            </a:ext>
          </a:extLst>
        </xdr:cNvPr>
        <xdr:cNvSpPr/>
      </xdr:nvSpPr>
      <xdr:spPr>
        <a:xfrm>
          <a:off x="18440400" y="2514600"/>
          <a:ext cx="4133850" cy="2409825"/>
        </a:xfrm>
        <a:prstGeom prst="wedgeRoundRectCallout">
          <a:avLst>
            <a:gd name="adj1" fmla="val -49485"/>
            <a:gd name="adj2" fmla="val 74175"/>
            <a:gd name="adj3" fmla="val 16667"/>
          </a:avLst>
        </a:prstGeom>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r>
            <a:rPr lang="en-US" sz="1100"/>
            <a:t>Instructions</a:t>
          </a:r>
          <a:r>
            <a:rPr lang="en-US" sz="1100" baseline="0"/>
            <a:t>:</a:t>
          </a:r>
        </a:p>
        <a:p>
          <a:pPr algn="l"/>
          <a:endParaRPr lang="en-US" sz="1100" baseline="0"/>
        </a:p>
        <a:p>
          <a:pPr algn="l"/>
          <a:r>
            <a:rPr lang="en-US" sz="1100" baseline="0"/>
            <a:t>Please input partner10's contributions in international currency. They will be converted to local currency automatically in the form below.</a:t>
          </a:r>
        </a:p>
        <a:p>
          <a:pPr algn="l"/>
          <a:endParaRPr lang="en-US" sz="1100" baseline="0"/>
        </a:p>
        <a:p>
          <a:pPr algn="l"/>
          <a:r>
            <a:rPr lang="en-US" sz="1100" baseline="0"/>
            <a:t>Requirements for [Not In Use] strategies and indicators should be left blank. </a:t>
          </a:r>
        </a:p>
        <a:p>
          <a:pPr algn="l"/>
          <a:endParaRPr lang="en-US" sz="1100" baseline="0"/>
        </a:p>
        <a:p>
          <a:pPr algn="l"/>
          <a:r>
            <a:rPr lang="en-US" sz="1100" baseline="0"/>
            <a:t>These will be copied automatically throughout the tool and will be used as partner10's contributions.</a:t>
          </a:r>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685800</xdr:colOff>
      <xdr:row>2</xdr:row>
      <xdr:rowOff>123825</xdr:rowOff>
    </xdr:from>
    <xdr:to>
      <xdr:col>7</xdr:col>
      <xdr:colOff>287387</xdr:colOff>
      <xdr:row>7</xdr:row>
      <xdr:rowOff>97065</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1466850" y="428625"/>
          <a:ext cx="2152650" cy="733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742950</xdr:colOff>
      <xdr:row>3</xdr:row>
      <xdr:rowOff>95250</xdr:rowOff>
    </xdr:from>
    <xdr:to>
      <xdr:col>7</xdr:col>
      <xdr:colOff>53340</xdr:colOff>
      <xdr:row>7</xdr:row>
      <xdr:rowOff>108628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524000" y="552450"/>
          <a:ext cx="186690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495299</xdr:colOff>
      <xdr:row>81</xdr:row>
      <xdr:rowOff>84175</xdr:rowOff>
    </xdr:from>
    <xdr:to>
      <xdr:col>18</xdr:col>
      <xdr:colOff>361012</xdr:colOff>
      <xdr:row>90</xdr:row>
      <xdr:rowOff>2876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2639675" y="15135225"/>
          <a:ext cx="3771900" cy="1752600"/>
        </a:xfrm>
        <a:prstGeom prst="rect">
          <a:avLst/>
        </a:prstGeom>
      </xdr:spPr>
    </xdr:pic>
    <xdr:clientData/>
  </xdr:twoCellAnchor>
  <xdr:twoCellAnchor editAs="oneCell">
    <xdr:from>
      <xdr:col>8</xdr:col>
      <xdr:colOff>561975</xdr:colOff>
      <xdr:row>78</xdr:row>
      <xdr:rowOff>95250</xdr:rowOff>
    </xdr:from>
    <xdr:to>
      <xdr:col>20</xdr:col>
      <xdr:colOff>608423</xdr:colOff>
      <xdr:row>80</xdr:row>
      <xdr:rowOff>85688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8801100" y="14687550"/>
          <a:ext cx="9420225" cy="295275"/>
        </a:xfrm>
        <a:prstGeom prst="rect">
          <a:avLst/>
        </a:prstGeom>
      </xdr:spPr>
    </xdr:pic>
    <xdr:clientData/>
  </xdr:twoCellAnchor>
  <xdr:twoCellAnchor editAs="oneCell">
    <xdr:from>
      <xdr:col>7</xdr:col>
      <xdr:colOff>76200</xdr:colOff>
      <xdr:row>82</xdr:row>
      <xdr:rowOff>19050</xdr:rowOff>
    </xdr:from>
    <xdr:to>
      <xdr:col>13</xdr:col>
      <xdr:colOff>351805</xdr:colOff>
      <xdr:row>84</xdr:row>
      <xdr:rowOff>209450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7534275" y="15230475"/>
          <a:ext cx="4962525" cy="800100"/>
        </a:xfrm>
        <a:prstGeom prst="rect">
          <a:avLst/>
        </a:prstGeom>
      </xdr:spPr>
    </xdr:pic>
    <xdr:clientData/>
  </xdr:twoCellAnchor>
  <xdr:twoCellAnchor>
    <xdr:from>
      <xdr:col>0</xdr:col>
      <xdr:colOff>0</xdr:colOff>
      <xdr:row>6</xdr:row>
      <xdr:rowOff>85725</xdr:rowOff>
    </xdr:from>
    <xdr:to>
      <xdr:col>4</xdr:col>
      <xdr:colOff>485775</xdr:colOff>
      <xdr:row>17</xdr:row>
      <xdr:rowOff>151605</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flipH="1">
          <a:off x="0" y="1876425"/>
          <a:ext cx="1476375" cy="1743075"/>
        </a:xfrm>
        <a:prstGeom prst="rect">
          <a:avLst/>
        </a:prstGeom>
      </xdr:spPr>
    </xdr:pic>
    <xdr:clientData/>
  </xdr:twoCellAnchor>
  <xdr:twoCellAnchor editAs="oneCell">
    <xdr:from>
      <xdr:col>5</xdr:col>
      <xdr:colOff>2314575</xdr:colOff>
      <xdr:row>0</xdr:row>
      <xdr:rowOff>47625</xdr:rowOff>
    </xdr:from>
    <xdr:to>
      <xdr:col>5</xdr:col>
      <xdr:colOff>4028861</xdr:colOff>
      <xdr:row>3</xdr:row>
      <xdr:rowOff>866604</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3952875" y="47625"/>
          <a:ext cx="1714500" cy="1371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3482340</xdr:colOff>
      <xdr:row>36</xdr:row>
      <xdr:rowOff>87630</xdr:rowOff>
    </xdr:from>
    <xdr:to>
      <xdr:col>11</xdr:col>
      <xdr:colOff>638175</xdr:colOff>
      <xdr:row>38</xdr:row>
      <xdr:rowOff>142874</xdr:rowOff>
    </xdr:to>
    <xdr:sp macro="" textlink="" fLocksText="0">
      <xdr:nvSpPr>
        <xdr:cNvPr id="38" name="Rectangle 37">
          <a:extLst>
            <a:ext uri="{FF2B5EF4-FFF2-40B4-BE49-F238E27FC236}">
              <a16:creationId xmlns:a16="http://schemas.microsoft.com/office/drawing/2014/main" id="{00000000-0008-0000-0400-000026000000}"/>
            </a:ext>
          </a:extLst>
        </xdr:cNvPr>
        <xdr:cNvSpPr/>
      </xdr:nvSpPr>
      <xdr:spPr>
        <a:xfrm>
          <a:off x="4724400" y="5619750"/>
          <a:ext cx="8124825" cy="361950"/>
        </a:xfrm>
        <a:prstGeom prst="rect">
          <a:avLst/>
        </a:prstGeom>
        <a:solidFill>
          <a:schemeClr val="bg2"/>
        </a:solidFill>
        <a:ln>
          <a:noFill/>
        </a:ln>
        <a:effectLst>
          <a:outerShdw blurRad="431800" sx="101000" sy="101000" algn="ctr" rotWithShape="0">
            <a:schemeClr val="tx1">
              <a:lumMod val="75000"/>
              <a:lumOff val="25000"/>
              <a:alpha val="80000"/>
            </a:schemeClr>
          </a:outerShdw>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xdr:from>
      <xdr:col>1</xdr:col>
      <xdr:colOff>171448</xdr:colOff>
      <xdr:row>107</xdr:row>
      <xdr:rowOff>38099</xdr:rowOff>
    </xdr:from>
    <xdr:to>
      <xdr:col>7</xdr:col>
      <xdr:colOff>600075</xdr:colOff>
      <xdr:row>127</xdr:row>
      <xdr:rowOff>66674</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200025</xdr:colOff>
      <xdr:row>153</xdr:row>
      <xdr:rowOff>4761</xdr:rowOff>
    </xdr:from>
    <xdr:to>
      <xdr:col>6</xdr:col>
      <xdr:colOff>1628775</xdr:colOff>
      <xdr:row>171</xdr:row>
      <xdr:rowOff>123825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19049</xdr:colOff>
      <xdr:row>249</xdr:row>
      <xdr:rowOff>14285</xdr:rowOff>
    </xdr:from>
    <xdr:to>
      <xdr:col>6</xdr:col>
      <xdr:colOff>1581150</xdr:colOff>
      <xdr:row>268</xdr:row>
      <xdr:rowOff>47624</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147638</xdr:colOff>
      <xdr:row>297</xdr:row>
      <xdr:rowOff>47625</xdr:rowOff>
    </xdr:from>
    <xdr:to>
      <xdr:col>6</xdr:col>
      <xdr:colOff>1581150</xdr:colOff>
      <xdr:row>316</xdr:row>
      <xdr:rowOff>52389</xdr:rowOff>
    </xdr:to>
    <xdr:graphicFrame macro="">
      <xdr:nvGraphicFramePr>
        <xdr:cNvPr id="7" name="Chart 6">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133349</xdr:colOff>
      <xdr:row>200</xdr:row>
      <xdr:rowOff>85725</xdr:rowOff>
    </xdr:from>
    <xdr:to>
      <xdr:col>7</xdr:col>
      <xdr:colOff>200024</xdr:colOff>
      <xdr:row>220</xdr:row>
      <xdr:rowOff>95250</xdr:rowOff>
    </xdr:to>
    <xdr:graphicFrame macro="">
      <xdr:nvGraphicFramePr>
        <xdr:cNvPr id="8" name="Chart 7">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952499</xdr:colOff>
      <xdr:row>76</xdr:row>
      <xdr:rowOff>66675</xdr:rowOff>
    </xdr:from>
    <xdr:to>
      <xdr:col>19</xdr:col>
      <xdr:colOff>257174</xdr:colOff>
      <xdr:row>102</xdr:row>
      <xdr:rowOff>257175</xdr:rowOff>
    </xdr:to>
    <xdr:graphicFrame macro="">
      <xdr:nvGraphicFramePr>
        <xdr:cNvPr id="9" name="Chart 8">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200025</xdr:colOff>
      <xdr:row>7</xdr:row>
      <xdr:rowOff>28575</xdr:rowOff>
    </xdr:from>
    <xdr:to>
      <xdr:col>5</xdr:col>
      <xdr:colOff>1104632</xdr:colOff>
      <xdr:row>11</xdr:row>
      <xdr:rowOff>133260</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7"/>
        <a:stretch>
          <a:fillRect/>
        </a:stretch>
      </xdr:blipFill>
      <xdr:spPr>
        <a:xfrm>
          <a:off x="200025" y="1143000"/>
          <a:ext cx="2143125" cy="714375"/>
        </a:xfrm>
        <a:prstGeom prst="rect">
          <a:avLst/>
        </a:prstGeom>
      </xdr:spPr>
    </xdr:pic>
    <xdr:clientData/>
  </xdr:twoCellAnchor>
  <xdr:twoCellAnchor>
    <xdr:from>
      <xdr:col>4</xdr:col>
      <xdr:colOff>147638</xdr:colOff>
      <xdr:row>393</xdr:row>
      <xdr:rowOff>47625</xdr:rowOff>
    </xdr:from>
    <xdr:to>
      <xdr:col>6</xdr:col>
      <xdr:colOff>1581150</xdr:colOff>
      <xdr:row>412</xdr:row>
      <xdr:rowOff>52389</xdr:rowOff>
    </xdr:to>
    <xdr:graphicFrame macro="">
      <xdr:nvGraphicFramePr>
        <xdr:cNvPr id="11" name="Chart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147638</xdr:colOff>
      <xdr:row>441</xdr:row>
      <xdr:rowOff>47625</xdr:rowOff>
    </xdr:from>
    <xdr:to>
      <xdr:col>6</xdr:col>
      <xdr:colOff>1581150</xdr:colOff>
      <xdr:row>460</xdr:row>
      <xdr:rowOff>52389</xdr:rowOff>
    </xdr:to>
    <xdr:graphicFrame macro="">
      <xdr:nvGraphicFramePr>
        <xdr:cNvPr id="12" name="Chart 11">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147638</xdr:colOff>
      <xdr:row>489</xdr:row>
      <xdr:rowOff>47625</xdr:rowOff>
    </xdr:from>
    <xdr:to>
      <xdr:col>6</xdr:col>
      <xdr:colOff>1581150</xdr:colOff>
      <xdr:row>508</xdr:row>
      <xdr:rowOff>52389</xdr:rowOff>
    </xdr:to>
    <xdr:graphicFrame macro="">
      <xdr:nvGraphicFramePr>
        <xdr:cNvPr id="13" name="Chart 12">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147638</xdr:colOff>
      <xdr:row>537</xdr:row>
      <xdr:rowOff>47625</xdr:rowOff>
    </xdr:from>
    <xdr:to>
      <xdr:col>6</xdr:col>
      <xdr:colOff>1581150</xdr:colOff>
      <xdr:row>556</xdr:row>
      <xdr:rowOff>52389</xdr:rowOff>
    </xdr:to>
    <xdr:graphicFrame macro="">
      <xdr:nvGraphicFramePr>
        <xdr:cNvPr id="14" name="Chart 13">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171450</xdr:colOff>
      <xdr:row>46</xdr:row>
      <xdr:rowOff>9525</xdr:rowOff>
    </xdr:from>
    <xdr:to>
      <xdr:col>14</xdr:col>
      <xdr:colOff>94655</xdr:colOff>
      <xdr:row>72</xdr:row>
      <xdr:rowOff>47030</xdr:rowOff>
    </xdr:to>
    <xdr:grpSp>
      <xdr:nvGrpSpPr>
        <xdr:cNvPr id="28" name="Group 27">
          <a:extLst>
            <a:ext uri="{FF2B5EF4-FFF2-40B4-BE49-F238E27FC236}">
              <a16:creationId xmlns:a16="http://schemas.microsoft.com/office/drawing/2014/main" id="{00000000-0008-0000-0400-00001C000000}"/>
            </a:ext>
          </a:extLst>
        </xdr:cNvPr>
        <xdr:cNvGrpSpPr>
          <a:grpSpLocks/>
        </xdr:cNvGrpSpPr>
      </xdr:nvGrpSpPr>
      <xdr:grpSpPr>
        <a:xfrm>
          <a:off x="11365230" y="6829425"/>
          <a:ext cx="6705005" cy="5729645"/>
          <a:chOff x="11506200" y="2200275"/>
          <a:chExt cx="7009805" cy="5600105"/>
        </a:xfrm>
      </xdr:grpSpPr>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2"/>
          <a:stretch>
            <a:fillRect/>
          </a:stretch>
        </xdr:blipFill>
        <xdr:spPr>
          <a:xfrm>
            <a:off x="14687550" y="3971925"/>
            <a:ext cx="3828455" cy="3828455"/>
          </a:xfrm>
          <a:prstGeom prst="rect">
            <a:avLst/>
          </a:prstGeom>
        </xdr:spPr>
      </xdr:pic>
      <xdr:sp macro="" textlink="" fLocksText="0">
        <xdr:nvSpPr>
          <xdr:cNvPr id="27" name="Speech Bubble: Rectangle with Corners Rounded 26">
            <a:extLst>
              <a:ext uri="{FF2B5EF4-FFF2-40B4-BE49-F238E27FC236}">
                <a16:creationId xmlns:a16="http://schemas.microsoft.com/office/drawing/2014/main" id="{00000000-0008-0000-0400-00001B000000}"/>
              </a:ext>
            </a:extLst>
          </xdr:cNvPr>
          <xdr:cNvSpPr/>
        </xdr:nvSpPr>
        <xdr:spPr>
          <a:xfrm>
            <a:off x="11506200" y="2200275"/>
            <a:ext cx="3771900" cy="1571625"/>
          </a:xfrm>
          <a:prstGeom prst="wedgeRoundRectCallout">
            <a:avLst>
              <a:gd name="adj1" fmla="val 62248"/>
              <a:gd name="adj2" fmla="val 89167"/>
              <a:gd name="adj3" fmla="val 16667"/>
            </a:avLst>
          </a:prstGeom>
        </xdr:spPr>
        <xdr:style>
          <a:lnRef idx="1">
            <a:schemeClr val="accent4"/>
          </a:lnRef>
          <a:fillRef idx="2">
            <a:schemeClr val="accent4"/>
          </a:fillRef>
          <a:effectRef idx="1">
            <a:schemeClr val="accent4"/>
          </a:effectRef>
          <a:fontRef idx="minor">
            <a:schemeClr val="tx1"/>
          </a:fontRef>
        </xdr:style>
        <xdr:txBody>
          <a:bodyPr vertOverflow="clip" horzOverflow="clip" anchor="t"/>
          <a:lstStyle/>
          <a:p>
            <a:pPr algn="l"/>
            <a:r>
              <a:rPr lang="en-US" sz="1100"/>
              <a:t>Puede utilizar los bloques de resumen de este tablero para crear diapositivas de PowerPoint, desarrollar puntos de discusión para los Puntos focales, diseñar materiales de marketing (por ejemplo, marcadores, calendarios) y otros folletos para apoyar las mesas redondas de donantes de su país y otros esfuerzos de movilización de recursos. </a:t>
            </a:r>
          </a:p>
        </xdr:txBody>
      </xdr:sp>
    </xdr:grpSp>
    <xdr:clientData/>
  </xdr:twoCellAnchor>
  <mc:AlternateContent xmlns:mc="http://schemas.openxmlformats.org/markup-compatibility/2006">
    <mc:Choice xmlns:a14="http://schemas.microsoft.com/office/drawing/2010/main" Requires="a14">
      <xdr:twoCellAnchor editAs="oneCell">
        <xdr:from>
          <xdr:col>12</xdr:col>
          <xdr:colOff>1619250</xdr:colOff>
          <xdr:row>14</xdr:row>
          <xdr:rowOff>104775</xdr:rowOff>
        </xdr:from>
        <xdr:to>
          <xdr:col>12</xdr:col>
          <xdr:colOff>2724150</xdr:colOff>
          <xdr:row>21</xdr:row>
          <xdr:rowOff>135255</xdr:rowOff>
        </xdr:to>
        <xdr:pic>
          <xdr:nvPicPr>
            <xdr:cNvPr id="33" name="Picture 32">
              <a:extLst>
                <a:ext uri="{63B3BB69-23CF-44E3-9099-C40C66FF867C}">
                  <a14:compatExt spid="_x0000_s166479"/>
                </a:ext>
                <a:ext uri="{FF2B5EF4-FFF2-40B4-BE49-F238E27FC236}">
                  <a16:creationId xmlns:a16="http://schemas.microsoft.com/office/drawing/2014/main" id="{00000000-0008-0000-0400-000021000000}"/>
                </a:ext>
              </a:extLst>
            </xdr:cNvPr>
            <xdr:cNvPicPr>
              <a:picLocks noChangeAspect="1" noChangeArrowheads="1"/>
              <a:extLst>
                <a:ext uri="{84589F7E-364E-4C9E-8A38-B11213B215E9}">
                  <a14:cameraTool cellRange="right3" spid="_x0000_s166584"/>
                </a:ext>
              </a:extLst>
            </xdr:cNvPicPr>
          </xdr:nvPicPr>
          <xdr:blipFill>
            <a:blip xmlns:r="http://schemas.openxmlformats.org/officeDocument/2006/relationships" r:embed="rId13">
              <a:lum bright="-40000"/>
            </a:blip>
            <a:stretch>
              <a:fillRect/>
            </a:stretch>
          </xdr:blipFill>
          <xdr:spPr bwMode="auto">
            <a:xfrm>
              <a:off x="15201900" y="2286000"/>
              <a:ext cx="1104900" cy="1095375"/>
            </a:xfrm>
            <a:prstGeom prst="roundRect">
              <a:avLst>
                <a:gd name="adj" fmla="val 2184"/>
              </a:avLst>
            </a:prstGeom>
            <a:noFill/>
            <a:ln>
              <a:solidFill>
                <a:schemeClr val="tx1">
                  <a:lumMod val="50000"/>
                  <a:lumOff val="50000"/>
                </a:schemeClr>
              </a:solidFill>
            </a:ln>
            <a:effectLst>
              <a:reflection blurRad="38100" stA="30000" endPos="35000" dir="5400000" sy="-100000" algn="bl" rotWithShape="0"/>
            </a:effectLst>
            <a:scene3d>
              <a:camera prst="perspectiveContrastingRightFacing"/>
              <a:lightRig rig="threePt" dir="t"/>
            </a:scene3d>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495300</xdr:colOff>
          <xdr:row>14</xdr:row>
          <xdr:rowOff>85725</xdr:rowOff>
        </xdr:from>
        <xdr:to>
          <xdr:col>12</xdr:col>
          <xdr:colOff>2188518</xdr:colOff>
          <xdr:row>25</xdr:row>
          <xdr:rowOff>92939</xdr:rowOff>
        </xdr:to>
        <xdr:pic>
          <xdr:nvPicPr>
            <xdr:cNvPr id="32" name="Picture 31">
              <a:extLst>
                <a:ext uri="{63B3BB69-23CF-44E3-9099-C40C66FF867C}">
                  <a14:compatExt spid="_x0000_s166480"/>
                </a:ext>
                <a:ext uri="{FF2B5EF4-FFF2-40B4-BE49-F238E27FC236}">
                  <a16:creationId xmlns:a16="http://schemas.microsoft.com/office/drawing/2014/main" id="{00000000-0008-0000-0400-000020000000}"/>
                </a:ext>
              </a:extLst>
            </xdr:cNvPr>
            <xdr:cNvPicPr>
              <a:picLocks noChangeAspect="1" noChangeArrowheads="1"/>
              <a:extLst>
                <a:ext uri="{84589F7E-364E-4C9E-8A38-B11213B215E9}">
                  <a14:cameraTool cellRange="right2" spid="_x0000_s166585"/>
                </a:ext>
              </a:extLst>
            </xdr:cNvPicPr>
          </xdr:nvPicPr>
          <xdr:blipFill>
            <a:blip xmlns:r="http://schemas.openxmlformats.org/officeDocument/2006/relationships" r:embed="rId14">
              <a:lum bright="-20000"/>
            </a:blip>
            <a:stretch>
              <a:fillRect/>
            </a:stretch>
          </xdr:blipFill>
          <xdr:spPr bwMode="auto">
            <a:xfrm>
              <a:off x="14077950" y="2266950"/>
              <a:ext cx="1695450" cy="1685925"/>
            </a:xfrm>
            <a:prstGeom prst="roundRect">
              <a:avLst>
                <a:gd name="adj" fmla="val 2184"/>
              </a:avLst>
            </a:prstGeom>
            <a:noFill/>
            <a:ln>
              <a:solidFill>
                <a:schemeClr val="tx1">
                  <a:lumMod val="50000"/>
                  <a:lumOff val="50000"/>
                </a:schemeClr>
              </a:solidFill>
            </a:ln>
            <a:effectLst>
              <a:reflection blurRad="38100" stA="30000" endPos="35000" dir="5400000" sy="-100000" algn="bl" rotWithShape="0"/>
            </a:effectLst>
            <a:scene3d>
              <a:camera prst="perspectiveContrastingRightFacing"/>
              <a:lightRig rig="threePt" dir="t"/>
            </a:scene3d>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13</xdr:row>
          <xdr:rowOff>142874</xdr:rowOff>
        </xdr:from>
        <xdr:to>
          <xdr:col>12</xdr:col>
          <xdr:colOff>1085476</xdr:colOff>
          <xdr:row>28</xdr:row>
          <xdr:rowOff>39722</xdr:rowOff>
        </xdr:to>
        <xdr:pic>
          <xdr:nvPicPr>
            <xdr:cNvPr id="31" name="Picture 30">
              <a:extLst>
                <a:ext uri="{63B3BB69-23CF-44E3-9099-C40C66FF867C}">
                  <a14:compatExt spid="_x0000_s166481"/>
                </a:ext>
                <a:ext uri="{FF2B5EF4-FFF2-40B4-BE49-F238E27FC236}">
                  <a16:creationId xmlns:a16="http://schemas.microsoft.com/office/drawing/2014/main" id="{00000000-0008-0000-0400-00001F000000}"/>
                </a:ext>
              </a:extLst>
            </xdr:cNvPr>
            <xdr:cNvPicPr>
              <a:picLocks noChangeAspect="1" noChangeArrowheads="1"/>
              <a:extLst>
                <a:ext uri="{84589F7E-364E-4C9E-8A38-B11213B215E9}">
                  <a14:cameraTool cellRange="right1" spid="_x0000_s166586"/>
                </a:ext>
              </a:extLst>
            </xdr:cNvPicPr>
          </xdr:nvPicPr>
          <xdr:blipFill>
            <a:blip xmlns:r="http://schemas.openxmlformats.org/officeDocument/2006/relationships" r:embed="rId15">
              <a:lum bright="-20000"/>
            </a:blip>
            <a:stretch>
              <a:fillRect/>
            </a:stretch>
          </xdr:blipFill>
          <xdr:spPr bwMode="auto">
            <a:xfrm>
              <a:off x="12468225" y="2171700"/>
              <a:ext cx="2200275" cy="2181225"/>
            </a:xfrm>
            <a:prstGeom prst="roundRect">
              <a:avLst>
                <a:gd name="adj" fmla="val 2184"/>
              </a:avLst>
            </a:prstGeom>
            <a:noFill/>
            <a:ln>
              <a:solidFill>
                <a:schemeClr val="tx1">
                  <a:lumMod val="50000"/>
                  <a:lumOff val="50000"/>
                </a:schemeClr>
              </a:solidFill>
            </a:ln>
            <a:effectLst>
              <a:reflection blurRad="38100" stA="30000" endPos="35000" dir="5400000" sy="-100000" algn="bl" rotWithShape="0"/>
            </a:effectLst>
            <a:scene3d>
              <a:camera prst="perspectiveHeroicExtremeRightFacing"/>
              <a:lightRig rig="threePt" dir="t"/>
            </a:scene3d>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1276350</xdr:colOff>
          <xdr:row>14</xdr:row>
          <xdr:rowOff>34149</xdr:rowOff>
        </xdr:from>
        <xdr:to>
          <xdr:col>5</xdr:col>
          <xdr:colOff>2381250</xdr:colOff>
          <xdr:row>21</xdr:row>
          <xdr:rowOff>60819</xdr:rowOff>
        </xdr:to>
        <xdr:pic>
          <xdr:nvPicPr>
            <xdr:cNvPr id="34" name="Picture 33">
              <a:extLst>
                <a:ext uri="{63B3BB69-23CF-44E3-9099-C40C66FF867C}">
                  <a14:compatExt spid="_x0000_s166482"/>
                </a:ext>
                <a:ext uri="{FF2B5EF4-FFF2-40B4-BE49-F238E27FC236}">
                  <a16:creationId xmlns:a16="http://schemas.microsoft.com/office/drawing/2014/main" id="{00000000-0008-0000-0400-000022000000}"/>
                </a:ext>
              </a:extLst>
            </xdr:cNvPr>
            <xdr:cNvPicPr>
              <a:picLocks noChangeAspect="1" noChangeArrowheads="1"/>
              <a:extLst>
                <a:ext uri="{84589F7E-364E-4C9E-8A38-B11213B215E9}">
                  <a14:cameraTool cellRange="left3" spid="_x0000_s166587"/>
                </a:ext>
              </a:extLst>
            </xdr:cNvPicPr>
          </xdr:nvPicPr>
          <xdr:blipFill>
            <a:blip xmlns:r="http://schemas.openxmlformats.org/officeDocument/2006/relationships" r:embed="rId16">
              <a:lum bright="-40000"/>
            </a:blip>
            <a:stretch>
              <a:fillRect/>
            </a:stretch>
          </xdr:blipFill>
          <xdr:spPr bwMode="auto">
            <a:xfrm>
              <a:off x="2514600" y="2219325"/>
              <a:ext cx="1104900" cy="1095375"/>
            </a:xfrm>
            <a:prstGeom prst="roundRect">
              <a:avLst>
                <a:gd name="adj" fmla="val 2184"/>
              </a:avLst>
            </a:prstGeom>
            <a:noFill/>
            <a:ln>
              <a:solidFill>
                <a:schemeClr val="tx1">
                  <a:lumMod val="50000"/>
                  <a:lumOff val="50000"/>
                </a:schemeClr>
              </a:solidFill>
            </a:ln>
            <a:effectLst>
              <a:reflection blurRad="38100" stA="30000" endPos="35000" dir="5400000" sy="-100000" algn="bl" rotWithShape="0"/>
            </a:effectLst>
            <a:scene3d>
              <a:camera prst="perspectiveHeroicExtremeLeftFacing"/>
              <a:lightRig rig="threePt" dir="t"/>
            </a:scene3d>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1645131</xdr:colOff>
          <xdr:row>13</xdr:row>
          <xdr:rowOff>41972</xdr:rowOff>
        </xdr:from>
        <xdr:to>
          <xdr:col>5</xdr:col>
          <xdr:colOff>3334539</xdr:colOff>
          <xdr:row>24</xdr:row>
          <xdr:rowOff>58711</xdr:rowOff>
        </xdr:to>
        <xdr:pic>
          <xdr:nvPicPr>
            <xdr:cNvPr id="35" name="Picture 34">
              <a:extLst>
                <a:ext uri="{63B3BB69-23CF-44E3-9099-C40C66FF867C}">
                  <a14:compatExt spid="_x0000_s166483"/>
                </a:ext>
                <a:ext uri="{FF2B5EF4-FFF2-40B4-BE49-F238E27FC236}">
                  <a16:creationId xmlns:a16="http://schemas.microsoft.com/office/drawing/2014/main" id="{00000000-0008-0000-0400-000023000000}"/>
                </a:ext>
              </a:extLst>
            </xdr:cNvPr>
            <xdr:cNvPicPr>
              <a:picLocks noChangeAspect="1" noChangeArrowheads="1"/>
              <a:extLst>
                <a:ext uri="{84589F7E-364E-4C9E-8A38-B11213B215E9}">
                  <a14:cameraTool cellRange="left2" spid="_x0000_s166588"/>
                </a:ext>
              </a:extLst>
            </xdr:cNvPicPr>
          </xdr:nvPicPr>
          <xdr:blipFill>
            <a:blip xmlns:r="http://schemas.openxmlformats.org/officeDocument/2006/relationships" r:embed="rId17">
              <a:lum bright="-20000"/>
            </a:blip>
            <a:stretch>
              <a:fillRect/>
            </a:stretch>
          </xdr:blipFill>
          <xdr:spPr bwMode="auto">
            <a:xfrm>
              <a:off x="2886075" y="2066925"/>
              <a:ext cx="1685925" cy="1695450"/>
            </a:xfrm>
            <a:prstGeom prst="roundRect">
              <a:avLst>
                <a:gd name="adj" fmla="val 2184"/>
              </a:avLst>
            </a:prstGeom>
            <a:noFill/>
            <a:ln>
              <a:solidFill>
                <a:schemeClr val="tx1">
                  <a:lumMod val="50000"/>
                  <a:lumOff val="50000"/>
                </a:schemeClr>
              </a:solidFill>
            </a:ln>
            <a:effectLst>
              <a:reflection blurRad="38100" stA="30000" endPos="35000" dir="5400000" sy="-100000" algn="bl" rotWithShape="0"/>
            </a:effectLst>
            <a:scene3d>
              <a:camera prst="perspectiveHeroicExtremeLeftFacing"/>
              <a:lightRig rig="threePt" dir="t"/>
            </a:scene3d>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2402392</xdr:colOff>
          <xdr:row>12</xdr:row>
          <xdr:rowOff>114300</xdr:rowOff>
        </xdr:from>
        <xdr:to>
          <xdr:col>6</xdr:col>
          <xdr:colOff>474158</xdr:colOff>
          <xdr:row>27</xdr:row>
          <xdr:rowOff>20673</xdr:rowOff>
        </xdr:to>
        <xdr:pic>
          <xdr:nvPicPr>
            <xdr:cNvPr id="36" name="Picture 35">
              <a:extLst>
                <a:ext uri="{63B3BB69-23CF-44E3-9099-C40C66FF867C}">
                  <a14:compatExt spid="_x0000_s166484"/>
                </a:ext>
                <a:ext uri="{FF2B5EF4-FFF2-40B4-BE49-F238E27FC236}">
                  <a16:creationId xmlns:a16="http://schemas.microsoft.com/office/drawing/2014/main" id="{00000000-0008-0000-0400-000024000000}"/>
                </a:ext>
              </a:extLst>
            </xdr:cNvPr>
            <xdr:cNvPicPr>
              <a:picLocks noChangeAspect="1" noChangeArrowheads="1"/>
              <a:extLst>
                <a:ext uri="{84589F7E-364E-4C9E-8A38-B11213B215E9}">
                  <a14:cameraTool cellRange="left1" spid="_x0000_s166589"/>
                </a:ext>
              </a:extLst>
            </xdr:cNvPicPr>
          </xdr:nvPicPr>
          <xdr:blipFill>
            <a:blip xmlns:r="http://schemas.openxmlformats.org/officeDocument/2006/relationships" r:embed="rId18">
              <a:lum bright="-20000"/>
            </a:blip>
            <a:stretch>
              <a:fillRect/>
            </a:stretch>
          </xdr:blipFill>
          <xdr:spPr bwMode="auto">
            <a:xfrm>
              <a:off x="3638550" y="1990725"/>
              <a:ext cx="2190750" cy="2190750"/>
            </a:xfrm>
            <a:prstGeom prst="roundRect">
              <a:avLst>
                <a:gd name="adj" fmla="val 2184"/>
              </a:avLst>
            </a:prstGeom>
            <a:noFill/>
            <a:ln>
              <a:solidFill>
                <a:schemeClr val="tx1">
                  <a:lumMod val="50000"/>
                  <a:lumOff val="50000"/>
                </a:schemeClr>
              </a:solidFill>
            </a:ln>
            <a:effectLst>
              <a:reflection blurRad="38100" stA="30000" endPos="35000" dir="5400000" sy="-100000" algn="bl" rotWithShape="0"/>
            </a:effectLst>
            <a:scene3d>
              <a:camera prst="perspectiveHeroicExtremeLeftFacing"/>
              <a:lightRig rig="threePt" dir="t"/>
            </a:scene3d>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552450</xdr:colOff>
          <xdr:row>7</xdr:row>
          <xdr:rowOff>142874</xdr:rowOff>
        </xdr:from>
        <xdr:to>
          <xdr:col>10</xdr:col>
          <xdr:colOff>744855</xdr:colOff>
          <xdr:row>30</xdr:row>
          <xdr:rowOff>60959</xdr:rowOff>
        </xdr:to>
        <xdr:pic>
          <xdr:nvPicPr>
            <xdr:cNvPr id="30" name="Picture 29">
              <a:extLst>
                <a:ext uri="{63B3BB69-23CF-44E3-9099-C40C66FF867C}">
                  <a14:compatExt spid="_x0000_s166485"/>
                </a:ext>
                <a:ext uri="{FF2B5EF4-FFF2-40B4-BE49-F238E27FC236}">
                  <a16:creationId xmlns:a16="http://schemas.microsoft.com/office/drawing/2014/main" id="{00000000-0008-0000-0400-00001E000000}"/>
                </a:ext>
              </a:extLst>
            </xdr:cNvPr>
            <xdr:cNvPicPr>
              <a:picLocks noChangeAspect="1" noChangeArrowheads="1"/>
              <a:extLst>
                <a:ext uri="{84589F7E-364E-4C9E-8A38-B11213B215E9}">
                  <a14:cameraTool cellRange="mid.chart" spid="_x0000_s166590"/>
                </a:ext>
              </a:extLst>
            </xdr:cNvPicPr>
          </xdr:nvPicPr>
          <xdr:blipFill>
            <a:blip xmlns:r="http://schemas.openxmlformats.org/officeDocument/2006/relationships" r:embed="rId19"/>
            <a:stretch>
              <a:fillRect/>
            </a:stretch>
          </xdr:blipFill>
          <xdr:spPr bwMode="auto">
            <a:xfrm>
              <a:off x="5905500" y="1257300"/>
              <a:ext cx="5676900" cy="3419475"/>
            </a:xfrm>
            <a:prstGeom prst="roundRect">
              <a:avLst>
                <a:gd name="adj" fmla="val 2184"/>
              </a:avLst>
            </a:prstGeom>
            <a:noFill/>
            <a:ln w="19050">
              <a:solidFill>
                <a:schemeClr val="tx1">
                  <a:lumMod val="50000"/>
                  <a:lumOff val="50000"/>
                </a:schemeClr>
              </a:solidFill>
            </a:ln>
            <a:effectLst>
              <a:outerShdw blurRad="635000" sx="101000" sy="101000" algn="ctr" rotWithShape="0">
                <a:schemeClr val="tx1">
                  <a:lumMod val="75000"/>
                  <a:lumOff val="25000"/>
                  <a:alpha val="86000"/>
                </a:schemeClr>
              </a:outerShdw>
              <a:reflection blurRad="25400" stA="39000" endPos="33000" dir="5400000" sy="-100000" algn="bl" rotWithShape="0"/>
            </a:effectLst>
            <a:extLst>
              <a:ext uri="{909E8E84-426E-40DD-AFC4-6F175D3DCCD1}">
                <a14:hiddenFill>
                  <a:solidFill>
                    <a:srgbClr val="FFFFFF"/>
                  </a:solidFill>
                </a14:hiddenFill>
              </a:ext>
            </a:extLst>
          </xdr:spPr>
        </xdr:pic>
        <xdr:clientData/>
      </xdr:twoCellAnchor>
    </mc:Choice>
    <mc:Fallback/>
  </mc:AlternateContent>
  <xdr:oneCellAnchor>
    <xdr:from>
      <xdr:col>5</xdr:col>
      <xdr:colOff>2333625</xdr:colOff>
      <xdr:row>4</xdr:row>
      <xdr:rowOff>28575</xdr:rowOff>
    </xdr:from>
    <xdr:ext cx="10601325" cy="571500"/>
    <xdr:sp macro="" textlink="Data!M19">
      <xdr:nvSpPr>
        <xdr:cNvPr id="37" name="TextBox 36">
          <a:extLst>
            <a:ext uri="{FF2B5EF4-FFF2-40B4-BE49-F238E27FC236}">
              <a16:creationId xmlns:a16="http://schemas.microsoft.com/office/drawing/2014/main" id="{00000000-0008-0000-0400-000025000000}"/>
            </a:ext>
          </a:extLst>
        </xdr:cNvPr>
        <xdr:cNvSpPr txBox="1"/>
      </xdr:nvSpPr>
      <xdr:spPr>
        <a:xfrm>
          <a:off x="3571875" y="685800"/>
          <a:ext cx="10601325" cy="5715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anchor="ctr">
          <a:spAutoFit/>
        </a:bodyPr>
        <a:lstStyle/>
        <a:p>
          <a:pPr algn="ctr"/>
          <a:fld id="{00DF392F-AF46-4352-8EB4-7A3C6E9EF097}" type="TxLink">
            <a:rPr lang="en-US" sz="2800" b="0" i="0" u="none">
              <a:solidFill>
                <a:srgbClr val="404040"/>
              </a:solidFill>
              <a:effectLst>
                <a:outerShdw blurRad="228600" sx="101000" sy="101000" algn="ctr" rotWithShape="0">
                  <a:schemeClr val="bg1">
                    <a:alpha val="40000"/>
                  </a:schemeClr>
                </a:outerShdw>
              </a:effectLst>
              <a:latin typeface="Segoe UI Semilight" panose="020B0402040204020203" pitchFamily="34" charset="0"/>
              <a:cs typeface="Segoe UI Semilight" panose="020B0402040204020203" pitchFamily="34" charset="0"/>
            </a:rPr>
            <a:pPr algn="ctr"/>
            <a:t>Total Government Contribution was reduced by 0% compared to 2019</a:t>
          </a:fld>
          <a:endParaRPr lang="en-US" sz="2800">
            <a:solidFill>
              <a:schemeClr val="tx1">
                <a:lumMod val="85000"/>
                <a:lumOff val="15000"/>
              </a:schemeClr>
            </a:solidFill>
            <a:effectLst>
              <a:outerShdw blurRad="228600" sx="101000" sy="101000" algn="ctr" rotWithShape="0">
                <a:schemeClr val="bg1">
                  <a:alpha val="40000"/>
                </a:schemeClr>
              </a:outerShdw>
            </a:effectLst>
            <a:latin typeface="Segoe UI Semilight" panose="020B0402040204020203" pitchFamily="34" charset="0"/>
            <a:cs typeface="Segoe UI Semilight" panose="020B0402040204020203" pitchFamily="34" charset="0"/>
          </a:endParaRPr>
        </a:p>
      </xdr:txBody>
    </xdr:sp>
    <xdr:clientData/>
  </xdr:oneCellAnchor>
  <mc:AlternateContent xmlns:mc="http://schemas.openxmlformats.org/markup-compatibility/2006">
    <mc:Choice xmlns:a14="http://schemas.microsoft.com/office/drawing/2010/main" Requires="a14">
      <xdr:twoCellAnchor editAs="oneCell">
        <xdr:from>
          <xdr:col>5</xdr:col>
          <xdr:colOff>3528060</xdr:colOff>
          <xdr:row>36</xdr:row>
          <xdr:rowOff>144780</xdr:rowOff>
        </xdr:from>
        <xdr:to>
          <xdr:col>11</xdr:col>
          <xdr:colOff>556260</xdr:colOff>
          <xdr:row>38</xdr:row>
          <xdr:rowOff>121920</xdr:rowOff>
        </xdr:to>
        <xdr:sp macro="" textlink="">
          <xdr:nvSpPr>
            <xdr:cNvPr id="5121" name="Scroll Bar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xdr:col>
      <xdr:colOff>219075</xdr:colOff>
      <xdr:row>345</xdr:row>
      <xdr:rowOff>66675</xdr:rowOff>
    </xdr:from>
    <xdr:to>
      <xdr:col>6</xdr:col>
      <xdr:colOff>1102042</xdr:colOff>
      <xdr:row>364</xdr:row>
      <xdr:rowOff>75249</xdr:rowOff>
    </xdr:to>
    <xdr:graphicFrame macro="">
      <xdr:nvGraphicFramePr>
        <xdr:cNvPr id="29" name="Chart 28">
          <a:extLst>
            <a:ext uri="{FF2B5EF4-FFF2-40B4-BE49-F238E27FC236}">
              <a16:creationId xmlns:a16="http://schemas.microsoft.com/office/drawing/2014/main" id="{00000000-0008-0000-04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586316</xdr:colOff>
      <xdr:row>1</xdr:row>
      <xdr:rowOff>38099</xdr:rowOff>
    </xdr:from>
    <xdr:to>
      <xdr:col>1</xdr:col>
      <xdr:colOff>5450416</xdr:colOff>
      <xdr:row>1</xdr:row>
      <xdr:rowOff>3450166</xdr:rowOff>
    </xdr:to>
    <xdr:graphicFrame macro="">
      <xdr:nvGraphicFramePr>
        <xdr:cNvPr id="9" name="Chart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10583</xdr:colOff>
      <xdr:row>2</xdr:row>
      <xdr:rowOff>21167</xdr:rowOff>
    </xdr:from>
    <xdr:to>
      <xdr:col>1</xdr:col>
      <xdr:colOff>5488516</xdr:colOff>
      <xdr:row>3</xdr:row>
      <xdr:rowOff>35984</xdr:rowOff>
    </xdr:to>
    <xdr:graphicFrame macro="">
      <xdr:nvGraphicFramePr>
        <xdr:cNvPr id="22" name="Chart 21">
          <a:extLst>
            <a:ext uri="{FF2B5EF4-FFF2-40B4-BE49-F238E27FC236}">
              <a16:creationId xmlns:a16="http://schemas.microsoft.com/office/drawing/2014/main" id="{00000000-0008-0000-06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xdr:row>
      <xdr:rowOff>0</xdr:rowOff>
    </xdr:from>
    <xdr:to>
      <xdr:col>1</xdr:col>
      <xdr:colOff>5477933</xdr:colOff>
      <xdr:row>4</xdr:row>
      <xdr:rowOff>14817</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4</xdr:row>
      <xdr:rowOff>0</xdr:rowOff>
    </xdr:from>
    <xdr:to>
      <xdr:col>1</xdr:col>
      <xdr:colOff>5477933</xdr:colOff>
      <xdr:row>5</xdr:row>
      <xdr:rowOff>14817</xdr:rowOff>
    </xdr:to>
    <xdr:graphicFrame macro="">
      <xdr:nvGraphicFramePr>
        <xdr:cNvPr id="24" name="Chart 23">
          <a:extLst>
            <a:ext uri="{FF2B5EF4-FFF2-40B4-BE49-F238E27FC236}">
              <a16:creationId xmlns:a16="http://schemas.microsoft.com/office/drawing/2014/main" id="{00000000-0008-0000-06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xdr:row>
      <xdr:rowOff>0</xdr:rowOff>
    </xdr:from>
    <xdr:to>
      <xdr:col>1</xdr:col>
      <xdr:colOff>5477933</xdr:colOff>
      <xdr:row>6</xdr:row>
      <xdr:rowOff>14817</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xdr:row>
      <xdr:rowOff>19051</xdr:rowOff>
    </xdr:from>
    <xdr:to>
      <xdr:col>2</xdr:col>
      <xdr:colOff>38100</xdr:colOff>
      <xdr:row>7</xdr:row>
      <xdr:rowOff>66677</xdr:rowOff>
    </xdr:to>
    <xdr:graphicFrame macro="">
      <xdr:nvGraphicFramePr>
        <xdr:cNvPr id="14" name="Chart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28575</xdr:colOff>
      <xdr:row>2</xdr:row>
      <xdr:rowOff>76200</xdr:rowOff>
    </xdr:from>
    <xdr:to>
      <xdr:col>7</xdr:col>
      <xdr:colOff>403592</xdr:colOff>
      <xdr:row>7</xdr:row>
      <xdr:rowOff>38010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590675" y="381000"/>
          <a:ext cx="2143125" cy="723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8</xdr:row>
          <xdr:rowOff>0</xdr:rowOff>
        </xdr:from>
        <xdr:to>
          <xdr:col>9</xdr:col>
          <xdr:colOff>0</xdr:colOff>
          <xdr:row>9</xdr:row>
          <xdr:rowOff>0</xdr:rowOff>
        </xdr:to>
        <xdr:sp macro="" textlink="">
          <xdr:nvSpPr>
            <xdr:cNvPr id="2049" name="bpmDropDownTs1" hidden="1">
              <a:extLst>
                <a:ext uri="{63B3BB69-23CF-44E3-9099-C40C66FF867C}">
                  <a14:compatExt spid="_x0000_s2049"/>
                </a:ext>
                <a:ext uri="{FF2B5EF4-FFF2-40B4-BE49-F238E27FC236}">
                  <a16:creationId xmlns:a16="http://schemas.microsoft.com/office/drawing/2014/main" id="{00000000-0008-0000-0800-00000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13</xdr:row>
          <xdr:rowOff>0</xdr:rowOff>
        </xdr:from>
        <xdr:to>
          <xdr:col>9</xdr:col>
          <xdr:colOff>0</xdr:colOff>
          <xdr:row>13</xdr:row>
          <xdr:rowOff>0</xdr:rowOff>
        </xdr:to>
        <xdr:sp macro="" textlink="">
          <xdr:nvSpPr>
            <xdr:cNvPr id="2050" name="bpmDropDownTs2" hidden="1">
              <a:extLst>
                <a:ext uri="{63B3BB69-23CF-44E3-9099-C40C66FF867C}">
                  <a14:compatExt spid="_x0000_s2050"/>
                </a:ext>
                <a:ext uri="{FF2B5EF4-FFF2-40B4-BE49-F238E27FC236}">
                  <a16:creationId xmlns:a16="http://schemas.microsoft.com/office/drawing/2014/main" id="{00000000-0008-0000-0800-000002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8</xdr:col>
      <xdr:colOff>990599</xdr:colOff>
      <xdr:row>35</xdr:row>
      <xdr:rowOff>38100</xdr:rowOff>
    </xdr:from>
    <xdr:to>
      <xdr:col>15</xdr:col>
      <xdr:colOff>409574</xdr:colOff>
      <xdr:row>53</xdr:row>
      <xdr:rowOff>104775</xdr:rowOff>
    </xdr:to>
    <xdr:sp macro="" textlink="" fLocksText="0">
      <xdr:nvSpPr>
        <xdr:cNvPr id="2" name="Speech Bubble: Rectangle with Corners Rounded 1">
          <a:extLst>
            <a:ext uri="{FF2B5EF4-FFF2-40B4-BE49-F238E27FC236}">
              <a16:creationId xmlns:a16="http://schemas.microsoft.com/office/drawing/2014/main" id="{00000000-0008-0000-0900-000002000000}"/>
            </a:ext>
          </a:extLst>
        </xdr:cNvPr>
        <xdr:cNvSpPr/>
      </xdr:nvSpPr>
      <xdr:spPr>
        <a:xfrm>
          <a:off x="15487650" y="5419725"/>
          <a:ext cx="5800725" cy="3238500"/>
        </a:xfrm>
        <a:prstGeom prst="wedgeRoundRectCallout">
          <a:avLst>
            <a:gd name="adj1" fmla="val -49485"/>
            <a:gd name="adj2" fmla="val 74175"/>
            <a:gd name="adj3" fmla="val 16667"/>
          </a:avLst>
        </a:prstGeom>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r>
            <a:rPr lang="en-US" sz="1100"/>
            <a:t>Instrucciones:</a:t>
          </a:r>
        </a:p>
        <a:p>
          <a:pPr>
            <a:defRPr lang="en-US" sz="1100"/>
          </a:pPr>
          <a:endParaRPr/>
        </a:p>
        <a:p>
          <a:pPr>
            <a:defRPr lang="en-US" sz="1100"/>
          </a:pPr>
          <a:r>
            <a:rPr lang="en-US" sz="1100"/>
            <a:t>Aporte hasta diez objetivos estratégicos del plan nacional de nutrición.</a:t>
          </a:r>
        </a:p>
        <a:p>
          <a:pPr>
            <a:defRPr lang="en-US" sz="1100"/>
          </a:pPr>
          <a:endParaRPr/>
        </a:p>
        <a:p>
          <a:pPr>
            <a:defRPr lang="en-US" sz="1100"/>
          </a:pPr>
          <a:r>
            <a:rPr lang="en-US" sz="1100"/>
            <a:t>A la derecha de cada objetivo estratégico, introduzca hasta cinco resultados/indicadores.</a:t>
          </a:r>
        </a:p>
        <a:p>
          <a:pPr>
            <a:defRPr lang="en-US" sz="1100"/>
          </a:pPr>
          <a:endParaRPr/>
        </a:p>
        <a:p>
          <a:pPr>
            <a:defRPr lang="en-US" sz="1100"/>
          </a:pPr>
          <a:r>
            <a:rPr lang="en-US" sz="1100"/>
            <a:t>Estos se copiarán automáticamente en toda la herramienta y se utilizarán como partidas para el análisis financiero.</a:t>
          </a:r>
        </a:p>
        <a:p>
          <a:pPr>
            <a:defRPr lang="en-US" sz="1100"/>
          </a:pPr>
          <a:endParaRPr/>
        </a:p>
        <a:p>
          <a:pPr>
            <a:defRPr lang="en-US" sz="1100"/>
          </a:pPr>
          <a:r>
            <a:rPr lang="en-US" sz="1100"/>
            <a:t>Clasifique cada resultado/indicador como específico de la nutrición, sensible a la nutrición o tipo de </a:t>
          </a:r>
          <a:r>
            <a:rPr lang="en-US" sz="1100">
              <a:solidFill>
                <a:srgbClr val="FF0000"/>
              </a:solidFill>
            </a:rPr>
            <a:t>gobernanza</a:t>
          </a:r>
          <a:r>
            <a:rPr lang="en-US" sz="1100"/>
            <a:t>. Tenga en cuenta que, en caso de que un resultado/indicador tenga varios tipos, debe separarse en varios resultados/indicadores con diferentes tipos. Estos resultados deben ser clasificados por el equipo que desarrolló el MSNAP pero, si no lo es, el equipo de análisis de la </a:t>
          </a:r>
          <a:r>
            <a:rPr lang="en-US" sz="1100">
              <a:solidFill>
                <a:srgbClr val="FF0000"/>
              </a:solidFill>
            </a:rPr>
            <a:t>brecha</a:t>
          </a:r>
          <a:r>
            <a:rPr lang="en-US" sz="1100"/>
            <a:t> financiera debe clasificar cada resultado según el MSNAP.</a:t>
          </a:r>
        </a:p>
      </xdr:txBody>
    </xdr:sp>
    <xdr:clientData/>
  </xdr:twoCellAnchor>
  <xdr:twoCellAnchor>
    <xdr:from>
      <xdr:col>8</xdr:col>
      <xdr:colOff>981075</xdr:colOff>
      <xdr:row>105</xdr:row>
      <xdr:rowOff>123826</xdr:rowOff>
    </xdr:from>
    <xdr:to>
      <xdr:col>12</xdr:col>
      <xdr:colOff>333375</xdr:colOff>
      <xdr:row>117</xdr:row>
      <xdr:rowOff>21168</xdr:rowOff>
    </xdr:to>
    <xdr:sp macro="" textlink="" fLocksText="0">
      <xdr:nvSpPr>
        <xdr:cNvPr id="10" name="Speech Bubble: Rectangle with Corners Rounded 9">
          <a:extLst>
            <a:ext uri="{FF2B5EF4-FFF2-40B4-BE49-F238E27FC236}">
              <a16:creationId xmlns:a16="http://schemas.microsoft.com/office/drawing/2014/main" id="{00000000-0008-0000-0900-00000A000000}"/>
            </a:ext>
          </a:extLst>
        </xdr:cNvPr>
        <xdr:cNvSpPr/>
      </xdr:nvSpPr>
      <xdr:spPr>
        <a:xfrm>
          <a:off x="15478125" y="16735425"/>
          <a:ext cx="3390900" cy="1724025"/>
        </a:xfrm>
        <a:prstGeom prst="wedgeRoundRectCallout">
          <a:avLst>
            <a:gd name="adj1" fmla="val -88811"/>
            <a:gd name="adj2" fmla="val -5197"/>
            <a:gd name="adj3" fmla="val 16667"/>
          </a:avLst>
        </a:prstGeom>
        <a:solidFill>
          <a:srgbClr val="4472C4"/>
        </a:solidFill>
        <a:ln w="12700" cap="flat" cmpd="sng" algn="ctr">
          <a:solidFill>
            <a:srgbClr val="4472C4">
              <a:shade val="50000"/>
            </a:srgbClr>
          </a:solidFill>
          <a:prstDash val="solid"/>
          <a:miter lim="800000"/>
        </a:ln>
        <a:effectLst/>
      </xdr:spPr>
      <xdr:txBody>
        <a:bodyPr vertOverflow="clip" horzOverflow="clip" anchor="t"/>
        <a:lstStyle/>
        <a:p>
          <a:pPr marL="0" marR="0" lvl="0" indent="0" algn="l" defTabSz="914400" eaLnBrk="1" fontAlgn="auto" latinLnBrk="0" hangingPunct="1">
            <a:lnSpc>
              <a:spcPct val="100000"/>
            </a:lnSpc>
            <a:spcBef>
              <a:spcPts val="0"/>
            </a:spcBef>
            <a:spcAft>
              <a:spcPts val="0"/>
            </a:spcAft>
            <a:buClrTx/>
            <a:buSzTx/>
            <a:buFontTx/>
            <a:buNone/>
          </a:pPr>
          <a:r>
            <a:rPr lang="en-US" sz="1100" b="0" i="0" u="none" kern="0" spc="0" baseline="0">
              <a:ln>
                <a:noFill/>
              </a:ln>
              <a:solidFill>
                <a:srgbClr val="FFFFFF"/>
              </a:solidFill>
              <a:latin typeface="Arial" panose="020F0502020204030204"/>
              <a:cs typeface="Arial"/>
            </a:rPr>
            <a:t>Instrucciones:</a:t>
          </a:r>
        </a:p>
        <a:p>
          <a:pPr>
            <a:defRPr lang="en-US" sz="1100" b="0" i="0" u="none" kern="0" spc="0" baseline="0">
              <a:ln>
                <a:noFill/>
              </a:ln>
              <a:solidFill>
                <a:srgbClr val="FFFFFF"/>
              </a:solidFill>
              <a:latin typeface="Arial" panose="020F0502020204030204"/>
              <a:cs typeface="Arial"/>
            </a:defRPr>
          </a:pPr>
          <a:endParaRPr/>
        </a:p>
        <a:p>
          <a:pPr>
            <a:defRPr lang="en-US" sz="1100" b="0" i="0" u="none" kern="0" spc="0" baseline="0">
              <a:ln>
                <a:noFill/>
              </a:ln>
              <a:solidFill>
                <a:srgbClr val="FFFFFF"/>
              </a:solidFill>
              <a:latin typeface="Arial" panose="020F0502020204030204"/>
              <a:cs typeface="Arial"/>
            </a:defRPr>
          </a:pPr>
          <a:r>
            <a:rPr lang="en-US" sz="1100" b="0" i="0" u="none" kern="0" spc="0" baseline="0">
              <a:ln>
                <a:noFill/>
              </a:ln>
              <a:solidFill>
                <a:srgbClr val="FFFFFF"/>
              </a:solidFill>
              <a:latin typeface="Arial" panose="020F0502020204030204"/>
              <a:cs typeface="Arial"/>
            </a:rPr>
            <a:t>Introduzca hasta diez socios que apoyen el plan nacional de nutrición.</a:t>
          </a:r>
        </a:p>
        <a:p>
          <a:pPr>
            <a:defRPr lang="en-US" sz="1100" b="0" i="0" u="none" kern="0" spc="0" baseline="0">
              <a:ln>
                <a:noFill/>
              </a:ln>
              <a:solidFill>
                <a:srgbClr val="FFFFFF"/>
              </a:solidFill>
              <a:latin typeface="Arial" panose="020F0502020204030204"/>
              <a:cs typeface="Arial"/>
            </a:defRPr>
          </a:pPr>
          <a:endParaRPr/>
        </a:p>
        <a:p>
          <a:pPr>
            <a:defRPr lang="en-US" sz="1100" b="0" i="0" u="none" kern="0" spc="0" baseline="0">
              <a:ln>
                <a:noFill/>
              </a:ln>
              <a:solidFill>
                <a:srgbClr val="FFFFFF"/>
              </a:solidFill>
              <a:latin typeface="Arial" panose="020F0502020204030204"/>
              <a:cs typeface="Arial"/>
            </a:defRPr>
          </a:pPr>
          <a:r>
            <a:rPr lang="en-US" sz="1100" b="0" i="0" u="none" kern="0" spc="0" baseline="0">
              <a:ln>
                <a:noFill/>
              </a:ln>
              <a:solidFill>
                <a:srgbClr val="FFFFFF"/>
              </a:solidFill>
              <a:latin typeface="Arial" panose="020F0502020204030204"/>
              <a:cs typeface="Arial"/>
            </a:rPr>
            <a:t>Estos se copiarán automáticamente en toda la herramienta y se usarán como nombres de los socios.</a:t>
          </a:r>
        </a:p>
      </xdr:txBody>
    </xdr:sp>
    <xdr:clientData/>
  </xdr:twoCellAnchor>
  <xdr:twoCellAnchor>
    <xdr:from>
      <xdr:col>8</xdr:col>
      <xdr:colOff>1016001</xdr:colOff>
      <xdr:row>128</xdr:row>
      <xdr:rowOff>116416</xdr:rowOff>
    </xdr:from>
    <xdr:to>
      <xdr:col>12</xdr:col>
      <xdr:colOff>368301</xdr:colOff>
      <xdr:row>140</xdr:row>
      <xdr:rowOff>52916</xdr:rowOff>
    </xdr:to>
    <xdr:sp macro="" textlink="" fLocksText="0">
      <xdr:nvSpPr>
        <xdr:cNvPr id="12" name="Speech Bubble: Rectangle with Corners Rounded 11">
          <a:extLst>
            <a:ext uri="{FF2B5EF4-FFF2-40B4-BE49-F238E27FC236}">
              <a16:creationId xmlns:a16="http://schemas.microsoft.com/office/drawing/2014/main" id="{00000000-0008-0000-0900-00000C000000}"/>
            </a:ext>
          </a:extLst>
        </xdr:cNvPr>
        <xdr:cNvSpPr/>
      </xdr:nvSpPr>
      <xdr:spPr>
        <a:xfrm>
          <a:off x="15516225" y="20231100"/>
          <a:ext cx="3390900" cy="1771650"/>
        </a:xfrm>
        <a:prstGeom prst="wedgeRoundRectCallout">
          <a:avLst>
            <a:gd name="adj1" fmla="val -87203"/>
            <a:gd name="adj2" fmla="val -7010"/>
            <a:gd name="adj3" fmla="val 16667"/>
          </a:avLst>
        </a:prstGeom>
        <a:solidFill>
          <a:srgbClr val="4472C4"/>
        </a:solidFill>
        <a:ln w="12700" cap="flat" cmpd="sng" algn="ctr">
          <a:solidFill>
            <a:srgbClr val="4472C4">
              <a:shade val="50000"/>
            </a:srgbClr>
          </a:solidFill>
          <a:prstDash val="solid"/>
          <a:miter lim="800000"/>
        </a:ln>
        <a:effectLst/>
      </xdr:spPr>
      <xdr:txBody>
        <a:bodyPr vertOverflow="clip" horzOverflow="clip" anchor="t"/>
        <a:lstStyle/>
        <a:p>
          <a:pPr marL="0" marR="0" lvl="0" indent="0" algn="l" defTabSz="914400" eaLnBrk="1" fontAlgn="auto" latinLnBrk="0" hangingPunct="1">
            <a:lnSpc>
              <a:spcPct val="100000"/>
            </a:lnSpc>
            <a:spcBef>
              <a:spcPts val="0"/>
            </a:spcBef>
            <a:spcAft>
              <a:spcPts val="0"/>
            </a:spcAft>
            <a:buClrTx/>
            <a:buSzTx/>
            <a:buFontTx/>
            <a:buNone/>
          </a:pPr>
          <a:r>
            <a:rPr lang="en-US" sz="1100" b="0" i="0" u="none" kern="0" spc="0" baseline="0">
              <a:ln>
                <a:noFill/>
              </a:ln>
              <a:solidFill>
                <a:srgbClr val="FFFFFF"/>
              </a:solidFill>
              <a:latin typeface="Arial" panose="020F0502020204030204"/>
              <a:ea typeface="+mn-ea"/>
              <a:cs typeface="Arial"/>
            </a:rPr>
            <a:t>Instrucciones:</a:t>
          </a:r>
        </a:p>
        <a:p>
          <a:pPr>
            <a:defRPr lang="en-US" sz="1100" b="0" i="0" u="none" kern="0" spc="0" baseline="0">
              <a:ln>
                <a:noFill/>
              </a:ln>
              <a:solidFill>
                <a:srgbClr val="FFFFFF"/>
              </a:solidFill>
              <a:latin typeface="Arial" panose="020F0502020204030204"/>
              <a:ea typeface="+mn-ea"/>
              <a:cs typeface="Arial"/>
            </a:defRPr>
          </a:pPr>
          <a:endParaRPr/>
        </a:p>
        <a:p>
          <a:pPr>
            <a:defRPr lang="en-US" sz="1100" b="0" i="0" u="none" kern="0" spc="0" baseline="0">
              <a:ln>
                <a:noFill/>
              </a:ln>
              <a:solidFill>
                <a:srgbClr val="FFFFFF"/>
              </a:solidFill>
              <a:latin typeface="Arial" panose="020F0502020204030204"/>
              <a:ea typeface="+mn-ea"/>
              <a:cs typeface="Arial"/>
            </a:defRPr>
          </a:pPr>
          <a:r>
            <a:rPr lang="en-US" sz="1100" b="0" i="0" u="none" kern="0" spc="0" baseline="0">
              <a:ln>
                <a:noFill/>
              </a:ln>
              <a:solidFill>
                <a:srgbClr val="FFFFFF"/>
              </a:solidFill>
              <a:latin typeface="Arial" panose="020F0502020204030204"/>
              <a:ea typeface="+mn-ea"/>
              <a:cs typeface="Arial"/>
            </a:rPr>
            <a:t>Introduzca hasta diez agencias/órganos del gobierno.</a:t>
          </a:r>
        </a:p>
        <a:p>
          <a:pPr>
            <a:defRPr lang="en-US" sz="1100" b="0" i="0" u="none" kern="0" spc="0" baseline="0">
              <a:ln>
                <a:noFill/>
              </a:ln>
              <a:solidFill>
                <a:srgbClr val="FFFFFF"/>
              </a:solidFill>
              <a:latin typeface="Arial" panose="020F0502020204030204"/>
              <a:ea typeface="+mn-ea"/>
              <a:cs typeface="Arial"/>
            </a:defRPr>
          </a:pPr>
          <a:endParaRPr/>
        </a:p>
        <a:p>
          <a:pPr>
            <a:defRPr lang="en-US" sz="1100" b="0" i="0" u="none" kern="0" spc="0" baseline="0">
              <a:ln>
                <a:noFill/>
              </a:ln>
              <a:solidFill>
                <a:srgbClr val="FFFFFF"/>
              </a:solidFill>
              <a:latin typeface="Arial" panose="020F0502020204030204"/>
              <a:ea typeface="+mn-ea"/>
              <a:cs typeface="Arial"/>
            </a:defRPr>
          </a:pPr>
          <a:r>
            <a:rPr lang="en-US" sz="1100" b="0" i="0" u="none" kern="0" spc="0" baseline="0">
              <a:ln>
                <a:noFill/>
              </a:ln>
              <a:solidFill>
                <a:srgbClr val="FFFFFF"/>
              </a:solidFill>
              <a:latin typeface="Arial" panose="020F0502020204030204"/>
              <a:ea typeface="+mn-ea"/>
              <a:cs typeface="Arial"/>
            </a:rPr>
            <a:t>Estos se copiarán automáticamente en toda la herramienta y se usarán como nombres de agencias gubernamentales.</a:t>
          </a:r>
        </a:p>
      </xdr:txBody>
    </xdr:sp>
    <xdr:clientData/>
  </xdr:twoCellAnchor>
  <mc:AlternateContent xmlns:mc="http://schemas.openxmlformats.org/markup-compatibility/2006">
    <mc:Choice xmlns:a14="http://schemas.microsoft.com/office/drawing/2010/main" Requires="a14">
      <xdr:twoCellAnchor>
        <xdr:from>
          <xdr:col>7</xdr:col>
          <xdr:colOff>0</xdr:colOff>
          <xdr:row>34</xdr:row>
          <xdr:rowOff>0</xdr:rowOff>
        </xdr:from>
        <xdr:to>
          <xdr:col>8</xdr:col>
          <xdr:colOff>0</xdr:colOff>
          <xdr:row>35</xdr:row>
          <xdr:rowOff>0</xdr:rowOff>
        </xdr:to>
        <xdr:sp macro="" textlink="">
          <xdr:nvSpPr>
            <xdr:cNvPr id="16482" name="DropDown" hidden="1">
              <a:extLst>
                <a:ext uri="{63B3BB69-23CF-44E3-9099-C40C66FF867C}">
                  <a14:compatExt spid="_x0000_s16482"/>
                </a:ext>
                <a:ext uri="{FF2B5EF4-FFF2-40B4-BE49-F238E27FC236}">
                  <a16:creationId xmlns:a16="http://schemas.microsoft.com/office/drawing/2014/main" id="{00000000-0008-0000-0900-000062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35</xdr:row>
          <xdr:rowOff>0</xdr:rowOff>
        </xdr:from>
        <xdr:to>
          <xdr:col>8</xdr:col>
          <xdr:colOff>0</xdr:colOff>
          <xdr:row>36</xdr:row>
          <xdr:rowOff>0</xdr:rowOff>
        </xdr:to>
        <xdr:sp macro="" textlink="">
          <xdr:nvSpPr>
            <xdr:cNvPr id="16484" name="DropDown" hidden="1">
              <a:extLst>
                <a:ext uri="{63B3BB69-23CF-44E3-9099-C40C66FF867C}">
                  <a14:compatExt spid="_x0000_s16484"/>
                </a:ext>
                <a:ext uri="{FF2B5EF4-FFF2-40B4-BE49-F238E27FC236}">
                  <a16:creationId xmlns:a16="http://schemas.microsoft.com/office/drawing/2014/main" id="{00000000-0008-0000-0900-00006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36</xdr:row>
          <xdr:rowOff>0</xdr:rowOff>
        </xdr:from>
        <xdr:to>
          <xdr:col>8</xdr:col>
          <xdr:colOff>0</xdr:colOff>
          <xdr:row>37</xdr:row>
          <xdr:rowOff>0</xdr:rowOff>
        </xdr:to>
        <xdr:sp macro="" textlink="">
          <xdr:nvSpPr>
            <xdr:cNvPr id="16486" name="DropDown" hidden="1">
              <a:extLst>
                <a:ext uri="{63B3BB69-23CF-44E3-9099-C40C66FF867C}">
                  <a14:compatExt spid="_x0000_s16486"/>
                </a:ext>
                <a:ext uri="{FF2B5EF4-FFF2-40B4-BE49-F238E27FC236}">
                  <a16:creationId xmlns:a16="http://schemas.microsoft.com/office/drawing/2014/main" id="{00000000-0008-0000-0900-00006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37</xdr:row>
          <xdr:rowOff>0</xdr:rowOff>
        </xdr:from>
        <xdr:to>
          <xdr:col>8</xdr:col>
          <xdr:colOff>0</xdr:colOff>
          <xdr:row>38</xdr:row>
          <xdr:rowOff>0</xdr:rowOff>
        </xdr:to>
        <xdr:sp macro="" textlink="">
          <xdr:nvSpPr>
            <xdr:cNvPr id="16488" name="DropDown" hidden="1">
              <a:extLst>
                <a:ext uri="{63B3BB69-23CF-44E3-9099-C40C66FF867C}">
                  <a14:compatExt spid="_x0000_s16488"/>
                </a:ext>
                <a:ext uri="{FF2B5EF4-FFF2-40B4-BE49-F238E27FC236}">
                  <a16:creationId xmlns:a16="http://schemas.microsoft.com/office/drawing/2014/main" id="{00000000-0008-0000-0900-00006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40</xdr:row>
          <xdr:rowOff>0</xdr:rowOff>
        </xdr:from>
        <xdr:to>
          <xdr:col>8</xdr:col>
          <xdr:colOff>0</xdr:colOff>
          <xdr:row>41</xdr:row>
          <xdr:rowOff>0</xdr:rowOff>
        </xdr:to>
        <xdr:sp macro="" textlink="">
          <xdr:nvSpPr>
            <xdr:cNvPr id="16502" name="Drop Down 119" hidden="1">
              <a:extLst>
                <a:ext uri="{63B3BB69-23CF-44E3-9099-C40C66FF867C}">
                  <a14:compatExt spid="_x0000_s16502"/>
                </a:ext>
                <a:ext uri="{FF2B5EF4-FFF2-40B4-BE49-F238E27FC236}">
                  <a16:creationId xmlns:a16="http://schemas.microsoft.com/office/drawing/2014/main" id="{00000000-0008-0000-0900-00007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41</xdr:row>
          <xdr:rowOff>0</xdr:rowOff>
        </xdr:from>
        <xdr:to>
          <xdr:col>8</xdr:col>
          <xdr:colOff>0</xdr:colOff>
          <xdr:row>42</xdr:row>
          <xdr:rowOff>0</xdr:rowOff>
        </xdr:to>
        <xdr:sp macro="" textlink="">
          <xdr:nvSpPr>
            <xdr:cNvPr id="16504" name="Drop Down 121" hidden="1">
              <a:extLst>
                <a:ext uri="{63B3BB69-23CF-44E3-9099-C40C66FF867C}">
                  <a14:compatExt spid="_x0000_s16504"/>
                </a:ext>
                <a:ext uri="{FF2B5EF4-FFF2-40B4-BE49-F238E27FC236}">
                  <a16:creationId xmlns:a16="http://schemas.microsoft.com/office/drawing/2014/main" id="{00000000-0008-0000-0900-00007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42</xdr:row>
          <xdr:rowOff>0</xdr:rowOff>
        </xdr:from>
        <xdr:to>
          <xdr:col>8</xdr:col>
          <xdr:colOff>0</xdr:colOff>
          <xdr:row>43</xdr:row>
          <xdr:rowOff>0</xdr:rowOff>
        </xdr:to>
        <xdr:sp macro="" textlink="">
          <xdr:nvSpPr>
            <xdr:cNvPr id="16506" name="Drop Down 123" hidden="1">
              <a:extLst>
                <a:ext uri="{63B3BB69-23CF-44E3-9099-C40C66FF867C}">
                  <a14:compatExt spid="_x0000_s16506"/>
                </a:ext>
                <a:ext uri="{FF2B5EF4-FFF2-40B4-BE49-F238E27FC236}">
                  <a16:creationId xmlns:a16="http://schemas.microsoft.com/office/drawing/2014/main" id="{00000000-0008-0000-0900-00007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43</xdr:row>
          <xdr:rowOff>0</xdr:rowOff>
        </xdr:from>
        <xdr:to>
          <xdr:col>8</xdr:col>
          <xdr:colOff>0</xdr:colOff>
          <xdr:row>44</xdr:row>
          <xdr:rowOff>0</xdr:rowOff>
        </xdr:to>
        <xdr:sp macro="" textlink="">
          <xdr:nvSpPr>
            <xdr:cNvPr id="16508" name="Drop Down 125" hidden="1">
              <a:extLst>
                <a:ext uri="{63B3BB69-23CF-44E3-9099-C40C66FF867C}">
                  <a14:compatExt spid="_x0000_s16508"/>
                </a:ext>
                <a:ext uri="{FF2B5EF4-FFF2-40B4-BE49-F238E27FC236}">
                  <a16:creationId xmlns:a16="http://schemas.microsoft.com/office/drawing/2014/main" id="{00000000-0008-0000-0900-00007C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45</xdr:row>
          <xdr:rowOff>0</xdr:rowOff>
        </xdr:from>
        <xdr:to>
          <xdr:col>8</xdr:col>
          <xdr:colOff>0</xdr:colOff>
          <xdr:row>46</xdr:row>
          <xdr:rowOff>0</xdr:rowOff>
        </xdr:to>
        <xdr:sp macro="" textlink="">
          <xdr:nvSpPr>
            <xdr:cNvPr id="16510" name="Drop Down 127" hidden="1">
              <a:extLst>
                <a:ext uri="{63B3BB69-23CF-44E3-9099-C40C66FF867C}">
                  <a14:compatExt spid="_x0000_s16510"/>
                </a:ext>
                <a:ext uri="{FF2B5EF4-FFF2-40B4-BE49-F238E27FC236}">
                  <a16:creationId xmlns:a16="http://schemas.microsoft.com/office/drawing/2014/main" id="{00000000-0008-0000-0900-00007E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46</xdr:row>
          <xdr:rowOff>0</xdr:rowOff>
        </xdr:from>
        <xdr:to>
          <xdr:col>8</xdr:col>
          <xdr:colOff>0</xdr:colOff>
          <xdr:row>47</xdr:row>
          <xdr:rowOff>0</xdr:rowOff>
        </xdr:to>
        <xdr:sp macro="" textlink="">
          <xdr:nvSpPr>
            <xdr:cNvPr id="16512" name="Drop Down 129" hidden="1">
              <a:extLst>
                <a:ext uri="{63B3BB69-23CF-44E3-9099-C40C66FF867C}">
                  <a14:compatExt spid="_x0000_s16512"/>
                </a:ext>
                <a:ext uri="{FF2B5EF4-FFF2-40B4-BE49-F238E27FC236}">
                  <a16:creationId xmlns:a16="http://schemas.microsoft.com/office/drawing/2014/main" id="{00000000-0008-0000-0900-000080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47</xdr:row>
          <xdr:rowOff>0</xdr:rowOff>
        </xdr:from>
        <xdr:to>
          <xdr:col>8</xdr:col>
          <xdr:colOff>0</xdr:colOff>
          <xdr:row>48</xdr:row>
          <xdr:rowOff>0</xdr:rowOff>
        </xdr:to>
        <xdr:sp macro="" textlink="">
          <xdr:nvSpPr>
            <xdr:cNvPr id="16514" name="Drop Down 131" hidden="1">
              <a:extLst>
                <a:ext uri="{63B3BB69-23CF-44E3-9099-C40C66FF867C}">
                  <a14:compatExt spid="_x0000_s16514"/>
                </a:ext>
                <a:ext uri="{FF2B5EF4-FFF2-40B4-BE49-F238E27FC236}">
                  <a16:creationId xmlns:a16="http://schemas.microsoft.com/office/drawing/2014/main" id="{00000000-0008-0000-0900-000082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48</xdr:row>
          <xdr:rowOff>0</xdr:rowOff>
        </xdr:from>
        <xdr:to>
          <xdr:col>8</xdr:col>
          <xdr:colOff>0</xdr:colOff>
          <xdr:row>49</xdr:row>
          <xdr:rowOff>0</xdr:rowOff>
        </xdr:to>
        <xdr:sp macro="" textlink="">
          <xdr:nvSpPr>
            <xdr:cNvPr id="16516" name="Drop Down 133" hidden="1">
              <a:extLst>
                <a:ext uri="{63B3BB69-23CF-44E3-9099-C40C66FF867C}">
                  <a14:compatExt spid="_x0000_s16516"/>
                </a:ext>
                <a:ext uri="{FF2B5EF4-FFF2-40B4-BE49-F238E27FC236}">
                  <a16:creationId xmlns:a16="http://schemas.microsoft.com/office/drawing/2014/main" id="{00000000-0008-0000-0900-00008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49</xdr:row>
          <xdr:rowOff>0</xdr:rowOff>
        </xdr:from>
        <xdr:to>
          <xdr:col>8</xdr:col>
          <xdr:colOff>0</xdr:colOff>
          <xdr:row>50</xdr:row>
          <xdr:rowOff>0</xdr:rowOff>
        </xdr:to>
        <xdr:sp macro="" textlink="">
          <xdr:nvSpPr>
            <xdr:cNvPr id="16518" name="Drop Down 135" hidden="1">
              <a:extLst>
                <a:ext uri="{63B3BB69-23CF-44E3-9099-C40C66FF867C}">
                  <a14:compatExt spid="_x0000_s16518"/>
                </a:ext>
                <a:ext uri="{FF2B5EF4-FFF2-40B4-BE49-F238E27FC236}">
                  <a16:creationId xmlns:a16="http://schemas.microsoft.com/office/drawing/2014/main" id="{00000000-0008-0000-0900-00008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51</xdr:row>
          <xdr:rowOff>0</xdr:rowOff>
        </xdr:from>
        <xdr:to>
          <xdr:col>8</xdr:col>
          <xdr:colOff>0</xdr:colOff>
          <xdr:row>52</xdr:row>
          <xdr:rowOff>0</xdr:rowOff>
        </xdr:to>
        <xdr:sp macro="" textlink="">
          <xdr:nvSpPr>
            <xdr:cNvPr id="16520" name="Drop Down 137" hidden="1">
              <a:extLst>
                <a:ext uri="{63B3BB69-23CF-44E3-9099-C40C66FF867C}">
                  <a14:compatExt spid="_x0000_s16520"/>
                </a:ext>
                <a:ext uri="{FF2B5EF4-FFF2-40B4-BE49-F238E27FC236}">
                  <a16:creationId xmlns:a16="http://schemas.microsoft.com/office/drawing/2014/main" id="{00000000-0008-0000-0900-00008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52</xdr:row>
          <xdr:rowOff>0</xdr:rowOff>
        </xdr:from>
        <xdr:to>
          <xdr:col>8</xdr:col>
          <xdr:colOff>0</xdr:colOff>
          <xdr:row>53</xdr:row>
          <xdr:rowOff>0</xdr:rowOff>
        </xdr:to>
        <xdr:sp macro="" textlink="">
          <xdr:nvSpPr>
            <xdr:cNvPr id="16522" name="Drop Down 139" hidden="1">
              <a:extLst>
                <a:ext uri="{63B3BB69-23CF-44E3-9099-C40C66FF867C}">
                  <a14:compatExt spid="_x0000_s16522"/>
                </a:ext>
                <a:ext uri="{FF2B5EF4-FFF2-40B4-BE49-F238E27FC236}">
                  <a16:creationId xmlns:a16="http://schemas.microsoft.com/office/drawing/2014/main" id="{00000000-0008-0000-0900-00008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53</xdr:row>
          <xdr:rowOff>0</xdr:rowOff>
        </xdr:from>
        <xdr:to>
          <xdr:col>8</xdr:col>
          <xdr:colOff>0</xdr:colOff>
          <xdr:row>54</xdr:row>
          <xdr:rowOff>0</xdr:rowOff>
        </xdr:to>
        <xdr:sp macro="" textlink="">
          <xdr:nvSpPr>
            <xdr:cNvPr id="16524" name="Drop Down 141" hidden="1">
              <a:extLst>
                <a:ext uri="{63B3BB69-23CF-44E3-9099-C40C66FF867C}">
                  <a14:compatExt spid="_x0000_s16524"/>
                </a:ext>
                <a:ext uri="{FF2B5EF4-FFF2-40B4-BE49-F238E27FC236}">
                  <a16:creationId xmlns:a16="http://schemas.microsoft.com/office/drawing/2014/main" id="{00000000-0008-0000-0900-00008C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54</xdr:row>
          <xdr:rowOff>0</xdr:rowOff>
        </xdr:from>
        <xdr:to>
          <xdr:col>8</xdr:col>
          <xdr:colOff>0</xdr:colOff>
          <xdr:row>55</xdr:row>
          <xdr:rowOff>0</xdr:rowOff>
        </xdr:to>
        <xdr:sp macro="" textlink="">
          <xdr:nvSpPr>
            <xdr:cNvPr id="16526" name="Drop Down 143" hidden="1">
              <a:extLst>
                <a:ext uri="{63B3BB69-23CF-44E3-9099-C40C66FF867C}">
                  <a14:compatExt spid="_x0000_s16526"/>
                </a:ext>
                <a:ext uri="{FF2B5EF4-FFF2-40B4-BE49-F238E27FC236}">
                  <a16:creationId xmlns:a16="http://schemas.microsoft.com/office/drawing/2014/main" id="{00000000-0008-0000-0900-00008E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55</xdr:row>
          <xdr:rowOff>0</xdr:rowOff>
        </xdr:from>
        <xdr:to>
          <xdr:col>8</xdr:col>
          <xdr:colOff>0</xdr:colOff>
          <xdr:row>56</xdr:row>
          <xdr:rowOff>0</xdr:rowOff>
        </xdr:to>
        <xdr:sp macro="" textlink="">
          <xdr:nvSpPr>
            <xdr:cNvPr id="16528" name="Drop Down 145" hidden="1">
              <a:extLst>
                <a:ext uri="{63B3BB69-23CF-44E3-9099-C40C66FF867C}">
                  <a14:compatExt spid="_x0000_s16528"/>
                </a:ext>
                <a:ext uri="{FF2B5EF4-FFF2-40B4-BE49-F238E27FC236}">
                  <a16:creationId xmlns:a16="http://schemas.microsoft.com/office/drawing/2014/main" id="{00000000-0008-0000-0900-000090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58</xdr:row>
          <xdr:rowOff>0</xdr:rowOff>
        </xdr:from>
        <xdr:to>
          <xdr:col>8</xdr:col>
          <xdr:colOff>0</xdr:colOff>
          <xdr:row>59</xdr:row>
          <xdr:rowOff>0</xdr:rowOff>
        </xdr:to>
        <xdr:sp macro="" textlink="">
          <xdr:nvSpPr>
            <xdr:cNvPr id="16532" name="Drop Down 149" hidden="1">
              <a:extLst>
                <a:ext uri="{63B3BB69-23CF-44E3-9099-C40C66FF867C}">
                  <a14:compatExt spid="_x0000_s16532"/>
                </a:ext>
                <a:ext uri="{FF2B5EF4-FFF2-40B4-BE49-F238E27FC236}">
                  <a16:creationId xmlns:a16="http://schemas.microsoft.com/office/drawing/2014/main" id="{00000000-0008-0000-0900-00009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0</xdr:rowOff>
        </xdr:from>
        <xdr:to>
          <xdr:col>8</xdr:col>
          <xdr:colOff>0</xdr:colOff>
          <xdr:row>60</xdr:row>
          <xdr:rowOff>0</xdr:rowOff>
        </xdr:to>
        <xdr:sp macro="" textlink="">
          <xdr:nvSpPr>
            <xdr:cNvPr id="16534" name="Drop Down 151" hidden="1">
              <a:extLst>
                <a:ext uri="{63B3BB69-23CF-44E3-9099-C40C66FF867C}">
                  <a14:compatExt spid="_x0000_s16534"/>
                </a:ext>
                <a:ext uri="{FF2B5EF4-FFF2-40B4-BE49-F238E27FC236}">
                  <a16:creationId xmlns:a16="http://schemas.microsoft.com/office/drawing/2014/main" id="{00000000-0008-0000-0900-00009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60</xdr:row>
          <xdr:rowOff>0</xdr:rowOff>
        </xdr:from>
        <xdr:to>
          <xdr:col>8</xdr:col>
          <xdr:colOff>0</xdr:colOff>
          <xdr:row>61</xdr:row>
          <xdr:rowOff>0</xdr:rowOff>
        </xdr:to>
        <xdr:sp macro="" textlink="">
          <xdr:nvSpPr>
            <xdr:cNvPr id="16536" name="Drop Down 153" hidden="1">
              <a:extLst>
                <a:ext uri="{63B3BB69-23CF-44E3-9099-C40C66FF867C}">
                  <a14:compatExt spid="_x0000_s16536"/>
                </a:ext>
                <a:ext uri="{FF2B5EF4-FFF2-40B4-BE49-F238E27FC236}">
                  <a16:creationId xmlns:a16="http://schemas.microsoft.com/office/drawing/2014/main" id="{00000000-0008-0000-0900-00009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61</xdr:row>
          <xdr:rowOff>0</xdr:rowOff>
        </xdr:from>
        <xdr:to>
          <xdr:col>8</xdr:col>
          <xdr:colOff>0</xdr:colOff>
          <xdr:row>62</xdr:row>
          <xdr:rowOff>0</xdr:rowOff>
        </xdr:to>
        <xdr:sp macro="" textlink="">
          <xdr:nvSpPr>
            <xdr:cNvPr id="16538" name="Drop Down 155" hidden="1">
              <a:extLst>
                <a:ext uri="{63B3BB69-23CF-44E3-9099-C40C66FF867C}">
                  <a14:compatExt spid="_x0000_s16538"/>
                </a:ext>
                <a:ext uri="{FF2B5EF4-FFF2-40B4-BE49-F238E27FC236}">
                  <a16:creationId xmlns:a16="http://schemas.microsoft.com/office/drawing/2014/main" id="{00000000-0008-0000-0900-00009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63</xdr:row>
          <xdr:rowOff>0</xdr:rowOff>
        </xdr:from>
        <xdr:to>
          <xdr:col>8</xdr:col>
          <xdr:colOff>0</xdr:colOff>
          <xdr:row>64</xdr:row>
          <xdr:rowOff>0</xdr:rowOff>
        </xdr:to>
        <xdr:sp macro="" textlink="">
          <xdr:nvSpPr>
            <xdr:cNvPr id="16540" name="Drop Down 157" hidden="1">
              <a:extLst>
                <a:ext uri="{63B3BB69-23CF-44E3-9099-C40C66FF867C}">
                  <a14:compatExt spid="_x0000_s16540"/>
                </a:ext>
                <a:ext uri="{FF2B5EF4-FFF2-40B4-BE49-F238E27FC236}">
                  <a16:creationId xmlns:a16="http://schemas.microsoft.com/office/drawing/2014/main" id="{00000000-0008-0000-0900-00009C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64</xdr:row>
          <xdr:rowOff>0</xdr:rowOff>
        </xdr:from>
        <xdr:to>
          <xdr:col>8</xdr:col>
          <xdr:colOff>0</xdr:colOff>
          <xdr:row>65</xdr:row>
          <xdr:rowOff>0</xdr:rowOff>
        </xdr:to>
        <xdr:sp macro="" textlink="">
          <xdr:nvSpPr>
            <xdr:cNvPr id="16542" name="Drop Down 159" hidden="1">
              <a:extLst>
                <a:ext uri="{63B3BB69-23CF-44E3-9099-C40C66FF867C}">
                  <a14:compatExt spid="_x0000_s16542"/>
                </a:ext>
                <a:ext uri="{FF2B5EF4-FFF2-40B4-BE49-F238E27FC236}">
                  <a16:creationId xmlns:a16="http://schemas.microsoft.com/office/drawing/2014/main" id="{00000000-0008-0000-0900-00009E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65</xdr:row>
          <xdr:rowOff>0</xdr:rowOff>
        </xdr:from>
        <xdr:to>
          <xdr:col>8</xdr:col>
          <xdr:colOff>0</xdr:colOff>
          <xdr:row>66</xdr:row>
          <xdr:rowOff>0</xdr:rowOff>
        </xdr:to>
        <xdr:sp macro="" textlink="">
          <xdr:nvSpPr>
            <xdr:cNvPr id="16544" name="Drop Down 161" hidden="1">
              <a:extLst>
                <a:ext uri="{63B3BB69-23CF-44E3-9099-C40C66FF867C}">
                  <a14:compatExt spid="_x0000_s16544"/>
                </a:ext>
                <a:ext uri="{FF2B5EF4-FFF2-40B4-BE49-F238E27FC236}">
                  <a16:creationId xmlns:a16="http://schemas.microsoft.com/office/drawing/2014/main" id="{00000000-0008-0000-0900-0000A0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66</xdr:row>
          <xdr:rowOff>0</xdr:rowOff>
        </xdr:from>
        <xdr:to>
          <xdr:col>8</xdr:col>
          <xdr:colOff>0</xdr:colOff>
          <xdr:row>67</xdr:row>
          <xdr:rowOff>0</xdr:rowOff>
        </xdr:to>
        <xdr:sp macro="" textlink="">
          <xdr:nvSpPr>
            <xdr:cNvPr id="16546" name="Drop Down 163" hidden="1">
              <a:extLst>
                <a:ext uri="{63B3BB69-23CF-44E3-9099-C40C66FF867C}">
                  <a14:compatExt spid="_x0000_s16546"/>
                </a:ext>
                <a:ext uri="{FF2B5EF4-FFF2-40B4-BE49-F238E27FC236}">
                  <a16:creationId xmlns:a16="http://schemas.microsoft.com/office/drawing/2014/main" id="{00000000-0008-0000-0900-0000A2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67</xdr:row>
          <xdr:rowOff>0</xdr:rowOff>
        </xdr:from>
        <xdr:to>
          <xdr:col>8</xdr:col>
          <xdr:colOff>0</xdr:colOff>
          <xdr:row>68</xdr:row>
          <xdr:rowOff>0</xdr:rowOff>
        </xdr:to>
        <xdr:sp macro="" textlink="">
          <xdr:nvSpPr>
            <xdr:cNvPr id="16548" name="Drop Down 165" hidden="1">
              <a:extLst>
                <a:ext uri="{63B3BB69-23CF-44E3-9099-C40C66FF867C}">
                  <a14:compatExt spid="_x0000_s16548"/>
                </a:ext>
                <a:ext uri="{FF2B5EF4-FFF2-40B4-BE49-F238E27FC236}">
                  <a16:creationId xmlns:a16="http://schemas.microsoft.com/office/drawing/2014/main" id="{00000000-0008-0000-0900-0000A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69</xdr:row>
          <xdr:rowOff>0</xdr:rowOff>
        </xdr:from>
        <xdr:to>
          <xdr:col>8</xdr:col>
          <xdr:colOff>0</xdr:colOff>
          <xdr:row>70</xdr:row>
          <xdr:rowOff>0</xdr:rowOff>
        </xdr:to>
        <xdr:sp macro="" textlink="">
          <xdr:nvSpPr>
            <xdr:cNvPr id="16550" name="Drop Down 167" hidden="1">
              <a:extLst>
                <a:ext uri="{63B3BB69-23CF-44E3-9099-C40C66FF867C}">
                  <a14:compatExt spid="_x0000_s16550"/>
                </a:ext>
                <a:ext uri="{FF2B5EF4-FFF2-40B4-BE49-F238E27FC236}">
                  <a16:creationId xmlns:a16="http://schemas.microsoft.com/office/drawing/2014/main" id="{00000000-0008-0000-0900-0000A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70</xdr:row>
          <xdr:rowOff>0</xdr:rowOff>
        </xdr:from>
        <xdr:to>
          <xdr:col>8</xdr:col>
          <xdr:colOff>0</xdr:colOff>
          <xdr:row>71</xdr:row>
          <xdr:rowOff>0</xdr:rowOff>
        </xdr:to>
        <xdr:sp macro="" textlink="">
          <xdr:nvSpPr>
            <xdr:cNvPr id="16552" name="Drop Down 169" hidden="1">
              <a:extLst>
                <a:ext uri="{63B3BB69-23CF-44E3-9099-C40C66FF867C}">
                  <a14:compatExt spid="_x0000_s16552"/>
                </a:ext>
                <a:ext uri="{FF2B5EF4-FFF2-40B4-BE49-F238E27FC236}">
                  <a16:creationId xmlns:a16="http://schemas.microsoft.com/office/drawing/2014/main" id="{00000000-0008-0000-0900-0000A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71</xdr:row>
          <xdr:rowOff>0</xdr:rowOff>
        </xdr:from>
        <xdr:to>
          <xdr:col>8</xdr:col>
          <xdr:colOff>0</xdr:colOff>
          <xdr:row>72</xdr:row>
          <xdr:rowOff>0</xdr:rowOff>
        </xdr:to>
        <xdr:sp macro="" textlink="">
          <xdr:nvSpPr>
            <xdr:cNvPr id="16554" name="Drop Down 171" hidden="1">
              <a:extLst>
                <a:ext uri="{63B3BB69-23CF-44E3-9099-C40C66FF867C}">
                  <a14:compatExt spid="_x0000_s16554"/>
                </a:ext>
                <a:ext uri="{FF2B5EF4-FFF2-40B4-BE49-F238E27FC236}">
                  <a16:creationId xmlns:a16="http://schemas.microsoft.com/office/drawing/2014/main" id="{00000000-0008-0000-0900-0000A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72</xdr:row>
          <xdr:rowOff>0</xdr:rowOff>
        </xdr:from>
        <xdr:to>
          <xdr:col>8</xdr:col>
          <xdr:colOff>0</xdr:colOff>
          <xdr:row>73</xdr:row>
          <xdr:rowOff>0</xdr:rowOff>
        </xdr:to>
        <xdr:sp macro="" textlink="">
          <xdr:nvSpPr>
            <xdr:cNvPr id="16556" name="Drop Down 173" hidden="1">
              <a:extLst>
                <a:ext uri="{63B3BB69-23CF-44E3-9099-C40C66FF867C}">
                  <a14:compatExt spid="_x0000_s16556"/>
                </a:ext>
                <a:ext uri="{FF2B5EF4-FFF2-40B4-BE49-F238E27FC236}">
                  <a16:creationId xmlns:a16="http://schemas.microsoft.com/office/drawing/2014/main" id="{00000000-0008-0000-0900-0000AC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73</xdr:row>
          <xdr:rowOff>0</xdr:rowOff>
        </xdr:from>
        <xdr:to>
          <xdr:col>8</xdr:col>
          <xdr:colOff>0</xdr:colOff>
          <xdr:row>74</xdr:row>
          <xdr:rowOff>0</xdr:rowOff>
        </xdr:to>
        <xdr:sp macro="" textlink="">
          <xdr:nvSpPr>
            <xdr:cNvPr id="16558" name="Drop Down 175" hidden="1">
              <a:extLst>
                <a:ext uri="{63B3BB69-23CF-44E3-9099-C40C66FF867C}">
                  <a14:compatExt spid="_x0000_s16558"/>
                </a:ext>
                <a:ext uri="{FF2B5EF4-FFF2-40B4-BE49-F238E27FC236}">
                  <a16:creationId xmlns:a16="http://schemas.microsoft.com/office/drawing/2014/main" id="{00000000-0008-0000-0900-0000AE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75</xdr:row>
          <xdr:rowOff>0</xdr:rowOff>
        </xdr:from>
        <xdr:to>
          <xdr:col>8</xdr:col>
          <xdr:colOff>0</xdr:colOff>
          <xdr:row>76</xdr:row>
          <xdr:rowOff>0</xdr:rowOff>
        </xdr:to>
        <xdr:sp macro="" textlink="">
          <xdr:nvSpPr>
            <xdr:cNvPr id="16560" name="Drop Down 177" hidden="1">
              <a:extLst>
                <a:ext uri="{63B3BB69-23CF-44E3-9099-C40C66FF867C}">
                  <a14:compatExt spid="_x0000_s16560"/>
                </a:ext>
                <a:ext uri="{FF2B5EF4-FFF2-40B4-BE49-F238E27FC236}">
                  <a16:creationId xmlns:a16="http://schemas.microsoft.com/office/drawing/2014/main" id="{00000000-0008-0000-0900-0000B0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76</xdr:row>
          <xdr:rowOff>0</xdr:rowOff>
        </xdr:from>
        <xdr:to>
          <xdr:col>8</xdr:col>
          <xdr:colOff>0</xdr:colOff>
          <xdr:row>77</xdr:row>
          <xdr:rowOff>0</xdr:rowOff>
        </xdr:to>
        <xdr:sp macro="" textlink="">
          <xdr:nvSpPr>
            <xdr:cNvPr id="16562" name="Drop Down 179" hidden="1">
              <a:extLst>
                <a:ext uri="{63B3BB69-23CF-44E3-9099-C40C66FF867C}">
                  <a14:compatExt spid="_x0000_s16562"/>
                </a:ext>
                <a:ext uri="{FF2B5EF4-FFF2-40B4-BE49-F238E27FC236}">
                  <a16:creationId xmlns:a16="http://schemas.microsoft.com/office/drawing/2014/main" id="{00000000-0008-0000-0900-0000B2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77</xdr:row>
          <xdr:rowOff>0</xdr:rowOff>
        </xdr:from>
        <xdr:to>
          <xdr:col>8</xdr:col>
          <xdr:colOff>0</xdr:colOff>
          <xdr:row>78</xdr:row>
          <xdr:rowOff>0</xdr:rowOff>
        </xdr:to>
        <xdr:sp macro="" textlink="">
          <xdr:nvSpPr>
            <xdr:cNvPr id="16564" name="Drop Down 181" hidden="1">
              <a:extLst>
                <a:ext uri="{63B3BB69-23CF-44E3-9099-C40C66FF867C}">
                  <a14:compatExt spid="_x0000_s16564"/>
                </a:ext>
                <a:ext uri="{FF2B5EF4-FFF2-40B4-BE49-F238E27FC236}">
                  <a16:creationId xmlns:a16="http://schemas.microsoft.com/office/drawing/2014/main" id="{00000000-0008-0000-0900-0000B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78</xdr:row>
          <xdr:rowOff>0</xdr:rowOff>
        </xdr:from>
        <xdr:to>
          <xdr:col>8</xdr:col>
          <xdr:colOff>0</xdr:colOff>
          <xdr:row>79</xdr:row>
          <xdr:rowOff>0</xdr:rowOff>
        </xdr:to>
        <xdr:sp macro="" textlink="">
          <xdr:nvSpPr>
            <xdr:cNvPr id="16566" name="Drop Down 183" hidden="1">
              <a:extLst>
                <a:ext uri="{63B3BB69-23CF-44E3-9099-C40C66FF867C}">
                  <a14:compatExt spid="_x0000_s16566"/>
                </a:ext>
                <a:ext uri="{FF2B5EF4-FFF2-40B4-BE49-F238E27FC236}">
                  <a16:creationId xmlns:a16="http://schemas.microsoft.com/office/drawing/2014/main" id="{00000000-0008-0000-0900-0000B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79</xdr:row>
          <xdr:rowOff>0</xdr:rowOff>
        </xdr:from>
        <xdr:to>
          <xdr:col>8</xdr:col>
          <xdr:colOff>0</xdr:colOff>
          <xdr:row>80</xdr:row>
          <xdr:rowOff>0</xdr:rowOff>
        </xdr:to>
        <xdr:sp macro="" textlink="">
          <xdr:nvSpPr>
            <xdr:cNvPr id="16568" name="Drop Down 185" hidden="1">
              <a:extLst>
                <a:ext uri="{63B3BB69-23CF-44E3-9099-C40C66FF867C}">
                  <a14:compatExt spid="_x0000_s16568"/>
                </a:ext>
                <a:ext uri="{FF2B5EF4-FFF2-40B4-BE49-F238E27FC236}">
                  <a16:creationId xmlns:a16="http://schemas.microsoft.com/office/drawing/2014/main" id="{00000000-0008-0000-0900-0000B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81</xdr:row>
          <xdr:rowOff>0</xdr:rowOff>
        </xdr:from>
        <xdr:to>
          <xdr:col>8</xdr:col>
          <xdr:colOff>0</xdr:colOff>
          <xdr:row>82</xdr:row>
          <xdr:rowOff>0</xdr:rowOff>
        </xdr:to>
        <xdr:sp macro="" textlink="">
          <xdr:nvSpPr>
            <xdr:cNvPr id="16570" name="Drop Down 187" hidden="1">
              <a:extLst>
                <a:ext uri="{63B3BB69-23CF-44E3-9099-C40C66FF867C}">
                  <a14:compatExt spid="_x0000_s16570"/>
                </a:ext>
                <a:ext uri="{FF2B5EF4-FFF2-40B4-BE49-F238E27FC236}">
                  <a16:creationId xmlns:a16="http://schemas.microsoft.com/office/drawing/2014/main" id="{00000000-0008-0000-0900-0000B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82</xdr:row>
          <xdr:rowOff>0</xdr:rowOff>
        </xdr:from>
        <xdr:to>
          <xdr:col>8</xdr:col>
          <xdr:colOff>0</xdr:colOff>
          <xdr:row>83</xdr:row>
          <xdr:rowOff>0</xdr:rowOff>
        </xdr:to>
        <xdr:sp macro="" textlink="">
          <xdr:nvSpPr>
            <xdr:cNvPr id="16572" name="Drop Down 189" hidden="1">
              <a:extLst>
                <a:ext uri="{63B3BB69-23CF-44E3-9099-C40C66FF867C}">
                  <a14:compatExt spid="_x0000_s16572"/>
                </a:ext>
                <a:ext uri="{FF2B5EF4-FFF2-40B4-BE49-F238E27FC236}">
                  <a16:creationId xmlns:a16="http://schemas.microsoft.com/office/drawing/2014/main" id="{00000000-0008-0000-0900-0000BC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83</xdr:row>
          <xdr:rowOff>0</xdr:rowOff>
        </xdr:from>
        <xdr:to>
          <xdr:col>8</xdr:col>
          <xdr:colOff>0</xdr:colOff>
          <xdr:row>84</xdr:row>
          <xdr:rowOff>0</xdr:rowOff>
        </xdr:to>
        <xdr:sp macro="" textlink="">
          <xdr:nvSpPr>
            <xdr:cNvPr id="16574" name="Drop Down 191" hidden="1">
              <a:extLst>
                <a:ext uri="{63B3BB69-23CF-44E3-9099-C40C66FF867C}">
                  <a14:compatExt spid="_x0000_s16574"/>
                </a:ext>
                <a:ext uri="{FF2B5EF4-FFF2-40B4-BE49-F238E27FC236}">
                  <a16:creationId xmlns:a16="http://schemas.microsoft.com/office/drawing/2014/main" id="{00000000-0008-0000-0900-0000BE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84</xdr:row>
          <xdr:rowOff>0</xdr:rowOff>
        </xdr:from>
        <xdr:to>
          <xdr:col>8</xdr:col>
          <xdr:colOff>0</xdr:colOff>
          <xdr:row>85</xdr:row>
          <xdr:rowOff>0</xdr:rowOff>
        </xdr:to>
        <xdr:sp macro="" textlink="">
          <xdr:nvSpPr>
            <xdr:cNvPr id="16576" name="Drop Down 193" hidden="1">
              <a:extLst>
                <a:ext uri="{63B3BB69-23CF-44E3-9099-C40C66FF867C}">
                  <a14:compatExt spid="_x0000_s16576"/>
                </a:ext>
                <a:ext uri="{FF2B5EF4-FFF2-40B4-BE49-F238E27FC236}">
                  <a16:creationId xmlns:a16="http://schemas.microsoft.com/office/drawing/2014/main" id="{00000000-0008-0000-0900-0000C0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85</xdr:row>
          <xdr:rowOff>0</xdr:rowOff>
        </xdr:from>
        <xdr:to>
          <xdr:col>8</xdr:col>
          <xdr:colOff>0</xdr:colOff>
          <xdr:row>86</xdr:row>
          <xdr:rowOff>0</xdr:rowOff>
        </xdr:to>
        <xdr:sp macro="" textlink="">
          <xdr:nvSpPr>
            <xdr:cNvPr id="16578" name="Drop Down 195" hidden="1">
              <a:extLst>
                <a:ext uri="{63B3BB69-23CF-44E3-9099-C40C66FF867C}">
                  <a14:compatExt spid="_x0000_s16578"/>
                </a:ext>
                <a:ext uri="{FF2B5EF4-FFF2-40B4-BE49-F238E27FC236}">
                  <a16:creationId xmlns:a16="http://schemas.microsoft.com/office/drawing/2014/main" id="{00000000-0008-0000-0900-0000C2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87</xdr:row>
          <xdr:rowOff>0</xdr:rowOff>
        </xdr:from>
        <xdr:to>
          <xdr:col>8</xdr:col>
          <xdr:colOff>0</xdr:colOff>
          <xdr:row>88</xdr:row>
          <xdr:rowOff>0</xdr:rowOff>
        </xdr:to>
        <xdr:sp macro="" textlink="">
          <xdr:nvSpPr>
            <xdr:cNvPr id="16580" name="Drop Down 197" hidden="1">
              <a:extLst>
                <a:ext uri="{63B3BB69-23CF-44E3-9099-C40C66FF867C}">
                  <a14:compatExt spid="_x0000_s16580"/>
                </a:ext>
                <a:ext uri="{FF2B5EF4-FFF2-40B4-BE49-F238E27FC236}">
                  <a16:creationId xmlns:a16="http://schemas.microsoft.com/office/drawing/2014/main" id="{00000000-0008-0000-0900-0000C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88</xdr:row>
          <xdr:rowOff>0</xdr:rowOff>
        </xdr:from>
        <xdr:to>
          <xdr:col>8</xdr:col>
          <xdr:colOff>0</xdr:colOff>
          <xdr:row>89</xdr:row>
          <xdr:rowOff>0</xdr:rowOff>
        </xdr:to>
        <xdr:sp macro="" textlink="">
          <xdr:nvSpPr>
            <xdr:cNvPr id="16582" name="Drop Down 199" hidden="1">
              <a:extLst>
                <a:ext uri="{63B3BB69-23CF-44E3-9099-C40C66FF867C}">
                  <a14:compatExt spid="_x0000_s16582"/>
                </a:ext>
                <a:ext uri="{FF2B5EF4-FFF2-40B4-BE49-F238E27FC236}">
                  <a16:creationId xmlns:a16="http://schemas.microsoft.com/office/drawing/2014/main" id="{00000000-0008-0000-0900-0000C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89</xdr:row>
          <xdr:rowOff>0</xdr:rowOff>
        </xdr:from>
        <xdr:to>
          <xdr:col>8</xdr:col>
          <xdr:colOff>0</xdr:colOff>
          <xdr:row>90</xdr:row>
          <xdr:rowOff>0</xdr:rowOff>
        </xdr:to>
        <xdr:sp macro="" textlink="">
          <xdr:nvSpPr>
            <xdr:cNvPr id="16584" name="Drop Down 201" hidden="1">
              <a:extLst>
                <a:ext uri="{63B3BB69-23CF-44E3-9099-C40C66FF867C}">
                  <a14:compatExt spid="_x0000_s16584"/>
                </a:ext>
                <a:ext uri="{FF2B5EF4-FFF2-40B4-BE49-F238E27FC236}">
                  <a16:creationId xmlns:a16="http://schemas.microsoft.com/office/drawing/2014/main" id="{00000000-0008-0000-0900-0000C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90</xdr:row>
          <xdr:rowOff>0</xdr:rowOff>
        </xdr:from>
        <xdr:to>
          <xdr:col>8</xdr:col>
          <xdr:colOff>0</xdr:colOff>
          <xdr:row>91</xdr:row>
          <xdr:rowOff>0</xdr:rowOff>
        </xdr:to>
        <xdr:sp macro="" textlink="">
          <xdr:nvSpPr>
            <xdr:cNvPr id="16586" name="Drop Down 203" hidden="1">
              <a:extLst>
                <a:ext uri="{63B3BB69-23CF-44E3-9099-C40C66FF867C}">
                  <a14:compatExt spid="_x0000_s16586"/>
                </a:ext>
                <a:ext uri="{FF2B5EF4-FFF2-40B4-BE49-F238E27FC236}">
                  <a16:creationId xmlns:a16="http://schemas.microsoft.com/office/drawing/2014/main" id="{00000000-0008-0000-0900-0000C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91</xdr:row>
          <xdr:rowOff>0</xdr:rowOff>
        </xdr:from>
        <xdr:to>
          <xdr:col>8</xdr:col>
          <xdr:colOff>0</xdr:colOff>
          <xdr:row>92</xdr:row>
          <xdr:rowOff>0</xdr:rowOff>
        </xdr:to>
        <xdr:sp macro="" textlink="">
          <xdr:nvSpPr>
            <xdr:cNvPr id="16588" name="Drop Down 205" hidden="1">
              <a:extLst>
                <a:ext uri="{63B3BB69-23CF-44E3-9099-C40C66FF867C}">
                  <a14:compatExt spid="_x0000_s16588"/>
                </a:ext>
                <a:ext uri="{FF2B5EF4-FFF2-40B4-BE49-F238E27FC236}">
                  <a16:creationId xmlns:a16="http://schemas.microsoft.com/office/drawing/2014/main" id="{00000000-0008-0000-0900-0000CC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39</xdr:row>
          <xdr:rowOff>0</xdr:rowOff>
        </xdr:from>
        <xdr:to>
          <xdr:col>8</xdr:col>
          <xdr:colOff>0</xdr:colOff>
          <xdr:row>40</xdr:row>
          <xdr:rowOff>0</xdr:rowOff>
        </xdr:to>
        <xdr:sp macro="" textlink="">
          <xdr:nvSpPr>
            <xdr:cNvPr id="16592" name="Drop Down 209" hidden="1">
              <a:extLst>
                <a:ext uri="{63B3BB69-23CF-44E3-9099-C40C66FF867C}">
                  <a14:compatExt spid="_x0000_s16592"/>
                </a:ext>
                <a:ext uri="{FF2B5EF4-FFF2-40B4-BE49-F238E27FC236}">
                  <a16:creationId xmlns:a16="http://schemas.microsoft.com/office/drawing/2014/main" id="{00000000-0008-0000-0900-0000D0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57</xdr:row>
          <xdr:rowOff>0</xdr:rowOff>
        </xdr:from>
        <xdr:to>
          <xdr:col>8</xdr:col>
          <xdr:colOff>0</xdr:colOff>
          <xdr:row>58</xdr:row>
          <xdr:rowOff>0</xdr:rowOff>
        </xdr:to>
        <xdr:sp macro="" textlink="">
          <xdr:nvSpPr>
            <xdr:cNvPr id="16594" name="Drop Down 211" hidden="1">
              <a:extLst>
                <a:ext uri="{63B3BB69-23CF-44E3-9099-C40C66FF867C}">
                  <a14:compatExt spid="_x0000_s16594"/>
                </a:ext>
                <a:ext uri="{FF2B5EF4-FFF2-40B4-BE49-F238E27FC236}">
                  <a16:creationId xmlns:a16="http://schemas.microsoft.com/office/drawing/2014/main" id="{00000000-0008-0000-0900-0000D2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33</xdr:row>
          <xdr:rowOff>0</xdr:rowOff>
        </xdr:from>
        <xdr:to>
          <xdr:col>8</xdr:col>
          <xdr:colOff>0</xdr:colOff>
          <xdr:row>34</xdr:row>
          <xdr:rowOff>0</xdr:rowOff>
        </xdr:to>
        <xdr:sp macro="" textlink="">
          <xdr:nvSpPr>
            <xdr:cNvPr id="16596" name="Drop Down 213" hidden="1">
              <a:extLst>
                <a:ext uri="{63B3BB69-23CF-44E3-9099-C40C66FF867C}">
                  <a14:compatExt spid="_x0000_s16596"/>
                </a:ext>
                <a:ext uri="{FF2B5EF4-FFF2-40B4-BE49-F238E27FC236}">
                  <a16:creationId xmlns:a16="http://schemas.microsoft.com/office/drawing/2014/main" id="{00000000-0008-0000-0900-0000D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15</xdr:col>
      <xdr:colOff>0</xdr:colOff>
      <xdr:row>19</xdr:row>
      <xdr:rowOff>0</xdr:rowOff>
    </xdr:from>
    <xdr:to>
      <xdr:col>20</xdr:col>
      <xdr:colOff>228601</xdr:colOff>
      <xdr:row>26</xdr:row>
      <xdr:rowOff>428625</xdr:rowOff>
    </xdr:to>
    <xdr:sp macro="" textlink="" fLocksText="0">
      <xdr:nvSpPr>
        <xdr:cNvPr id="3" name="Speech Bubble: Rectangle with Corners Rounded 2">
          <a:extLst>
            <a:ext uri="{FF2B5EF4-FFF2-40B4-BE49-F238E27FC236}">
              <a16:creationId xmlns:a16="http://schemas.microsoft.com/office/drawing/2014/main" id="{00000000-0008-0000-1500-000003000000}"/>
            </a:ext>
          </a:extLst>
        </xdr:cNvPr>
        <xdr:cNvSpPr/>
      </xdr:nvSpPr>
      <xdr:spPr>
        <a:xfrm>
          <a:off x="18440400" y="2514600"/>
          <a:ext cx="4133850" cy="2409825"/>
        </a:xfrm>
        <a:prstGeom prst="wedgeRoundRectCallout">
          <a:avLst>
            <a:gd name="adj1" fmla="val -49485"/>
            <a:gd name="adj2" fmla="val 74175"/>
            <a:gd name="adj3" fmla="val 16667"/>
          </a:avLst>
        </a:prstGeom>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r>
            <a:rPr lang="en-US" sz="1100"/>
            <a:t>Instrucciones:</a:t>
          </a:r>
        </a:p>
        <a:p>
          <a:pPr>
            <a:defRPr lang="en-US" sz="1100"/>
          </a:pPr>
          <a:endParaRPr/>
        </a:p>
        <a:p>
          <a:pPr>
            <a:defRPr lang="en-US" sz="1100"/>
          </a:pPr>
          <a:r>
            <a:rPr lang="en-US" sz="1100"/>
            <a:t>Por favor, introduzca las contribuciones de socio1 en moneda internacional. Se convertirán automáticamente a la moneda local en la forma que se indica a continuación.</a:t>
          </a:r>
        </a:p>
        <a:p>
          <a:pPr>
            <a:defRPr lang="en-US" sz="1100"/>
          </a:pPr>
          <a:endParaRPr/>
        </a:p>
        <a:p>
          <a:pPr>
            <a:defRPr lang="en-US" sz="1100"/>
          </a:pPr>
          <a:r>
            <a:rPr lang="en-US" sz="1100"/>
            <a:t>Estos se copiarán automáticamente en toda la herramienta y se utilizarán como contribuciones de socio1.</a:t>
          </a:r>
        </a:p>
        <a:p>
          <a:pPr>
            <a:defRPr lang="en-US" sz="1100"/>
          </a:pPr>
          <a:endParaRPr/>
        </a:p>
        <a:p>
          <a:pPr>
            <a:defRPr lang="en-US" sz="1100"/>
          </a:pPr>
          <a:r>
            <a:rPr lang="en-US" sz="1100"/>
            <a:t>Los requisitos para las estrategias e indicadores [no en uso] deben dejarse en blanco. </a:t>
          </a:r>
        </a:p>
        <a:p>
          <a:pPr>
            <a:defRPr lang="en-US" sz="1100"/>
          </a:pPr>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ndrea Guzman" id="{03021246-4788-41AF-AC8A-4F86E2B6B654}" userId="bf265cd53a17cc33" providerId="Windows Live"/>
</personList>
</file>

<file path=xl/theme/theme1.xml><?xml version="1.0" encoding="utf-8"?>
<a:theme xmlns:a="http://schemas.openxmlformats.org/drawingml/2006/main" name="Office Theme">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rial" panose="020F0302020204030204"/>
        <a:ea typeface="Arial"/>
        <a:cs typeface="Arial"/>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rial" panose="020F0502020204030204"/>
        <a:ea typeface="Arial"/>
        <a:cs typeface="Arial"/>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40" dT="2020-12-03T05:47:07.87" personId="{03021246-4788-41AF-AC8A-4F86E2B6B654}" id="{0420DBFB-0D03-4FF6-B4E5-B2FEE073724F}">
    <text>No me dejó cambiar a estimación de costos pues hay una fórmula aquí.</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win@levinmorgan.com" TargetMode="Externa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9" Type="http://schemas.openxmlformats.org/officeDocument/2006/relationships/ctrlProp" Target="../ctrlProps/ctrlProp37.xml"/><Relationship Id="rId21" Type="http://schemas.openxmlformats.org/officeDocument/2006/relationships/ctrlProp" Target="../ctrlProps/ctrlProp19.xml"/><Relationship Id="rId34" Type="http://schemas.openxmlformats.org/officeDocument/2006/relationships/ctrlProp" Target="../ctrlProps/ctrlProp32.xml"/><Relationship Id="rId42" Type="http://schemas.openxmlformats.org/officeDocument/2006/relationships/ctrlProp" Target="../ctrlProps/ctrlProp40.xml"/><Relationship Id="rId47" Type="http://schemas.openxmlformats.org/officeDocument/2006/relationships/ctrlProp" Target="../ctrlProps/ctrlProp45.xml"/><Relationship Id="rId50" Type="http://schemas.openxmlformats.org/officeDocument/2006/relationships/ctrlProp" Target="../ctrlProps/ctrlProp48.xml"/><Relationship Id="rId55" Type="http://schemas.openxmlformats.org/officeDocument/2006/relationships/ctrlProp" Target="../ctrlProps/ctrlProp53.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2" Type="http://schemas.openxmlformats.org/officeDocument/2006/relationships/hyperlink" Target="https://treasury.un.org/operationalrates/OperationalRates.php" TargetMode="External"/><Relationship Id="rId16" Type="http://schemas.openxmlformats.org/officeDocument/2006/relationships/ctrlProp" Target="../ctrlProps/ctrlProp14.xml"/><Relationship Id="rId20" Type="http://schemas.openxmlformats.org/officeDocument/2006/relationships/ctrlProp" Target="../ctrlProps/ctrlProp18.xml"/><Relationship Id="rId29" Type="http://schemas.openxmlformats.org/officeDocument/2006/relationships/ctrlProp" Target="../ctrlProps/ctrlProp27.xml"/><Relationship Id="rId41" Type="http://schemas.openxmlformats.org/officeDocument/2006/relationships/ctrlProp" Target="../ctrlProps/ctrlProp39.xml"/><Relationship Id="rId54" Type="http://schemas.openxmlformats.org/officeDocument/2006/relationships/ctrlProp" Target="../ctrlProps/ctrlProp52.xml"/><Relationship Id="rId1" Type="http://schemas.openxmlformats.org/officeDocument/2006/relationships/hyperlink" Target="../../../../../../../../Downloads/$B$5" TargetMode="External"/><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37" Type="http://schemas.openxmlformats.org/officeDocument/2006/relationships/ctrlProp" Target="../ctrlProps/ctrlProp35.xml"/><Relationship Id="rId40" Type="http://schemas.openxmlformats.org/officeDocument/2006/relationships/ctrlProp" Target="../ctrlProps/ctrlProp38.xml"/><Relationship Id="rId45" Type="http://schemas.openxmlformats.org/officeDocument/2006/relationships/ctrlProp" Target="../ctrlProps/ctrlProp43.xml"/><Relationship Id="rId53" Type="http://schemas.openxmlformats.org/officeDocument/2006/relationships/ctrlProp" Target="../ctrlProps/ctrlProp51.xml"/><Relationship Id="rId5" Type="http://schemas.openxmlformats.org/officeDocument/2006/relationships/vmlDrawing" Target="../drawings/vmlDrawing4.v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10" Type="http://schemas.openxmlformats.org/officeDocument/2006/relationships/ctrlProp" Target="../ctrlProps/ctrlProp8.xml"/><Relationship Id="rId19" Type="http://schemas.openxmlformats.org/officeDocument/2006/relationships/ctrlProp" Target="../ctrlProps/ctrlProp17.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 Id="rId4" Type="http://schemas.openxmlformats.org/officeDocument/2006/relationships/drawing" Target="../drawings/drawing8.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56" Type="http://schemas.openxmlformats.org/officeDocument/2006/relationships/comments" Target="../comments2.xml"/><Relationship Id="rId8" Type="http://schemas.openxmlformats.org/officeDocument/2006/relationships/ctrlProp" Target="../ctrlProps/ctrlProp6.xml"/><Relationship Id="rId51" Type="http://schemas.openxmlformats.org/officeDocument/2006/relationships/ctrlProp" Target="../ctrlProps/ctrlProp49.xml"/><Relationship Id="rId3"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hyperlink" Target="../../../../../../../../Downloads/$B$5" TargetMode="External"/><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2.bin"/><Relationship Id="rId1" Type="http://schemas.openxmlformats.org/officeDocument/2006/relationships/hyperlink" Target="../../../../../../../../Downloads/$B$5" TargetMode="External"/><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3.bin"/><Relationship Id="rId1" Type="http://schemas.openxmlformats.org/officeDocument/2006/relationships/hyperlink" Target="../../../../../../../../Downloads/$B$5" TargetMode="External"/><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4.bin"/><Relationship Id="rId1" Type="http://schemas.openxmlformats.org/officeDocument/2006/relationships/hyperlink" Target="../../../../../../../../Downloads/$B$5" TargetMode="External"/><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5.bin"/><Relationship Id="rId1" Type="http://schemas.openxmlformats.org/officeDocument/2006/relationships/hyperlink" Target="../../../../../../../../Downloads/$B$5" TargetMode="External"/><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6.bin"/><Relationship Id="rId1" Type="http://schemas.openxmlformats.org/officeDocument/2006/relationships/hyperlink" Target="../../../../../../../../Downloads/$B$5" TargetMode="External"/><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7.bin"/><Relationship Id="rId1" Type="http://schemas.openxmlformats.org/officeDocument/2006/relationships/hyperlink" Target="../../../../../../../../Downloads/$B$5" TargetMode="External"/><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8.bin"/><Relationship Id="rId1" Type="http://schemas.openxmlformats.org/officeDocument/2006/relationships/hyperlink" Target="../../../../../../../../Downloads/$B$5" TargetMode="External"/><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9.bin"/><Relationship Id="rId1" Type="http://schemas.openxmlformats.org/officeDocument/2006/relationships/hyperlink" Target="../../../../../../../../Downloads/$B$5" TargetMode="External"/><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Downloads/$B$7"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0.bin"/><Relationship Id="rId1" Type="http://schemas.openxmlformats.org/officeDocument/2006/relationships/hyperlink" Target="../../../../../../../../Downloads/$B$5" TargetMode="External"/><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21.bin"/><Relationship Id="rId1" Type="http://schemas.openxmlformats.org/officeDocument/2006/relationships/hyperlink" Target="../../../../../../../../Downloads/$B$5" TargetMode="External"/><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2.bin"/><Relationship Id="rId1" Type="http://schemas.openxmlformats.org/officeDocument/2006/relationships/hyperlink" Target="../../../../../../../../Downloads/$B$5" TargetMode="External"/><Relationship Id="rId5" Type="http://schemas.openxmlformats.org/officeDocument/2006/relationships/comments" Target="../comments14.xml"/><Relationship Id="rId4"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3.bin"/><Relationship Id="rId1" Type="http://schemas.openxmlformats.org/officeDocument/2006/relationships/hyperlink" Target="../../../../../../../../Downloads/$B$5" TargetMode="External"/><Relationship Id="rId5" Type="http://schemas.openxmlformats.org/officeDocument/2006/relationships/comments" Target="../comments15.xml"/><Relationship Id="rId4"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4.bin"/><Relationship Id="rId1" Type="http://schemas.openxmlformats.org/officeDocument/2006/relationships/hyperlink" Target="../../../../../../../../Downloads/$B$5" TargetMode="External"/><Relationship Id="rId5" Type="http://schemas.openxmlformats.org/officeDocument/2006/relationships/comments" Target="../comments16.xml"/><Relationship Id="rId4" Type="http://schemas.openxmlformats.org/officeDocument/2006/relationships/vmlDrawing" Target="../drawings/vmlDrawing18.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5.bin"/><Relationship Id="rId1" Type="http://schemas.openxmlformats.org/officeDocument/2006/relationships/hyperlink" Target="../../../../../../../../Downloads/$B$5" TargetMode="External"/><Relationship Id="rId5" Type="http://schemas.openxmlformats.org/officeDocument/2006/relationships/comments" Target="../comments17.xml"/><Relationship Id="rId4" Type="http://schemas.openxmlformats.org/officeDocument/2006/relationships/vmlDrawing" Target="../drawings/vmlDrawing19.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6.bin"/><Relationship Id="rId1" Type="http://schemas.openxmlformats.org/officeDocument/2006/relationships/hyperlink" Target="../../../../../../../../Downloads/$B$5" TargetMode="External"/><Relationship Id="rId5" Type="http://schemas.openxmlformats.org/officeDocument/2006/relationships/comments" Target="../comments18.xml"/><Relationship Id="rId4" Type="http://schemas.openxmlformats.org/officeDocument/2006/relationships/vmlDrawing" Target="../drawings/vmlDrawing20.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7.bin"/><Relationship Id="rId1" Type="http://schemas.openxmlformats.org/officeDocument/2006/relationships/hyperlink" Target="../../../../../../../../Downloads/$B$5" TargetMode="External"/><Relationship Id="rId5" Type="http://schemas.openxmlformats.org/officeDocument/2006/relationships/comments" Target="../comments19.xml"/><Relationship Id="rId4" Type="http://schemas.openxmlformats.org/officeDocument/2006/relationships/vmlDrawing" Target="../drawings/vmlDrawing21.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8.bin"/><Relationship Id="rId1" Type="http://schemas.openxmlformats.org/officeDocument/2006/relationships/hyperlink" Target="../../../../../../../../Downloads/$B$5" TargetMode="External"/><Relationship Id="rId5" Type="http://schemas.openxmlformats.org/officeDocument/2006/relationships/comments" Target="../comments20.xml"/><Relationship Id="rId4" Type="http://schemas.openxmlformats.org/officeDocument/2006/relationships/vmlDrawing" Target="../drawings/vmlDrawing22.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9.bin"/><Relationship Id="rId1" Type="http://schemas.openxmlformats.org/officeDocument/2006/relationships/hyperlink" Target="../../../../../../../../Downloads/$B$5" TargetMode="External"/><Relationship Id="rId5" Type="http://schemas.openxmlformats.org/officeDocument/2006/relationships/comments" Target="../comments21.xml"/><Relationship Id="rId4" Type="http://schemas.openxmlformats.org/officeDocument/2006/relationships/vmlDrawing" Target="../drawings/vmlDrawing23.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0.bin"/><Relationship Id="rId1" Type="http://schemas.openxmlformats.org/officeDocument/2006/relationships/hyperlink" Target="../../../../../../../../Downloads/$B$5" TargetMode="External"/><Relationship Id="rId5" Type="http://schemas.openxmlformats.org/officeDocument/2006/relationships/comments" Target="../comments22.xml"/><Relationship Id="rId4" Type="http://schemas.openxmlformats.org/officeDocument/2006/relationships/vmlDrawing" Target="../drawings/vmlDrawing24.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1.bin"/><Relationship Id="rId1" Type="http://schemas.openxmlformats.org/officeDocument/2006/relationships/hyperlink" Target="../../../../../../../../Downloads/$B$5" TargetMode="External"/><Relationship Id="rId5" Type="http://schemas.openxmlformats.org/officeDocument/2006/relationships/comments" Target="../comments23.xml"/><Relationship Id="rId4" Type="http://schemas.openxmlformats.org/officeDocument/2006/relationships/vmlDrawing" Target="../drawings/vmlDrawing25.v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33.bin"/><Relationship Id="rId1" Type="http://schemas.openxmlformats.org/officeDocument/2006/relationships/hyperlink" Target="../../../../../../../../Downloads/$B$5" TargetMode="External"/><Relationship Id="rId4" Type="http://schemas.openxmlformats.org/officeDocument/2006/relationships/comments" Target="../comments24.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Downloads/$B$5"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Downloads/$B$5"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Downloads/$B$5"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Downloads/$B$5"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Downloads/$B$5"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microsoft.com/office/2017/10/relationships/threadedComment" Target="../threadedComments/threadedComment1.xml"/><Relationship Id="rId2" Type="http://schemas.openxmlformats.org/officeDocument/2006/relationships/hyperlink" Target="http://finsburysolutions.com/exchecker-advanced-validation/" TargetMode="External"/><Relationship Id="rId1" Type="http://schemas.openxmlformats.org/officeDocument/2006/relationships/hyperlink" Target="../../../../../../../../Downloads/$B$5"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Downloads/$B$5"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Downloads/$B$5" TargetMode="Externa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hyperlink" Target="../../../../../../../../Downloads/HL_Alt_Chk" TargetMode="External"/><Relationship Id="rId7" Type="http://schemas.openxmlformats.org/officeDocument/2006/relationships/ctrlProp" Target="../ctrlProps/ctrlProp2.xml"/><Relationship Id="rId2" Type="http://schemas.openxmlformats.org/officeDocument/2006/relationships/hyperlink" Target="../../../../../../../../Downloads/HL_Sens_Chk" TargetMode="External"/><Relationship Id="rId1" Type="http://schemas.openxmlformats.org/officeDocument/2006/relationships/hyperlink" Target="../../../../../../../../Downloads/$B$5" TargetMode="External"/><Relationship Id="rId6" Type="http://schemas.openxmlformats.org/officeDocument/2006/relationships/vmlDrawing" Target="../drawings/vmlDrawing3.vml"/><Relationship Id="rId5" Type="http://schemas.openxmlformats.org/officeDocument/2006/relationships/drawing" Target="../drawings/drawing7.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P35"/>
  <sheetViews>
    <sheetView showGridLines="0" showRowColHeaders="0" tabSelected="1" workbookViewId="0">
      <pane ySplit="27" topLeftCell="A30" activePane="bottomLeft" state="frozen"/>
      <selection pane="bottomLeft" activeCell="H18" sqref="H18"/>
    </sheetView>
  </sheetViews>
  <sheetFormatPr defaultColWidth="0" defaultRowHeight="11.4" zeroHeight="1" x14ac:dyDescent="0.2"/>
  <cols>
    <col min="1" max="6" width="3.75" customWidth="1"/>
    <col min="7" max="7" width="29.25" customWidth="1"/>
    <col min="8" max="16" width="11.75" customWidth="1"/>
    <col min="17" max="16384" width="11.75" hidden="1"/>
  </cols>
  <sheetData>
    <row r="1" spans="3:10" x14ac:dyDescent="0.2"/>
    <row r="2" spans="3:10" x14ac:dyDescent="0.2"/>
    <row r="3" spans="3:10" x14ac:dyDescent="0.2"/>
    <row r="4" spans="3:10" x14ac:dyDescent="0.2"/>
    <row r="5" spans="3:10" x14ac:dyDescent="0.2"/>
    <row r="6" spans="3:10" x14ac:dyDescent="0.2"/>
    <row r="7" spans="3:10" ht="13.8" x14ac:dyDescent="0.2">
      <c r="C7" s="18" t="s">
        <v>92</v>
      </c>
    </row>
    <row r="8" spans="3:10" ht="28.2" x14ac:dyDescent="0.2">
      <c r="C8" s="223" t="str">
        <f>"Financial Gap Analysis Tool "</f>
        <v xml:space="preserve">Financial Gap Analysis Tool </v>
      </c>
    </row>
    <row r="9" spans="3:10" ht="15.6" x14ac:dyDescent="0.2">
      <c r="C9" s="197" t="str">
        <f>Country</f>
        <v>País X (Datos de la muestra)</v>
      </c>
    </row>
    <row r="10" spans="3:10" x14ac:dyDescent="0.2"/>
    <row r="11" spans="3:10" ht="13.2" x14ac:dyDescent="0.2">
      <c r="C11" s="12"/>
    </row>
    <row r="12" spans="3:10" x14ac:dyDescent="0.2">
      <c r="F12" s="133" t="s">
        <v>157</v>
      </c>
      <c r="G12" s="135" t="str">
        <f ca="1">IF(ISERROR(MID(CELL("filename",$A$1),FIND("[",CELL("filename",$A$1))+1,FIND("]",CELL("filename",$A$1))-FIND("[",CELL("filename",$A$1))-1)),"This workbook never saved",MID(CELL("filename",$A$1),FIND("[",CELL("filename",$A$1))+1,FIND("]",CELL("filename",$A$1))-FIND("[",CELL("filename",$A$1))-1))</f>
        <v>089_Financial Gap Analysis Tool_SPA.xlsx</v>
      </c>
    </row>
    <row r="13" spans="3:10" ht="12" x14ac:dyDescent="0.2">
      <c r="F13" s="133" t="s">
        <v>156</v>
      </c>
      <c r="G13" s="158">
        <v>2.1</v>
      </c>
      <c r="I13" s="140" t="s">
        <v>513</v>
      </c>
    </row>
    <row r="14" spans="3:10" x14ac:dyDescent="0.2">
      <c r="F14" s="133" t="s">
        <v>514</v>
      </c>
      <c r="G14" s="159">
        <v>44078.70412037037</v>
      </c>
      <c r="H14" s="159"/>
      <c r="I14" s="159"/>
      <c r="J14" s="157"/>
    </row>
    <row r="15" spans="3:10" x14ac:dyDescent="0.2"/>
    <row r="16" spans="3:10" x14ac:dyDescent="0.2">
      <c r="D16" s="134"/>
    </row>
    <row r="17" spans="3:16" x14ac:dyDescent="0.2">
      <c r="D17" s="134" t="s">
        <v>158</v>
      </c>
    </row>
    <row r="18" spans="3:16" x14ac:dyDescent="0.2">
      <c r="D18" s="134" t="s">
        <v>427</v>
      </c>
    </row>
    <row r="19" spans="3:16" x14ac:dyDescent="0.2"/>
    <row r="20" spans="3:16" ht="12" x14ac:dyDescent="0.2">
      <c r="C20" s="3" t="s">
        <v>164</v>
      </c>
      <c r="H20" s="51" t="s">
        <v>470</v>
      </c>
    </row>
    <row r="21" spans="3:16" ht="12" x14ac:dyDescent="0.2">
      <c r="C21" s="3"/>
      <c r="G21" s="138" t="s">
        <v>165</v>
      </c>
    </row>
    <row r="22" spans="3:16" ht="12" x14ac:dyDescent="0.2">
      <c r="C22" s="3" t="s">
        <v>295</v>
      </c>
      <c r="G22" s="186" t="s">
        <v>296</v>
      </c>
    </row>
    <row r="23" spans="3:16" x14ac:dyDescent="0.2"/>
    <row r="24" spans="3:16" ht="22.2" customHeight="1" x14ac:dyDescent="0.2">
      <c r="C24" s="418" t="s">
        <v>522</v>
      </c>
      <c r="D24" s="418"/>
      <c r="E24" s="418"/>
      <c r="F24" s="418"/>
      <c r="G24" s="418"/>
      <c r="H24" s="418"/>
      <c r="I24" s="418"/>
      <c r="J24" s="418"/>
      <c r="K24" s="418"/>
      <c r="L24" s="418"/>
      <c r="M24" s="418"/>
      <c r="N24" s="418"/>
      <c r="O24" s="418"/>
      <c r="P24" s="418"/>
    </row>
    <row r="25" spans="3:16" x14ac:dyDescent="0.2">
      <c r="C25" s="4"/>
    </row>
    <row r="26" spans="3:16" ht="12" x14ac:dyDescent="0.2">
      <c r="C26" s="230" t="s">
        <v>515</v>
      </c>
    </row>
    <row r="27" spans="3:16" ht="22.5" customHeight="1" x14ac:dyDescent="0.2">
      <c r="C27" s="4" t="str">
        <f>"Financial Gap Analysis Tool - "&amp;Country</f>
        <v>Financial Gap Analysis Tool - País X (Datos de la muestra)</v>
      </c>
    </row>
    <row r="28" spans="3:16" x14ac:dyDescent="0.2"/>
    <row r="29" spans="3:16" ht="28.2" x14ac:dyDescent="0.2">
      <c r="D29" s="223"/>
    </row>
    <row r="30" spans="3:16" x14ac:dyDescent="0.2"/>
    <row r="31" spans="3:16" x14ac:dyDescent="0.2"/>
    <row r="32" spans="3:16" x14ac:dyDescent="0.2"/>
    <row r="33" x14ac:dyDescent="0.2"/>
    <row r="34" x14ac:dyDescent="0.2"/>
    <row r="35" x14ac:dyDescent="0.2"/>
  </sheetData>
  <mergeCells count="1">
    <mergeCell ref="C24:P24"/>
  </mergeCells>
  <hyperlinks>
    <hyperlink ref="G22" r:id="rId1" xr:uid="{00000000-0004-0000-0000-000000000000}"/>
  </hyperlinks>
  <pageMargins left="0.4" right="0.4" top="0.6" bottom="1" header="0" footer="0.3"/>
  <pageSetup orientation="landscape" horizontalDpi="1200" verticalDpi="1200"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FFC000"/>
  </sheetPr>
  <dimension ref="A1:K145"/>
  <sheetViews>
    <sheetView showGridLines="0" workbookViewId="0">
      <pane ySplit="4" topLeftCell="A23" activePane="bottomLeft" state="frozen"/>
      <selection pane="bottomLeft" activeCell="G59" sqref="G59"/>
    </sheetView>
  </sheetViews>
  <sheetFormatPr defaultColWidth="11.75" defaultRowHeight="11.4" x14ac:dyDescent="0.2"/>
  <cols>
    <col min="1" max="5" width="3.75" customWidth="1"/>
    <col min="6" max="6" width="50.75" customWidth="1"/>
    <col min="7" max="7" width="100.75" customWidth="1"/>
    <col min="8" max="8" width="47.375" customWidth="1"/>
    <col min="9" max="9" width="25.375" customWidth="1"/>
  </cols>
  <sheetData>
    <row r="1" spans="1:7" ht="13.8" x14ac:dyDescent="0.2">
      <c r="B1" s="143" t="str">
        <f ca="1">IF(ISERROR(RIGHT(CELL("filename",$A$1),LEN(CELL("filename",$A$1))-FIND("]",CELL("filename",$A$1)))),"This workbook never saved",RIGHT(CELL("filename",$A$1),LEN(CELL("filename",$A$1))-FIND("]",CELL("filename",$A$1))))</f>
        <v>Basic_Setup</v>
      </c>
    </row>
    <row r="2" spans="1:7" ht="13.2" x14ac:dyDescent="0.2">
      <c r="B2" s="5" t="str">
        <f>Model_Name</f>
        <v>Financial Gap Analysis Tool - País X (Datos de la muestra)</v>
      </c>
    </row>
    <row r="3" spans="1:7" x14ac:dyDescent="0.2">
      <c r="B3" s="425" t="s">
        <v>524</v>
      </c>
      <c r="C3" s="425"/>
      <c r="D3" s="425"/>
      <c r="E3" s="425"/>
      <c r="F3" s="425"/>
    </row>
    <row r="4" spans="1:7" x14ac:dyDescent="0.2">
      <c r="A4" s="6" t="s">
        <v>10</v>
      </c>
      <c r="B4" s="7" t="s">
        <v>2</v>
      </c>
      <c r="C4" s="402" t="s">
        <v>3</v>
      </c>
      <c r="D4" s="15"/>
      <c r="E4" s="16"/>
      <c r="F4" s="17"/>
    </row>
    <row r="6" spans="1:7" s="1" customFormat="1" x14ac:dyDescent="0.2">
      <c r="A6"/>
      <c r="B6" s="1" t="s">
        <v>405</v>
      </c>
    </row>
    <row r="8" spans="1:7" ht="12" x14ac:dyDescent="0.2">
      <c r="F8" s="44" t="s">
        <v>94</v>
      </c>
      <c r="G8" s="21" t="s">
        <v>516</v>
      </c>
    </row>
    <row r="10" spans="1:7" s="1" customFormat="1" x14ac:dyDescent="0.2">
      <c r="A10"/>
      <c r="B10" s="1" t="s">
        <v>406</v>
      </c>
    </row>
    <row r="12" spans="1:7" ht="12" x14ac:dyDescent="0.2">
      <c r="F12" s="44" t="s">
        <v>176</v>
      </c>
      <c r="G12" s="132">
        <v>2019</v>
      </c>
    </row>
    <row r="14" spans="1:7" s="1" customFormat="1" x14ac:dyDescent="0.2">
      <c r="A14"/>
      <c r="B14" s="1" t="s">
        <v>495</v>
      </c>
    </row>
    <row r="16" spans="1:7" ht="12" x14ac:dyDescent="0.2">
      <c r="F16" s="44" t="s">
        <v>93</v>
      </c>
    </row>
    <row r="18" spans="1:11" ht="12" x14ac:dyDescent="0.2">
      <c r="F18" s="44" t="s">
        <v>95</v>
      </c>
      <c r="G18" s="44" t="s">
        <v>96</v>
      </c>
    </row>
    <row r="19" spans="1:11" ht="12" x14ac:dyDescent="0.2">
      <c r="E19" s="151" t="s">
        <v>385</v>
      </c>
      <c r="F19" s="21" t="s">
        <v>97</v>
      </c>
      <c r="G19" s="21" t="s">
        <v>98</v>
      </c>
    </row>
    <row r="20" spans="1:11" ht="12" x14ac:dyDescent="0.2">
      <c r="E20" s="151" t="s">
        <v>386</v>
      </c>
      <c r="F20" s="21" t="s">
        <v>383</v>
      </c>
      <c r="G20" s="21" t="s">
        <v>384</v>
      </c>
    </row>
    <row r="22" spans="1:11" ht="12" x14ac:dyDescent="0.2">
      <c r="F22" s="45" t="str">
        <f>"Exchange Rate: "&amp;$G$20&amp;" to "&amp;$G$19</f>
        <v>Exchange Rate: GOZ to USD</v>
      </c>
      <c r="G22" s="37">
        <v>1800</v>
      </c>
    </row>
    <row r="23" spans="1:11" ht="12" x14ac:dyDescent="0.2">
      <c r="F23" s="151" t="s">
        <v>173</v>
      </c>
      <c r="G23" s="165">
        <v>43556</v>
      </c>
    </row>
    <row r="25" spans="1:11" ht="12" x14ac:dyDescent="0.2">
      <c r="F25" s="44" t="s">
        <v>4</v>
      </c>
      <c r="G25" s="49" t="s">
        <v>172</v>
      </c>
      <c r="I25" s="134" t="s">
        <v>177</v>
      </c>
    </row>
    <row r="26" spans="1:11" x14ac:dyDescent="0.2">
      <c r="I26" s="134" t="s">
        <v>179</v>
      </c>
    </row>
    <row r="27" spans="1:11" x14ac:dyDescent="0.2">
      <c r="K27" s="100" t="s">
        <v>178</v>
      </c>
    </row>
    <row r="29" spans="1:11" s="1" customFormat="1" x14ac:dyDescent="0.2">
      <c r="A29"/>
      <c r="B29" s="1" t="s">
        <v>407</v>
      </c>
    </row>
    <row r="32" spans="1:11" x14ac:dyDescent="0.2">
      <c r="F32" s="1" t="s">
        <v>289</v>
      </c>
      <c r="G32" s="1" t="s">
        <v>142</v>
      </c>
      <c r="H32" s="1" t="s">
        <v>136</v>
      </c>
    </row>
    <row r="34" spans="6:8" x14ac:dyDescent="0.2">
      <c r="F34" s="440" t="s">
        <v>428</v>
      </c>
      <c r="G34" s="36" t="s">
        <v>82</v>
      </c>
      <c r="H34" s="259">
        <v>3</v>
      </c>
    </row>
    <row r="35" spans="6:8" ht="22.8" x14ac:dyDescent="0.2">
      <c r="F35" s="441"/>
      <c r="G35" s="36" t="s">
        <v>83</v>
      </c>
      <c r="H35" s="258">
        <v>3</v>
      </c>
    </row>
    <row r="36" spans="6:8" x14ac:dyDescent="0.2">
      <c r="F36" s="441"/>
      <c r="G36" s="103" t="s">
        <v>496</v>
      </c>
      <c r="H36" s="258">
        <v>3</v>
      </c>
    </row>
    <row r="37" spans="6:8" x14ac:dyDescent="0.2">
      <c r="F37" s="441"/>
      <c r="G37" s="36" t="s">
        <v>84</v>
      </c>
      <c r="H37" s="258">
        <v>3</v>
      </c>
    </row>
    <row r="38" spans="6:8" x14ac:dyDescent="0.2">
      <c r="F38" s="442"/>
      <c r="G38" s="103" t="s">
        <v>498</v>
      </c>
      <c r="H38" s="258">
        <v>3</v>
      </c>
    </row>
    <row r="40" spans="6:8" ht="23.25" customHeight="1" x14ac:dyDescent="0.2">
      <c r="F40" s="440" t="s">
        <v>557</v>
      </c>
      <c r="G40" s="36" t="s">
        <v>85</v>
      </c>
      <c r="H40" s="259">
        <v>1</v>
      </c>
    </row>
    <row r="41" spans="6:8" ht="22.8" x14ac:dyDescent="0.2">
      <c r="F41" s="441"/>
      <c r="G41" s="36" t="s">
        <v>556</v>
      </c>
      <c r="H41" s="258">
        <v>2</v>
      </c>
    </row>
    <row r="42" spans="6:8" x14ac:dyDescent="0.2">
      <c r="F42" s="441"/>
      <c r="G42" s="36" t="s">
        <v>86</v>
      </c>
      <c r="H42" s="258">
        <v>1</v>
      </c>
    </row>
    <row r="43" spans="6:8" x14ac:dyDescent="0.2">
      <c r="F43" s="441"/>
      <c r="G43" s="36" t="s">
        <v>429</v>
      </c>
      <c r="H43" s="258">
        <v>1</v>
      </c>
    </row>
    <row r="44" spans="6:8" x14ac:dyDescent="0.2">
      <c r="F44" s="442"/>
      <c r="G44" s="103" t="s">
        <v>497</v>
      </c>
      <c r="H44" s="258">
        <v>1</v>
      </c>
    </row>
    <row r="45" spans="6:8" x14ac:dyDescent="0.2">
      <c r="H45" s="258">
        <v>1</v>
      </c>
    </row>
    <row r="46" spans="6:8" ht="11.7" customHeight="1" x14ac:dyDescent="0.2">
      <c r="F46" s="440" t="s">
        <v>430</v>
      </c>
      <c r="G46" s="36" t="s">
        <v>87</v>
      </c>
      <c r="H46" s="258">
        <v>1</v>
      </c>
    </row>
    <row r="47" spans="6:8" x14ac:dyDescent="0.2">
      <c r="F47" s="441"/>
      <c r="G47" s="36" t="s">
        <v>88</v>
      </c>
      <c r="H47" s="258">
        <v>2</v>
      </c>
    </row>
    <row r="48" spans="6:8" x14ac:dyDescent="0.2">
      <c r="F48" s="441"/>
      <c r="G48" s="36" t="s">
        <v>431</v>
      </c>
      <c r="H48" s="258">
        <v>1</v>
      </c>
    </row>
    <row r="49" spans="6:8" x14ac:dyDescent="0.2">
      <c r="F49" s="441"/>
      <c r="G49" s="36" t="s">
        <v>432</v>
      </c>
      <c r="H49" s="258">
        <v>1</v>
      </c>
    </row>
    <row r="50" spans="6:8" x14ac:dyDescent="0.2">
      <c r="F50" s="442"/>
      <c r="G50" s="103" t="s">
        <v>491</v>
      </c>
      <c r="H50" s="258">
        <v>1</v>
      </c>
    </row>
    <row r="52" spans="6:8" ht="11.7" customHeight="1" x14ac:dyDescent="0.2">
      <c r="F52" s="440" t="s">
        <v>433</v>
      </c>
      <c r="G52" s="36" t="s">
        <v>492</v>
      </c>
      <c r="H52" s="258">
        <v>2</v>
      </c>
    </row>
    <row r="53" spans="6:8" ht="22.8" x14ac:dyDescent="0.2">
      <c r="F53" s="441"/>
      <c r="G53" s="36" t="s">
        <v>493</v>
      </c>
      <c r="H53" s="258">
        <v>1</v>
      </c>
    </row>
    <row r="54" spans="6:8" x14ac:dyDescent="0.2">
      <c r="F54" s="441"/>
      <c r="G54" s="36" t="s">
        <v>89</v>
      </c>
      <c r="H54" s="258">
        <v>1</v>
      </c>
    </row>
    <row r="55" spans="6:8" x14ac:dyDescent="0.2">
      <c r="F55" s="441"/>
      <c r="G55" s="36" t="s">
        <v>434</v>
      </c>
      <c r="H55" s="258">
        <v>1</v>
      </c>
    </row>
    <row r="56" spans="6:8" x14ac:dyDescent="0.2">
      <c r="F56" s="442"/>
      <c r="G56" s="103" t="s">
        <v>499</v>
      </c>
      <c r="H56" s="258">
        <v>1</v>
      </c>
    </row>
    <row r="58" spans="6:8" ht="22.8" x14ac:dyDescent="0.2">
      <c r="F58" s="440" t="s">
        <v>494</v>
      </c>
      <c r="G58" s="36" t="s">
        <v>90</v>
      </c>
      <c r="H58" s="259">
        <v>1</v>
      </c>
    </row>
    <row r="59" spans="6:8" x14ac:dyDescent="0.2">
      <c r="F59" s="441"/>
      <c r="G59" s="36" t="s">
        <v>558</v>
      </c>
      <c r="H59" s="258">
        <v>1</v>
      </c>
    </row>
    <row r="60" spans="6:8" x14ac:dyDescent="0.2">
      <c r="F60" s="441"/>
      <c r="G60" s="36" t="s">
        <v>91</v>
      </c>
      <c r="H60" s="258">
        <v>2</v>
      </c>
    </row>
    <row r="61" spans="6:8" x14ac:dyDescent="0.2">
      <c r="F61" s="441"/>
      <c r="G61" s="36" t="s">
        <v>435</v>
      </c>
      <c r="H61" s="258">
        <v>1</v>
      </c>
    </row>
    <row r="62" spans="6:8" x14ac:dyDescent="0.2">
      <c r="F62" s="442"/>
      <c r="G62" s="103" t="s">
        <v>436</v>
      </c>
      <c r="H62" s="258">
        <v>1</v>
      </c>
    </row>
    <row r="64" spans="6:8" x14ac:dyDescent="0.2">
      <c r="F64" s="440" t="s">
        <v>437</v>
      </c>
      <c r="G64" s="47" t="s">
        <v>438</v>
      </c>
      <c r="H64" s="258">
        <v>1</v>
      </c>
    </row>
    <row r="65" spans="6:8" x14ac:dyDescent="0.2">
      <c r="F65" s="441"/>
      <c r="G65" s="103" t="s">
        <v>439</v>
      </c>
      <c r="H65" s="258">
        <v>1</v>
      </c>
    </row>
    <row r="66" spans="6:8" x14ac:dyDescent="0.2">
      <c r="F66" s="441"/>
      <c r="G66" s="103" t="s">
        <v>440</v>
      </c>
      <c r="H66" s="258">
        <v>1</v>
      </c>
    </row>
    <row r="67" spans="6:8" ht="11.25" customHeight="1" x14ac:dyDescent="0.2">
      <c r="F67" s="441"/>
      <c r="G67" s="103" t="s">
        <v>441</v>
      </c>
      <c r="H67" s="258">
        <v>1</v>
      </c>
    </row>
    <row r="68" spans="6:8" ht="11.25" customHeight="1" x14ac:dyDescent="0.2">
      <c r="F68" s="442"/>
      <c r="G68" s="103" t="s">
        <v>442</v>
      </c>
      <c r="H68" s="258">
        <v>1</v>
      </c>
    </row>
    <row r="70" spans="6:8" x14ac:dyDescent="0.2">
      <c r="F70" s="440" t="s">
        <v>443</v>
      </c>
      <c r="G70" s="47" t="s">
        <v>444</v>
      </c>
      <c r="H70" s="258">
        <v>1</v>
      </c>
    </row>
    <row r="71" spans="6:8" x14ac:dyDescent="0.2">
      <c r="F71" s="441"/>
      <c r="G71" s="47" t="s">
        <v>445</v>
      </c>
      <c r="H71" s="258">
        <v>1</v>
      </c>
    </row>
    <row r="72" spans="6:8" x14ac:dyDescent="0.2">
      <c r="F72" s="441"/>
      <c r="G72" s="47" t="s">
        <v>446</v>
      </c>
      <c r="H72" s="258">
        <v>1</v>
      </c>
    </row>
    <row r="73" spans="6:8" x14ac:dyDescent="0.2">
      <c r="F73" s="441"/>
      <c r="G73" s="47" t="s">
        <v>447</v>
      </c>
      <c r="H73" s="258">
        <v>1</v>
      </c>
    </row>
    <row r="74" spans="6:8" x14ac:dyDescent="0.2">
      <c r="F74" s="442"/>
      <c r="G74" s="103" t="s">
        <v>448</v>
      </c>
      <c r="H74" s="258">
        <v>1</v>
      </c>
    </row>
    <row r="76" spans="6:8" x14ac:dyDescent="0.2">
      <c r="F76" s="440" t="s">
        <v>449</v>
      </c>
      <c r="G76" s="47" t="s">
        <v>450</v>
      </c>
      <c r="H76" s="258">
        <v>1</v>
      </c>
    </row>
    <row r="77" spans="6:8" x14ac:dyDescent="0.2">
      <c r="F77" s="441"/>
      <c r="G77" s="47" t="s">
        <v>451</v>
      </c>
      <c r="H77" s="258">
        <v>1</v>
      </c>
    </row>
    <row r="78" spans="6:8" x14ac:dyDescent="0.2">
      <c r="F78" s="441"/>
      <c r="G78" s="47" t="s">
        <v>452</v>
      </c>
      <c r="H78" s="258">
        <v>1</v>
      </c>
    </row>
    <row r="79" spans="6:8" x14ac:dyDescent="0.2">
      <c r="F79" s="441"/>
      <c r="G79" s="47" t="s">
        <v>453</v>
      </c>
      <c r="H79" s="258">
        <v>1</v>
      </c>
    </row>
    <row r="80" spans="6:8" x14ac:dyDescent="0.2">
      <c r="F80" s="442"/>
      <c r="G80" s="103" t="s">
        <v>454</v>
      </c>
      <c r="H80" s="258">
        <v>1</v>
      </c>
    </row>
    <row r="82" spans="6:8" x14ac:dyDescent="0.2">
      <c r="F82" s="440" t="s">
        <v>455</v>
      </c>
      <c r="G82" s="47" t="s">
        <v>456</v>
      </c>
      <c r="H82" s="258">
        <v>1</v>
      </c>
    </row>
    <row r="83" spans="6:8" x14ac:dyDescent="0.2">
      <c r="F83" s="441"/>
      <c r="G83" s="103" t="s">
        <v>457</v>
      </c>
      <c r="H83" s="258">
        <v>1</v>
      </c>
    </row>
    <row r="84" spans="6:8" x14ac:dyDescent="0.2">
      <c r="F84" s="441"/>
      <c r="G84" s="47" t="s">
        <v>458</v>
      </c>
      <c r="H84" s="258">
        <v>1</v>
      </c>
    </row>
    <row r="85" spans="6:8" x14ac:dyDescent="0.2">
      <c r="F85" s="441"/>
      <c r="G85" s="47" t="s">
        <v>459</v>
      </c>
      <c r="H85" s="258">
        <v>1</v>
      </c>
    </row>
    <row r="86" spans="6:8" x14ac:dyDescent="0.2">
      <c r="F86" s="442"/>
      <c r="G86" s="103" t="s">
        <v>460</v>
      </c>
      <c r="H86" s="258">
        <v>1</v>
      </c>
    </row>
    <row r="88" spans="6:8" x14ac:dyDescent="0.2">
      <c r="F88" s="440" t="s">
        <v>461</v>
      </c>
      <c r="G88" s="47" t="s">
        <v>462</v>
      </c>
      <c r="H88" s="258">
        <v>1</v>
      </c>
    </row>
    <row r="89" spans="6:8" x14ac:dyDescent="0.2">
      <c r="F89" s="441"/>
      <c r="G89" s="47" t="s">
        <v>463</v>
      </c>
      <c r="H89" s="258">
        <v>1</v>
      </c>
    </row>
    <row r="90" spans="6:8" x14ac:dyDescent="0.2">
      <c r="F90" s="441"/>
      <c r="G90" s="47" t="s">
        <v>464</v>
      </c>
      <c r="H90" s="258">
        <v>1</v>
      </c>
    </row>
    <row r="91" spans="6:8" x14ac:dyDescent="0.2">
      <c r="F91" s="441"/>
      <c r="G91" s="47" t="s">
        <v>465</v>
      </c>
      <c r="H91" s="258">
        <v>1</v>
      </c>
    </row>
    <row r="92" spans="6:8" x14ac:dyDescent="0.2">
      <c r="F92" s="442"/>
      <c r="G92" s="103" t="s">
        <v>466</v>
      </c>
      <c r="H92" s="258">
        <v>1</v>
      </c>
    </row>
    <row r="96" spans="6:8" ht="12" x14ac:dyDescent="0.2">
      <c r="F96" s="44" t="s">
        <v>4</v>
      </c>
    </row>
    <row r="97" spans="1:7" x14ac:dyDescent="0.2">
      <c r="F97" s="49" t="s">
        <v>145</v>
      </c>
    </row>
    <row r="98" spans="1:7" x14ac:dyDescent="0.2">
      <c r="F98" s="49" t="s">
        <v>393</v>
      </c>
    </row>
    <row r="99" spans="1:7" x14ac:dyDescent="0.2">
      <c r="F99" s="49"/>
    </row>
    <row r="100" spans="1:7" x14ac:dyDescent="0.2">
      <c r="F100" s="49"/>
    </row>
    <row r="104" spans="1:7" s="1" customFormat="1" x14ac:dyDescent="0.2">
      <c r="A104"/>
      <c r="B104" s="1" t="s">
        <v>408</v>
      </c>
    </row>
    <row r="107" spans="1:7" x14ac:dyDescent="0.2">
      <c r="G107" s="1" t="s">
        <v>477</v>
      </c>
    </row>
    <row r="108" spans="1:7" x14ac:dyDescent="0.2">
      <c r="F108" s="134" t="s">
        <v>100</v>
      </c>
      <c r="G108" s="49" t="s">
        <v>180</v>
      </c>
    </row>
    <row r="109" spans="1:7" x14ac:dyDescent="0.2">
      <c r="F109" s="134" t="s">
        <v>101</v>
      </c>
      <c r="G109" s="49" t="s">
        <v>181</v>
      </c>
    </row>
    <row r="110" spans="1:7" x14ac:dyDescent="0.2">
      <c r="F110" s="134" t="s">
        <v>102</v>
      </c>
      <c r="G110" s="49" t="s">
        <v>105</v>
      </c>
    </row>
    <row r="111" spans="1:7" x14ac:dyDescent="0.2">
      <c r="F111" s="134" t="s">
        <v>103</v>
      </c>
      <c r="G111" s="49" t="s">
        <v>182</v>
      </c>
    </row>
    <row r="112" spans="1:7" x14ac:dyDescent="0.2">
      <c r="F112" s="134" t="s">
        <v>104</v>
      </c>
      <c r="G112" s="49" t="s">
        <v>183</v>
      </c>
    </row>
    <row r="113" spans="1:7" x14ac:dyDescent="0.2">
      <c r="F113" s="134" t="s">
        <v>123</v>
      </c>
      <c r="G113" s="49" t="s">
        <v>262</v>
      </c>
    </row>
    <row r="114" spans="1:7" x14ac:dyDescent="0.2">
      <c r="F114" s="134" t="s">
        <v>124</v>
      </c>
      <c r="G114" s="49" t="s">
        <v>262</v>
      </c>
    </row>
    <row r="115" spans="1:7" x14ac:dyDescent="0.2">
      <c r="F115" s="134" t="s">
        <v>125</v>
      </c>
      <c r="G115" s="49" t="s">
        <v>262</v>
      </c>
    </row>
    <row r="116" spans="1:7" x14ac:dyDescent="0.2">
      <c r="F116" s="134" t="s">
        <v>126</v>
      </c>
      <c r="G116" s="49" t="s">
        <v>262</v>
      </c>
    </row>
    <row r="117" spans="1:7" x14ac:dyDescent="0.2">
      <c r="F117" s="134" t="s">
        <v>127</v>
      </c>
      <c r="G117" s="49" t="s">
        <v>262</v>
      </c>
    </row>
    <row r="119" spans="1:7" ht="12" x14ac:dyDescent="0.2">
      <c r="F119" s="44" t="s">
        <v>4</v>
      </c>
    </row>
    <row r="120" spans="1:7" x14ac:dyDescent="0.2">
      <c r="F120" s="49" t="s">
        <v>145</v>
      </c>
    </row>
    <row r="121" spans="1:7" x14ac:dyDescent="0.2">
      <c r="F121" s="49" t="s">
        <v>393</v>
      </c>
    </row>
    <row r="122" spans="1:7" x14ac:dyDescent="0.2">
      <c r="F122" s="49"/>
    </row>
    <row r="123" spans="1:7" x14ac:dyDescent="0.2">
      <c r="F123" s="49"/>
    </row>
    <row r="126" spans="1:7" s="1" customFormat="1" x14ac:dyDescent="0.2">
      <c r="A126"/>
      <c r="B126" s="1" t="s">
        <v>409</v>
      </c>
    </row>
    <row r="128" spans="1:7" x14ac:dyDescent="0.2">
      <c r="G128" s="1" t="s">
        <v>478</v>
      </c>
    </row>
    <row r="129" spans="6:7" x14ac:dyDescent="0.2">
      <c r="F129" s="134" t="s">
        <v>113</v>
      </c>
      <c r="G129" s="49" t="s">
        <v>128</v>
      </c>
    </row>
    <row r="130" spans="6:7" x14ac:dyDescent="0.2">
      <c r="F130" s="134" t="s">
        <v>114</v>
      </c>
      <c r="G130" s="49" t="s">
        <v>129</v>
      </c>
    </row>
    <row r="131" spans="6:7" x14ac:dyDescent="0.2">
      <c r="F131" s="134" t="s">
        <v>115</v>
      </c>
      <c r="G131" s="49" t="s">
        <v>130</v>
      </c>
    </row>
    <row r="132" spans="6:7" x14ac:dyDescent="0.2">
      <c r="F132" s="134" t="s">
        <v>116</v>
      </c>
      <c r="G132" s="49" t="s">
        <v>131</v>
      </c>
    </row>
    <row r="133" spans="6:7" x14ac:dyDescent="0.2">
      <c r="F133" s="134" t="s">
        <v>117</v>
      </c>
      <c r="G133" s="49" t="s">
        <v>132</v>
      </c>
    </row>
    <row r="134" spans="6:7" x14ac:dyDescent="0.2">
      <c r="F134" s="134" t="s">
        <v>118</v>
      </c>
      <c r="G134" s="49" t="s">
        <v>133</v>
      </c>
    </row>
    <row r="135" spans="6:7" x14ac:dyDescent="0.2">
      <c r="F135" s="134" t="s">
        <v>119</v>
      </c>
      <c r="G135" s="49" t="s">
        <v>134</v>
      </c>
    </row>
    <row r="136" spans="6:7" x14ac:dyDescent="0.2">
      <c r="F136" s="134" t="s">
        <v>120</v>
      </c>
      <c r="G136" s="49" t="s">
        <v>135</v>
      </c>
    </row>
    <row r="137" spans="6:7" x14ac:dyDescent="0.2">
      <c r="F137" s="134" t="s">
        <v>121</v>
      </c>
      <c r="G137" s="49" t="s">
        <v>262</v>
      </c>
    </row>
    <row r="138" spans="6:7" x14ac:dyDescent="0.2">
      <c r="F138" s="134" t="s">
        <v>122</v>
      </c>
      <c r="G138" s="49" t="s">
        <v>262</v>
      </c>
    </row>
    <row r="141" spans="6:7" ht="12" x14ac:dyDescent="0.2">
      <c r="F141" s="44" t="s">
        <v>4</v>
      </c>
    </row>
    <row r="142" spans="6:7" x14ac:dyDescent="0.2">
      <c r="F142" s="49" t="s">
        <v>145</v>
      </c>
    </row>
    <row r="143" spans="6:7" x14ac:dyDescent="0.2">
      <c r="F143" s="49" t="s">
        <v>393</v>
      </c>
    </row>
    <row r="144" spans="6:7" x14ac:dyDescent="0.2">
      <c r="F144" s="49"/>
    </row>
    <row r="145" spans="6:6" x14ac:dyDescent="0.2">
      <c r="F145" s="49"/>
    </row>
  </sheetData>
  <mergeCells count="11">
    <mergeCell ref="B3:F3"/>
    <mergeCell ref="F34:F38"/>
    <mergeCell ref="F40:F44"/>
    <mergeCell ref="F58:F62"/>
    <mergeCell ref="F52:F56"/>
    <mergeCell ref="F46:F50"/>
    <mergeCell ref="F88:F92"/>
    <mergeCell ref="F82:F86"/>
    <mergeCell ref="F76:F80"/>
    <mergeCell ref="F70:F74"/>
    <mergeCell ref="F64:F68"/>
  </mergeCells>
  <dataValidations count="3">
    <dataValidation type="custom" showErrorMessage="1" errorTitle="Invalid Assumption" error="Assumption must be a number." sqref="G22" xr:uid="{00000000-0002-0000-0900-000000000000}">
      <formula1>NOT(ISERROR(G22/1))</formula1>
    </dataValidation>
    <dataValidation type="whole" operator="greaterThanOrEqual" showErrorMessage="1" errorTitle="First Financial Year" error="The first financial year must be a whole number greater than or equal to 1904." sqref="G12" xr:uid="{00000000-0002-0000-0900-000001000000}">
      <formula1>1904</formula1>
    </dataValidation>
    <dataValidation type="whole" showErrorMessage="1" errorTitle="Drop Down Box Cell Link" error="The value in a drop down box cell link must be a whole number within the control's lookup range rows." sqref="H34:H38 H88:H92 H82:H86 H76:H80 H70:H74 H64:H68 H58:H62 H52:H56 H40:H50" xr:uid="{00000000-0002-0000-0900-000002000000}">
      <formula1>1</formula1>
      <formula2>ROWS(Lu_Nutrition_Result_Type)</formula2>
    </dataValidation>
  </dataValidations>
  <hyperlinks>
    <hyperlink ref="A4" r:id="rId1" tooltip="Go to Top of Sheet" xr:uid="{00000000-0004-0000-0900-000000000000}"/>
    <hyperlink ref="K27" r:id="rId2" xr:uid="{00000000-0004-0000-0900-000001000000}"/>
    <hyperlink ref="B4" location="HL_Sheet_Main_2" tooltip="Go to Previous Sheet" display="ç" xr:uid="{00000000-0004-0000-0900-000002000000}"/>
    <hyperlink ref="C4" location="'Financial Req'!HL_Sheet_Main_13" tooltip="Go to Next Sheet" display="'è" xr:uid="{00000000-0004-0000-0900-000003000000}"/>
    <hyperlink ref="B3" location="HL_Home" tooltip="Go to Table of Contents" display="Ir al índice" xr:uid="{00000000-0004-0000-0900-000004000000}"/>
  </hyperlinks>
  <pageMargins left="0.4" right="0.4" top="0.6" bottom="1" header="0" footer="0.3"/>
  <pageSetup orientation="landscape" r:id="rId3"/>
  <headerFooter>
    <oddFooter>&amp;L&amp;F
&amp;A
Impreso: &amp;T en &amp;D&amp;C&amp;",Bold"Sheet 2.a.
Página &amp;P de &amp;N</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6482" r:id="rId6" name="DropDown">
              <controlPr defaultSize="0" autoLine="0" autoPict="0">
                <anchor moveWithCells="1" sizeWithCells="1">
                  <from>
                    <xdr:col>7</xdr:col>
                    <xdr:colOff>0</xdr:colOff>
                    <xdr:row>34</xdr:row>
                    <xdr:rowOff>0</xdr:rowOff>
                  </from>
                  <to>
                    <xdr:col>8</xdr:col>
                    <xdr:colOff>0</xdr:colOff>
                    <xdr:row>35</xdr:row>
                    <xdr:rowOff>0</xdr:rowOff>
                  </to>
                </anchor>
              </controlPr>
            </control>
          </mc:Choice>
        </mc:AlternateContent>
        <mc:AlternateContent xmlns:mc="http://schemas.openxmlformats.org/markup-compatibility/2006">
          <mc:Choice Requires="x14">
            <control shapeId="16484" r:id="rId7" name="DropDown">
              <controlPr defaultSize="0" autoLine="0" autoPict="0">
                <anchor moveWithCells="1" sizeWithCells="1">
                  <from>
                    <xdr:col>7</xdr:col>
                    <xdr:colOff>0</xdr:colOff>
                    <xdr:row>35</xdr:row>
                    <xdr:rowOff>0</xdr:rowOff>
                  </from>
                  <to>
                    <xdr:col>8</xdr:col>
                    <xdr:colOff>0</xdr:colOff>
                    <xdr:row>36</xdr:row>
                    <xdr:rowOff>0</xdr:rowOff>
                  </to>
                </anchor>
              </controlPr>
            </control>
          </mc:Choice>
        </mc:AlternateContent>
        <mc:AlternateContent xmlns:mc="http://schemas.openxmlformats.org/markup-compatibility/2006">
          <mc:Choice Requires="x14">
            <control shapeId="16486" r:id="rId8" name="DropDown">
              <controlPr defaultSize="0" autoLine="0" autoPict="0">
                <anchor moveWithCells="1" sizeWithCells="1">
                  <from>
                    <xdr:col>7</xdr:col>
                    <xdr:colOff>0</xdr:colOff>
                    <xdr:row>36</xdr:row>
                    <xdr:rowOff>0</xdr:rowOff>
                  </from>
                  <to>
                    <xdr:col>8</xdr:col>
                    <xdr:colOff>0</xdr:colOff>
                    <xdr:row>37</xdr:row>
                    <xdr:rowOff>0</xdr:rowOff>
                  </to>
                </anchor>
              </controlPr>
            </control>
          </mc:Choice>
        </mc:AlternateContent>
        <mc:AlternateContent xmlns:mc="http://schemas.openxmlformats.org/markup-compatibility/2006">
          <mc:Choice Requires="x14">
            <control shapeId="16488" r:id="rId9" name="DropDown">
              <controlPr defaultSize="0" autoLine="0" autoPict="0">
                <anchor moveWithCells="1" sizeWithCells="1">
                  <from>
                    <xdr:col>7</xdr:col>
                    <xdr:colOff>0</xdr:colOff>
                    <xdr:row>37</xdr:row>
                    <xdr:rowOff>0</xdr:rowOff>
                  </from>
                  <to>
                    <xdr:col>8</xdr:col>
                    <xdr:colOff>0</xdr:colOff>
                    <xdr:row>38</xdr:row>
                    <xdr:rowOff>0</xdr:rowOff>
                  </to>
                </anchor>
              </controlPr>
            </control>
          </mc:Choice>
        </mc:AlternateContent>
        <mc:AlternateContent xmlns:mc="http://schemas.openxmlformats.org/markup-compatibility/2006">
          <mc:Choice Requires="x14">
            <control shapeId="16502" r:id="rId10" name="Drop Down 119">
              <controlPr defaultSize="0" autoLine="0" autoPict="0">
                <anchor moveWithCells="1" sizeWithCells="1">
                  <from>
                    <xdr:col>7</xdr:col>
                    <xdr:colOff>0</xdr:colOff>
                    <xdr:row>40</xdr:row>
                    <xdr:rowOff>0</xdr:rowOff>
                  </from>
                  <to>
                    <xdr:col>8</xdr:col>
                    <xdr:colOff>0</xdr:colOff>
                    <xdr:row>41</xdr:row>
                    <xdr:rowOff>0</xdr:rowOff>
                  </to>
                </anchor>
              </controlPr>
            </control>
          </mc:Choice>
        </mc:AlternateContent>
        <mc:AlternateContent xmlns:mc="http://schemas.openxmlformats.org/markup-compatibility/2006">
          <mc:Choice Requires="x14">
            <control shapeId="16504" r:id="rId11" name="Drop Down 121">
              <controlPr defaultSize="0" autoLine="0" autoPict="0">
                <anchor moveWithCells="1" sizeWithCells="1">
                  <from>
                    <xdr:col>7</xdr:col>
                    <xdr:colOff>0</xdr:colOff>
                    <xdr:row>41</xdr:row>
                    <xdr:rowOff>0</xdr:rowOff>
                  </from>
                  <to>
                    <xdr:col>8</xdr:col>
                    <xdr:colOff>0</xdr:colOff>
                    <xdr:row>42</xdr:row>
                    <xdr:rowOff>0</xdr:rowOff>
                  </to>
                </anchor>
              </controlPr>
            </control>
          </mc:Choice>
        </mc:AlternateContent>
        <mc:AlternateContent xmlns:mc="http://schemas.openxmlformats.org/markup-compatibility/2006">
          <mc:Choice Requires="x14">
            <control shapeId="16506" r:id="rId12" name="Drop Down 123">
              <controlPr defaultSize="0" autoLine="0" autoPict="0">
                <anchor moveWithCells="1" sizeWithCells="1">
                  <from>
                    <xdr:col>7</xdr:col>
                    <xdr:colOff>0</xdr:colOff>
                    <xdr:row>42</xdr:row>
                    <xdr:rowOff>0</xdr:rowOff>
                  </from>
                  <to>
                    <xdr:col>8</xdr:col>
                    <xdr:colOff>0</xdr:colOff>
                    <xdr:row>43</xdr:row>
                    <xdr:rowOff>0</xdr:rowOff>
                  </to>
                </anchor>
              </controlPr>
            </control>
          </mc:Choice>
        </mc:AlternateContent>
        <mc:AlternateContent xmlns:mc="http://schemas.openxmlformats.org/markup-compatibility/2006">
          <mc:Choice Requires="x14">
            <control shapeId="16508" r:id="rId13" name="Drop Down 125">
              <controlPr defaultSize="0" autoLine="0" autoPict="0">
                <anchor moveWithCells="1" sizeWithCells="1">
                  <from>
                    <xdr:col>7</xdr:col>
                    <xdr:colOff>0</xdr:colOff>
                    <xdr:row>43</xdr:row>
                    <xdr:rowOff>0</xdr:rowOff>
                  </from>
                  <to>
                    <xdr:col>8</xdr:col>
                    <xdr:colOff>0</xdr:colOff>
                    <xdr:row>44</xdr:row>
                    <xdr:rowOff>0</xdr:rowOff>
                  </to>
                </anchor>
              </controlPr>
            </control>
          </mc:Choice>
        </mc:AlternateContent>
        <mc:AlternateContent xmlns:mc="http://schemas.openxmlformats.org/markup-compatibility/2006">
          <mc:Choice Requires="x14">
            <control shapeId="16510" r:id="rId14" name="Drop Down 127">
              <controlPr defaultSize="0" autoLine="0" autoPict="0">
                <anchor moveWithCells="1" sizeWithCells="1">
                  <from>
                    <xdr:col>7</xdr:col>
                    <xdr:colOff>0</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16512" r:id="rId15" name="Drop Down 129">
              <controlPr defaultSize="0" autoLine="0" autoPict="0">
                <anchor moveWithCells="1" sizeWithCells="1">
                  <from>
                    <xdr:col>7</xdr:col>
                    <xdr:colOff>0</xdr:colOff>
                    <xdr:row>46</xdr:row>
                    <xdr:rowOff>0</xdr:rowOff>
                  </from>
                  <to>
                    <xdr:col>8</xdr:col>
                    <xdr:colOff>0</xdr:colOff>
                    <xdr:row>47</xdr:row>
                    <xdr:rowOff>0</xdr:rowOff>
                  </to>
                </anchor>
              </controlPr>
            </control>
          </mc:Choice>
        </mc:AlternateContent>
        <mc:AlternateContent xmlns:mc="http://schemas.openxmlformats.org/markup-compatibility/2006">
          <mc:Choice Requires="x14">
            <control shapeId="16514" r:id="rId16" name="Drop Down 131">
              <controlPr defaultSize="0" autoLine="0" autoPict="0">
                <anchor moveWithCells="1" sizeWithCells="1">
                  <from>
                    <xdr:col>7</xdr:col>
                    <xdr:colOff>0</xdr:colOff>
                    <xdr:row>47</xdr:row>
                    <xdr:rowOff>0</xdr:rowOff>
                  </from>
                  <to>
                    <xdr:col>8</xdr:col>
                    <xdr:colOff>0</xdr:colOff>
                    <xdr:row>48</xdr:row>
                    <xdr:rowOff>0</xdr:rowOff>
                  </to>
                </anchor>
              </controlPr>
            </control>
          </mc:Choice>
        </mc:AlternateContent>
        <mc:AlternateContent xmlns:mc="http://schemas.openxmlformats.org/markup-compatibility/2006">
          <mc:Choice Requires="x14">
            <control shapeId="16516" r:id="rId17" name="Drop Down 133">
              <controlPr defaultSize="0" autoLine="0" autoPict="0">
                <anchor moveWithCells="1" sizeWithCells="1">
                  <from>
                    <xdr:col>7</xdr:col>
                    <xdr:colOff>0</xdr:colOff>
                    <xdr:row>48</xdr:row>
                    <xdr:rowOff>0</xdr:rowOff>
                  </from>
                  <to>
                    <xdr:col>8</xdr:col>
                    <xdr:colOff>0</xdr:colOff>
                    <xdr:row>49</xdr:row>
                    <xdr:rowOff>0</xdr:rowOff>
                  </to>
                </anchor>
              </controlPr>
            </control>
          </mc:Choice>
        </mc:AlternateContent>
        <mc:AlternateContent xmlns:mc="http://schemas.openxmlformats.org/markup-compatibility/2006">
          <mc:Choice Requires="x14">
            <control shapeId="16518" r:id="rId18" name="Drop Down 135">
              <controlPr defaultSize="0" autoLine="0" autoPict="0">
                <anchor moveWithCells="1" sizeWithCells="1">
                  <from>
                    <xdr:col>7</xdr:col>
                    <xdr:colOff>0</xdr:colOff>
                    <xdr:row>49</xdr:row>
                    <xdr:rowOff>0</xdr:rowOff>
                  </from>
                  <to>
                    <xdr:col>8</xdr:col>
                    <xdr:colOff>0</xdr:colOff>
                    <xdr:row>50</xdr:row>
                    <xdr:rowOff>0</xdr:rowOff>
                  </to>
                </anchor>
              </controlPr>
            </control>
          </mc:Choice>
        </mc:AlternateContent>
        <mc:AlternateContent xmlns:mc="http://schemas.openxmlformats.org/markup-compatibility/2006">
          <mc:Choice Requires="x14">
            <control shapeId="16520" r:id="rId19" name="Drop Down 137">
              <controlPr defaultSize="0" autoLine="0" autoPict="0">
                <anchor moveWithCells="1" sizeWithCells="1">
                  <from>
                    <xdr:col>7</xdr:col>
                    <xdr:colOff>0</xdr:colOff>
                    <xdr:row>51</xdr:row>
                    <xdr:rowOff>0</xdr:rowOff>
                  </from>
                  <to>
                    <xdr:col>8</xdr:col>
                    <xdr:colOff>0</xdr:colOff>
                    <xdr:row>52</xdr:row>
                    <xdr:rowOff>0</xdr:rowOff>
                  </to>
                </anchor>
              </controlPr>
            </control>
          </mc:Choice>
        </mc:AlternateContent>
        <mc:AlternateContent xmlns:mc="http://schemas.openxmlformats.org/markup-compatibility/2006">
          <mc:Choice Requires="x14">
            <control shapeId="16522" r:id="rId20" name="Drop Down 139">
              <controlPr defaultSize="0" autoLine="0" autoPict="0">
                <anchor moveWithCells="1" sizeWithCells="1">
                  <from>
                    <xdr:col>7</xdr:col>
                    <xdr:colOff>0</xdr:colOff>
                    <xdr:row>52</xdr:row>
                    <xdr:rowOff>0</xdr:rowOff>
                  </from>
                  <to>
                    <xdr:col>8</xdr:col>
                    <xdr:colOff>0</xdr:colOff>
                    <xdr:row>53</xdr:row>
                    <xdr:rowOff>0</xdr:rowOff>
                  </to>
                </anchor>
              </controlPr>
            </control>
          </mc:Choice>
        </mc:AlternateContent>
        <mc:AlternateContent xmlns:mc="http://schemas.openxmlformats.org/markup-compatibility/2006">
          <mc:Choice Requires="x14">
            <control shapeId="16524" r:id="rId21" name="Drop Down 141">
              <controlPr defaultSize="0" autoLine="0" autoPict="0">
                <anchor moveWithCells="1" sizeWithCells="1">
                  <from>
                    <xdr:col>7</xdr:col>
                    <xdr:colOff>0</xdr:colOff>
                    <xdr:row>53</xdr:row>
                    <xdr:rowOff>0</xdr:rowOff>
                  </from>
                  <to>
                    <xdr:col>8</xdr:col>
                    <xdr:colOff>0</xdr:colOff>
                    <xdr:row>54</xdr:row>
                    <xdr:rowOff>0</xdr:rowOff>
                  </to>
                </anchor>
              </controlPr>
            </control>
          </mc:Choice>
        </mc:AlternateContent>
        <mc:AlternateContent xmlns:mc="http://schemas.openxmlformats.org/markup-compatibility/2006">
          <mc:Choice Requires="x14">
            <control shapeId="16526" r:id="rId22" name="Drop Down 143">
              <controlPr defaultSize="0" autoLine="0" autoPict="0">
                <anchor moveWithCells="1" sizeWithCells="1">
                  <from>
                    <xdr:col>7</xdr:col>
                    <xdr:colOff>0</xdr:colOff>
                    <xdr:row>54</xdr:row>
                    <xdr:rowOff>0</xdr:rowOff>
                  </from>
                  <to>
                    <xdr:col>8</xdr:col>
                    <xdr:colOff>0</xdr:colOff>
                    <xdr:row>55</xdr:row>
                    <xdr:rowOff>0</xdr:rowOff>
                  </to>
                </anchor>
              </controlPr>
            </control>
          </mc:Choice>
        </mc:AlternateContent>
        <mc:AlternateContent xmlns:mc="http://schemas.openxmlformats.org/markup-compatibility/2006">
          <mc:Choice Requires="x14">
            <control shapeId="16528" r:id="rId23" name="Drop Down 145">
              <controlPr defaultSize="0" autoLine="0" autoPict="0">
                <anchor moveWithCells="1" sizeWithCells="1">
                  <from>
                    <xdr:col>7</xdr:col>
                    <xdr:colOff>0</xdr:colOff>
                    <xdr:row>55</xdr:row>
                    <xdr:rowOff>0</xdr:rowOff>
                  </from>
                  <to>
                    <xdr:col>8</xdr:col>
                    <xdr:colOff>0</xdr:colOff>
                    <xdr:row>56</xdr:row>
                    <xdr:rowOff>0</xdr:rowOff>
                  </to>
                </anchor>
              </controlPr>
            </control>
          </mc:Choice>
        </mc:AlternateContent>
        <mc:AlternateContent xmlns:mc="http://schemas.openxmlformats.org/markup-compatibility/2006">
          <mc:Choice Requires="x14">
            <control shapeId="16532" r:id="rId24" name="Drop Down 149">
              <controlPr defaultSize="0" autoLine="0" autoPict="0">
                <anchor moveWithCells="1" sizeWithCells="1">
                  <from>
                    <xdr:col>7</xdr:col>
                    <xdr:colOff>0</xdr:colOff>
                    <xdr:row>58</xdr:row>
                    <xdr:rowOff>0</xdr:rowOff>
                  </from>
                  <to>
                    <xdr:col>8</xdr:col>
                    <xdr:colOff>0</xdr:colOff>
                    <xdr:row>59</xdr:row>
                    <xdr:rowOff>0</xdr:rowOff>
                  </to>
                </anchor>
              </controlPr>
            </control>
          </mc:Choice>
        </mc:AlternateContent>
        <mc:AlternateContent xmlns:mc="http://schemas.openxmlformats.org/markup-compatibility/2006">
          <mc:Choice Requires="x14">
            <control shapeId="16534" r:id="rId25" name="Drop Down 151">
              <controlPr defaultSize="0" autoLine="0" autoPict="0">
                <anchor moveWithCells="1" sizeWithCells="1">
                  <from>
                    <xdr:col>7</xdr:col>
                    <xdr:colOff>0</xdr:colOff>
                    <xdr:row>59</xdr:row>
                    <xdr:rowOff>0</xdr:rowOff>
                  </from>
                  <to>
                    <xdr:col>8</xdr:col>
                    <xdr:colOff>0</xdr:colOff>
                    <xdr:row>60</xdr:row>
                    <xdr:rowOff>0</xdr:rowOff>
                  </to>
                </anchor>
              </controlPr>
            </control>
          </mc:Choice>
        </mc:AlternateContent>
        <mc:AlternateContent xmlns:mc="http://schemas.openxmlformats.org/markup-compatibility/2006">
          <mc:Choice Requires="x14">
            <control shapeId="16536" r:id="rId26" name="Drop Down 153">
              <controlPr defaultSize="0" autoLine="0" autoPict="0">
                <anchor moveWithCells="1" sizeWithCells="1">
                  <from>
                    <xdr:col>7</xdr:col>
                    <xdr:colOff>0</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16538" r:id="rId27" name="Drop Down 155">
              <controlPr defaultSize="0" autoLine="0" autoPict="0">
                <anchor moveWithCells="1" sizeWithCells="1">
                  <from>
                    <xdr:col>7</xdr:col>
                    <xdr:colOff>0</xdr:colOff>
                    <xdr:row>61</xdr:row>
                    <xdr:rowOff>0</xdr:rowOff>
                  </from>
                  <to>
                    <xdr:col>8</xdr:col>
                    <xdr:colOff>0</xdr:colOff>
                    <xdr:row>62</xdr:row>
                    <xdr:rowOff>0</xdr:rowOff>
                  </to>
                </anchor>
              </controlPr>
            </control>
          </mc:Choice>
        </mc:AlternateContent>
        <mc:AlternateContent xmlns:mc="http://schemas.openxmlformats.org/markup-compatibility/2006">
          <mc:Choice Requires="x14">
            <control shapeId="16540" r:id="rId28" name="Drop Down 157">
              <controlPr defaultSize="0" autoLine="0" autoPict="0">
                <anchor moveWithCells="1" sizeWithCells="1">
                  <from>
                    <xdr:col>7</xdr:col>
                    <xdr:colOff>0</xdr:colOff>
                    <xdr:row>63</xdr:row>
                    <xdr:rowOff>0</xdr:rowOff>
                  </from>
                  <to>
                    <xdr:col>8</xdr:col>
                    <xdr:colOff>0</xdr:colOff>
                    <xdr:row>64</xdr:row>
                    <xdr:rowOff>0</xdr:rowOff>
                  </to>
                </anchor>
              </controlPr>
            </control>
          </mc:Choice>
        </mc:AlternateContent>
        <mc:AlternateContent xmlns:mc="http://schemas.openxmlformats.org/markup-compatibility/2006">
          <mc:Choice Requires="x14">
            <control shapeId="16542" r:id="rId29" name="Drop Down 159">
              <controlPr defaultSize="0" autoLine="0" autoPict="0">
                <anchor moveWithCells="1" sizeWithCells="1">
                  <from>
                    <xdr:col>7</xdr:col>
                    <xdr:colOff>0</xdr:colOff>
                    <xdr:row>64</xdr:row>
                    <xdr:rowOff>0</xdr:rowOff>
                  </from>
                  <to>
                    <xdr:col>8</xdr:col>
                    <xdr:colOff>0</xdr:colOff>
                    <xdr:row>65</xdr:row>
                    <xdr:rowOff>0</xdr:rowOff>
                  </to>
                </anchor>
              </controlPr>
            </control>
          </mc:Choice>
        </mc:AlternateContent>
        <mc:AlternateContent xmlns:mc="http://schemas.openxmlformats.org/markup-compatibility/2006">
          <mc:Choice Requires="x14">
            <control shapeId="16544" r:id="rId30" name="Drop Down 161">
              <controlPr defaultSize="0" autoLine="0" autoPict="0">
                <anchor moveWithCells="1" sizeWithCells="1">
                  <from>
                    <xdr:col>7</xdr:col>
                    <xdr:colOff>0</xdr:colOff>
                    <xdr:row>65</xdr:row>
                    <xdr:rowOff>0</xdr:rowOff>
                  </from>
                  <to>
                    <xdr:col>8</xdr:col>
                    <xdr:colOff>0</xdr:colOff>
                    <xdr:row>66</xdr:row>
                    <xdr:rowOff>0</xdr:rowOff>
                  </to>
                </anchor>
              </controlPr>
            </control>
          </mc:Choice>
        </mc:AlternateContent>
        <mc:AlternateContent xmlns:mc="http://schemas.openxmlformats.org/markup-compatibility/2006">
          <mc:Choice Requires="x14">
            <control shapeId="16546" r:id="rId31" name="Drop Down 163">
              <controlPr defaultSize="0" autoLine="0" autoPict="0">
                <anchor moveWithCells="1" sizeWithCells="1">
                  <from>
                    <xdr:col>7</xdr:col>
                    <xdr:colOff>0</xdr:colOff>
                    <xdr:row>66</xdr:row>
                    <xdr:rowOff>0</xdr:rowOff>
                  </from>
                  <to>
                    <xdr:col>8</xdr:col>
                    <xdr:colOff>0</xdr:colOff>
                    <xdr:row>67</xdr:row>
                    <xdr:rowOff>0</xdr:rowOff>
                  </to>
                </anchor>
              </controlPr>
            </control>
          </mc:Choice>
        </mc:AlternateContent>
        <mc:AlternateContent xmlns:mc="http://schemas.openxmlformats.org/markup-compatibility/2006">
          <mc:Choice Requires="x14">
            <control shapeId="16548" r:id="rId32" name="Drop Down 165">
              <controlPr defaultSize="0" autoLine="0" autoPict="0">
                <anchor moveWithCells="1" sizeWithCells="1">
                  <from>
                    <xdr:col>7</xdr:col>
                    <xdr:colOff>0</xdr:colOff>
                    <xdr:row>67</xdr:row>
                    <xdr:rowOff>0</xdr:rowOff>
                  </from>
                  <to>
                    <xdr:col>8</xdr:col>
                    <xdr:colOff>0</xdr:colOff>
                    <xdr:row>68</xdr:row>
                    <xdr:rowOff>0</xdr:rowOff>
                  </to>
                </anchor>
              </controlPr>
            </control>
          </mc:Choice>
        </mc:AlternateContent>
        <mc:AlternateContent xmlns:mc="http://schemas.openxmlformats.org/markup-compatibility/2006">
          <mc:Choice Requires="x14">
            <control shapeId="16550" r:id="rId33" name="Drop Down 167">
              <controlPr defaultSize="0" autoLine="0" autoPict="0">
                <anchor moveWithCells="1" sizeWithCells="1">
                  <from>
                    <xdr:col>7</xdr:col>
                    <xdr:colOff>0</xdr:colOff>
                    <xdr:row>69</xdr:row>
                    <xdr:rowOff>0</xdr:rowOff>
                  </from>
                  <to>
                    <xdr:col>8</xdr:col>
                    <xdr:colOff>0</xdr:colOff>
                    <xdr:row>70</xdr:row>
                    <xdr:rowOff>0</xdr:rowOff>
                  </to>
                </anchor>
              </controlPr>
            </control>
          </mc:Choice>
        </mc:AlternateContent>
        <mc:AlternateContent xmlns:mc="http://schemas.openxmlformats.org/markup-compatibility/2006">
          <mc:Choice Requires="x14">
            <control shapeId="16552" r:id="rId34" name="Drop Down 169">
              <controlPr defaultSize="0" autoLine="0" autoPict="0">
                <anchor moveWithCells="1" sizeWithCells="1">
                  <from>
                    <xdr:col>7</xdr:col>
                    <xdr:colOff>0</xdr:colOff>
                    <xdr:row>70</xdr:row>
                    <xdr:rowOff>0</xdr:rowOff>
                  </from>
                  <to>
                    <xdr:col>8</xdr:col>
                    <xdr:colOff>0</xdr:colOff>
                    <xdr:row>71</xdr:row>
                    <xdr:rowOff>0</xdr:rowOff>
                  </to>
                </anchor>
              </controlPr>
            </control>
          </mc:Choice>
        </mc:AlternateContent>
        <mc:AlternateContent xmlns:mc="http://schemas.openxmlformats.org/markup-compatibility/2006">
          <mc:Choice Requires="x14">
            <control shapeId="16554" r:id="rId35" name="Drop Down 171">
              <controlPr defaultSize="0" autoLine="0" autoPict="0">
                <anchor moveWithCells="1" sizeWithCells="1">
                  <from>
                    <xdr:col>7</xdr:col>
                    <xdr:colOff>0</xdr:colOff>
                    <xdr:row>71</xdr:row>
                    <xdr:rowOff>0</xdr:rowOff>
                  </from>
                  <to>
                    <xdr:col>8</xdr:col>
                    <xdr:colOff>0</xdr:colOff>
                    <xdr:row>72</xdr:row>
                    <xdr:rowOff>0</xdr:rowOff>
                  </to>
                </anchor>
              </controlPr>
            </control>
          </mc:Choice>
        </mc:AlternateContent>
        <mc:AlternateContent xmlns:mc="http://schemas.openxmlformats.org/markup-compatibility/2006">
          <mc:Choice Requires="x14">
            <control shapeId="16556" r:id="rId36" name="Drop Down 173">
              <controlPr defaultSize="0" autoLine="0" autoPict="0">
                <anchor moveWithCells="1" sizeWithCells="1">
                  <from>
                    <xdr:col>7</xdr:col>
                    <xdr:colOff>0</xdr:colOff>
                    <xdr:row>72</xdr:row>
                    <xdr:rowOff>0</xdr:rowOff>
                  </from>
                  <to>
                    <xdr:col>8</xdr:col>
                    <xdr:colOff>0</xdr:colOff>
                    <xdr:row>73</xdr:row>
                    <xdr:rowOff>0</xdr:rowOff>
                  </to>
                </anchor>
              </controlPr>
            </control>
          </mc:Choice>
        </mc:AlternateContent>
        <mc:AlternateContent xmlns:mc="http://schemas.openxmlformats.org/markup-compatibility/2006">
          <mc:Choice Requires="x14">
            <control shapeId="16558" r:id="rId37" name="Drop Down 175">
              <controlPr defaultSize="0" autoLine="0" autoPict="0">
                <anchor moveWithCells="1" sizeWithCells="1">
                  <from>
                    <xdr:col>7</xdr:col>
                    <xdr:colOff>0</xdr:colOff>
                    <xdr:row>73</xdr:row>
                    <xdr:rowOff>0</xdr:rowOff>
                  </from>
                  <to>
                    <xdr:col>8</xdr:col>
                    <xdr:colOff>0</xdr:colOff>
                    <xdr:row>74</xdr:row>
                    <xdr:rowOff>0</xdr:rowOff>
                  </to>
                </anchor>
              </controlPr>
            </control>
          </mc:Choice>
        </mc:AlternateContent>
        <mc:AlternateContent xmlns:mc="http://schemas.openxmlformats.org/markup-compatibility/2006">
          <mc:Choice Requires="x14">
            <control shapeId="16560" r:id="rId38" name="Drop Down 177">
              <controlPr defaultSize="0" autoLine="0" autoPict="0">
                <anchor moveWithCells="1" sizeWithCells="1">
                  <from>
                    <xdr:col>7</xdr:col>
                    <xdr:colOff>0</xdr:colOff>
                    <xdr:row>75</xdr:row>
                    <xdr:rowOff>0</xdr:rowOff>
                  </from>
                  <to>
                    <xdr:col>8</xdr:col>
                    <xdr:colOff>0</xdr:colOff>
                    <xdr:row>76</xdr:row>
                    <xdr:rowOff>0</xdr:rowOff>
                  </to>
                </anchor>
              </controlPr>
            </control>
          </mc:Choice>
        </mc:AlternateContent>
        <mc:AlternateContent xmlns:mc="http://schemas.openxmlformats.org/markup-compatibility/2006">
          <mc:Choice Requires="x14">
            <control shapeId="16562" r:id="rId39" name="Drop Down 179">
              <controlPr defaultSize="0" autoLine="0" autoPict="0">
                <anchor moveWithCells="1" sizeWithCells="1">
                  <from>
                    <xdr:col>7</xdr:col>
                    <xdr:colOff>0</xdr:colOff>
                    <xdr:row>76</xdr:row>
                    <xdr:rowOff>0</xdr:rowOff>
                  </from>
                  <to>
                    <xdr:col>8</xdr:col>
                    <xdr:colOff>0</xdr:colOff>
                    <xdr:row>77</xdr:row>
                    <xdr:rowOff>0</xdr:rowOff>
                  </to>
                </anchor>
              </controlPr>
            </control>
          </mc:Choice>
        </mc:AlternateContent>
        <mc:AlternateContent xmlns:mc="http://schemas.openxmlformats.org/markup-compatibility/2006">
          <mc:Choice Requires="x14">
            <control shapeId="16564" r:id="rId40" name="Drop Down 181">
              <controlPr defaultSize="0" autoLine="0" autoPict="0">
                <anchor moveWithCells="1" sizeWithCells="1">
                  <from>
                    <xdr:col>7</xdr:col>
                    <xdr:colOff>0</xdr:colOff>
                    <xdr:row>77</xdr:row>
                    <xdr:rowOff>0</xdr:rowOff>
                  </from>
                  <to>
                    <xdr:col>8</xdr:col>
                    <xdr:colOff>0</xdr:colOff>
                    <xdr:row>78</xdr:row>
                    <xdr:rowOff>0</xdr:rowOff>
                  </to>
                </anchor>
              </controlPr>
            </control>
          </mc:Choice>
        </mc:AlternateContent>
        <mc:AlternateContent xmlns:mc="http://schemas.openxmlformats.org/markup-compatibility/2006">
          <mc:Choice Requires="x14">
            <control shapeId="16566" r:id="rId41" name="Drop Down 183">
              <controlPr defaultSize="0" autoLine="0" autoPict="0">
                <anchor moveWithCells="1" sizeWithCells="1">
                  <from>
                    <xdr:col>7</xdr:col>
                    <xdr:colOff>0</xdr:colOff>
                    <xdr:row>78</xdr:row>
                    <xdr:rowOff>0</xdr:rowOff>
                  </from>
                  <to>
                    <xdr:col>8</xdr:col>
                    <xdr:colOff>0</xdr:colOff>
                    <xdr:row>79</xdr:row>
                    <xdr:rowOff>0</xdr:rowOff>
                  </to>
                </anchor>
              </controlPr>
            </control>
          </mc:Choice>
        </mc:AlternateContent>
        <mc:AlternateContent xmlns:mc="http://schemas.openxmlformats.org/markup-compatibility/2006">
          <mc:Choice Requires="x14">
            <control shapeId="16568" r:id="rId42" name="Drop Down 185">
              <controlPr defaultSize="0" autoLine="0" autoPict="0">
                <anchor moveWithCells="1" sizeWithCells="1">
                  <from>
                    <xdr:col>7</xdr:col>
                    <xdr:colOff>0</xdr:colOff>
                    <xdr:row>79</xdr:row>
                    <xdr:rowOff>0</xdr:rowOff>
                  </from>
                  <to>
                    <xdr:col>8</xdr:col>
                    <xdr:colOff>0</xdr:colOff>
                    <xdr:row>80</xdr:row>
                    <xdr:rowOff>0</xdr:rowOff>
                  </to>
                </anchor>
              </controlPr>
            </control>
          </mc:Choice>
        </mc:AlternateContent>
        <mc:AlternateContent xmlns:mc="http://schemas.openxmlformats.org/markup-compatibility/2006">
          <mc:Choice Requires="x14">
            <control shapeId="16570" r:id="rId43" name="Drop Down 187">
              <controlPr defaultSize="0" autoLine="0" autoPict="0">
                <anchor moveWithCells="1" sizeWithCells="1">
                  <from>
                    <xdr:col>7</xdr:col>
                    <xdr:colOff>0</xdr:colOff>
                    <xdr:row>81</xdr:row>
                    <xdr:rowOff>0</xdr:rowOff>
                  </from>
                  <to>
                    <xdr:col>8</xdr:col>
                    <xdr:colOff>0</xdr:colOff>
                    <xdr:row>82</xdr:row>
                    <xdr:rowOff>0</xdr:rowOff>
                  </to>
                </anchor>
              </controlPr>
            </control>
          </mc:Choice>
        </mc:AlternateContent>
        <mc:AlternateContent xmlns:mc="http://schemas.openxmlformats.org/markup-compatibility/2006">
          <mc:Choice Requires="x14">
            <control shapeId="16572" r:id="rId44" name="Drop Down 189">
              <controlPr defaultSize="0" autoLine="0" autoPict="0">
                <anchor moveWithCells="1" sizeWithCells="1">
                  <from>
                    <xdr:col>7</xdr:col>
                    <xdr:colOff>0</xdr:colOff>
                    <xdr:row>82</xdr:row>
                    <xdr:rowOff>0</xdr:rowOff>
                  </from>
                  <to>
                    <xdr:col>8</xdr:col>
                    <xdr:colOff>0</xdr:colOff>
                    <xdr:row>83</xdr:row>
                    <xdr:rowOff>0</xdr:rowOff>
                  </to>
                </anchor>
              </controlPr>
            </control>
          </mc:Choice>
        </mc:AlternateContent>
        <mc:AlternateContent xmlns:mc="http://schemas.openxmlformats.org/markup-compatibility/2006">
          <mc:Choice Requires="x14">
            <control shapeId="16574" r:id="rId45" name="Drop Down 191">
              <controlPr defaultSize="0" autoLine="0" autoPict="0">
                <anchor moveWithCells="1" sizeWithCells="1">
                  <from>
                    <xdr:col>7</xdr:col>
                    <xdr:colOff>0</xdr:colOff>
                    <xdr:row>83</xdr:row>
                    <xdr:rowOff>0</xdr:rowOff>
                  </from>
                  <to>
                    <xdr:col>8</xdr:col>
                    <xdr:colOff>0</xdr:colOff>
                    <xdr:row>84</xdr:row>
                    <xdr:rowOff>0</xdr:rowOff>
                  </to>
                </anchor>
              </controlPr>
            </control>
          </mc:Choice>
        </mc:AlternateContent>
        <mc:AlternateContent xmlns:mc="http://schemas.openxmlformats.org/markup-compatibility/2006">
          <mc:Choice Requires="x14">
            <control shapeId="16576" r:id="rId46" name="Drop Down 193">
              <controlPr defaultSize="0" autoLine="0" autoPict="0">
                <anchor moveWithCells="1" sizeWithCells="1">
                  <from>
                    <xdr:col>7</xdr:col>
                    <xdr:colOff>0</xdr:colOff>
                    <xdr:row>84</xdr:row>
                    <xdr:rowOff>0</xdr:rowOff>
                  </from>
                  <to>
                    <xdr:col>8</xdr:col>
                    <xdr:colOff>0</xdr:colOff>
                    <xdr:row>85</xdr:row>
                    <xdr:rowOff>0</xdr:rowOff>
                  </to>
                </anchor>
              </controlPr>
            </control>
          </mc:Choice>
        </mc:AlternateContent>
        <mc:AlternateContent xmlns:mc="http://schemas.openxmlformats.org/markup-compatibility/2006">
          <mc:Choice Requires="x14">
            <control shapeId="16578" r:id="rId47" name="Drop Down 195">
              <controlPr defaultSize="0" autoLine="0" autoPict="0">
                <anchor moveWithCells="1" sizeWithCells="1">
                  <from>
                    <xdr:col>7</xdr:col>
                    <xdr:colOff>0</xdr:colOff>
                    <xdr:row>85</xdr:row>
                    <xdr:rowOff>0</xdr:rowOff>
                  </from>
                  <to>
                    <xdr:col>8</xdr:col>
                    <xdr:colOff>0</xdr:colOff>
                    <xdr:row>86</xdr:row>
                    <xdr:rowOff>0</xdr:rowOff>
                  </to>
                </anchor>
              </controlPr>
            </control>
          </mc:Choice>
        </mc:AlternateContent>
        <mc:AlternateContent xmlns:mc="http://schemas.openxmlformats.org/markup-compatibility/2006">
          <mc:Choice Requires="x14">
            <control shapeId="16580" r:id="rId48" name="Drop Down 197">
              <controlPr defaultSize="0" autoLine="0" autoPict="0">
                <anchor moveWithCells="1" sizeWithCells="1">
                  <from>
                    <xdr:col>7</xdr:col>
                    <xdr:colOff>0</xdr:colOff>
                    <xdr:row>87</xdr:row>
                    <xdr:rowOff>0</xdr:rowOff>
                  </from>
                  <to>
                    <xdr:col>8</xdr:col>
                    <xdr:colOff>0</xdr:colOff>
                    <xdr:row>88</xdr:row>
                    <xdr:rowOff>0</xdr:rowOff>
                  </to>
                </anchor>
              </controlPr>
            </control>
          </mc:Choice>
        </mc:AlternateContent>
        <mc:AlternateContent xmlns:mc="http://schemas.openxmlformats.org/markup-compatibility/2006">
          <mc:Choice Requires="x14">
            <control shapeId="16582" r:id="rId49" name="Drop Down 199">
              <controlPr defaultSize="0" autoLine="0" autoPict="0">
                <anchor moveWithCells="1" sizeWithCells="1">
                  <from>
                    <xdr:col>7</xdr:col>
                    <xdr:colOff>0</xdr:colOff>
                    <xdr:row>88</xdr:row>
                    <xdr:rowOff>0</xdr:rowOff>
                  </from>
                  <to>
                    <xdr:col>8</xdr:col>
                    <xdr:colOff>0</xdr:colOff>
                    <xdr:row>89</xdr:row>
                    <xdr:rowOff>0</xdr:rowOff>
                  </to>
                </anchor>
              </controlPr>
            </control>
          </mc:Choice>
        </mc:AlternateContent>
        <mc:AlternateContent xmlns:mc="http://schemas.openxmlformats.org/markup-compatibility/2006">
          <mc:Choice Requires="x14">
            <control shapeId="16584" r:id="rId50" name="Drop Down 201">
              <controlPr defaultSize="0" autoLine="0" autoPict="0">
                <anchor moveWithCells="1" sizeWithCells="1">
                  <from>
                    <xdr:col>7</xdr:col>
                    <xdr:colOff>0</xdr:colOff>
                    <xdr:row>89</xdr:row>
                    <xdr:rowOff>0</xdr:rowOff>
                  </from>
                  <to>
                    <xdr:col>8</xdr:col>
                    <xdr:colOff>0</xdr:colOff>
                    <xdr:row>90</xdr:row>
                    <xdr:rowOff>0</xdr:rowOff>
                  </to>
                </anchor>
              </controlPr>
            </control>
          </mc:Choice>
        </mc:AlternateContent>
        <mc:AlternateContent xmlns:mc="http://schemas.openxmlformats.org/markup-compatibility/2006">
          <mc:Choice Requires="x14">
            <control shapeId="16586" r:id="rId51" name="Drop Down 203">
              <controlPr defaultSize="0" autoLine="0" autoPict="0">
                <anchor moveWithCells="1" sizeWithCells="1">
                  <from>
                    <xdr:col>7</xdr:col>
                    <xdr:colOff>0</xdr:colOff>
                    <xdr:row>90</xdr:row>
                    <xdr:rowOff>0</xdr:rowOff>
                  </from>
                  <to>
                    <xdr:col>8</xdr:col>
                    <xdr:colOff>0</xdr:colOff>
                    <xdr:row>91</xdr:row>
                    <xdr:rowOff>0</xdr:rowOff>
                  </to>
                </anchor>
              </controlPr>
            </control>
          </mc:Choice>
        </mc:AlternateContent>
        <mc:AlternateContent xmlns:mc="http://schemas.openxmlformats.org/markup-compatibility/2006">
          <mc:Choice Requires="x14">
            <control shapeId="16588" r:id="rId52" name="Drop Down 205">
              <controlPr defaultSize="0" autoLine="0" autoPict="0">
                <anchor moveWithCells="1" sizeWithCells="1">
                  <from>
                    <xdr:col>7</xdr:col>
                    <xdr:colOff>0</xdr:colOff>
                    <xdr:row>91</xdr:row>
                    <xdr:rowOff>0</xdr:rowOff>
                  </from>
                  <to>
                    <xdr:col>8</xdr:col>
                    <xdr:colOff>0</xdr:colOff>
                    <xdr:row>92</xdr:row>
                    <xdr:rowOff>0</xdr:rowOff>
                  </to>
                </anchor>
              </controlPr>
            </control>
          </mc:Choice>
        </mc:AlternateContent>
        <mc:AlternateContent xmlns:mc="http://schemas.openxmlformats.org/markup-compatibility/2006">
          <mc:Choice Requires="x14">
            <control shapeId="16592" r:id="rId53" name="Drop Down 209">
              <controlPr defaultSize="0" autoLine="0" autoPict="0">
                <anchor moveWithCells="1" sizeWithCells="1">
                  <from>
                    <xdr:col>7</xdr:col>
                    <xdr:colOff>0</xdr:colOff>
                    <xdr:row>39</xdr:row>
                    <xdr:rowOff>0</xdr:rowOff>
                  </from>
                  <to>
                    <xdr:col>8</xdr:col>
                    <xdr:colOff>0</xdr:colOff>
                    <xdr:row>40</xdr:row>
                    <xdr:rowOff>0</xdr:rowOff>
                  </to>
                </anchor>
              </controlPr>
            </control>
          </mc:Choice>
        </mc:AlternateContent>
        <mc:AlternateContent xmlns:mc="http://schemas.openxmlformats.org/markup-compatibility/2006">
          <mc:Choice Requires="x14">
            <control shapeId="16594" r:id="rId54" name="Drop Down 211">
              <controlPr defaultSize="0" autoLine="0" autoPict="0">
                <anchor moveWithCells="1" sizeWithCells="1">
                  <from>
                    <xdr:col>7</xdr:col>
                    <xdr:colOff>0</xdr:colOff>
                    <xdr:row>57</xdr:row>
                    <xdr:rowOff>0</xdr:rowOff>
                  </from>
                  <to>
                    <xdr:col>8</xdr:col>
                    <xdr:colOff>0</xdr:colOff>
                    <xdr:row>58</xdr:row>
                    <xdr:rowOff>0</xdr:rowOff>
                  </to>
                </anchor>
              </controlPr>
            </control>
          </mc:Choice>
        </mc:AlternateContent>
        <mc:AlternateContent xmlns:mc="http://schemas.openxmlformats.org/markup-compatibility/2006">
          <mc:Choice Requires="x14">
            <control shapeId="16596" r:id="rId55" name="Drop Down 213">
              <controlPr defaultSize="0" autoLine="0" autoPict="0">
                <anchor moveWithCells="1" sizeWithCells="1">
                  <from>
                    <xdr:col>7</xdr:col>
                    <xdr:colOff>0</xdr:colOff>
                    <xdr:row>33</xdr:row>
                    <xdr:rowOff>0</xdr:rowOff>
                  </from>
                  <to>
                    <xdr:col>8</xdr:col>
                    <xdr:colOff>0</xdr:colOff>
                    <xdr:row>34</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N171"/>
  <sheetViews>
    <sheetView showGridLines="0" workbookViewId="0">
      <pane ySplit="12" topLeftCell="A211" activePane="bottomLeft" state="frozen"/>
      <selection pane="bottomLeft" activeCell="G91" sqref="G91"/>
    </sheetView>
  </sheetViews>
  <sheetFormatPr defaultColWidth="11.75" defaultRowHeight="11.4" x14ac:dyDescent="0.2"/>
  <cols>
    <col min="1" max="4" width="3.75" customWidth="1"/>
    <col min="5" max="5" width="56" customWidth="1"/>
    <col min="6" max="6" width="50.75" customWidth="1"/>
    <col min="7" max="8" width="20.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Financial Req :Planned Contributions</v>
      </c>
    </row>
    <row r="2" spans="1:14" ht="13.2" x14ac:dyDescent="0.2">
      <c r="B2" s="5" t="str">
        <f>Model_Name</f>
        <v>Financial Gap Analysis Tool - País X (Datos de la muestra)</v>
      </c>
    </row>
    <row r="3" spans="1:14" x14ac:dyDescent="0.2">
      <c r="B3" s="425" t="s">
        <v>524</v>
      </c>
      <c r="C3" s="425"/>
      <c r="D3" s="425"/>
      <c r="E3" s="425"/>
      <c r="F3" s="398"/>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E12" s="198" t="s">
        <v>137</v>
      </c>
      <c r="G12" s="60"/>
    </row>
    <row r="13" spans="1:14" s="38" customFormat="1" x14ac:dyDescent="0.2">
      <c r="G13"/>
    </row>
    <row r="14" spans="1:14" s="38" customFormat="1" x14ac:dyDescent="0.2">
      <c r="A14" s="39" t="s">
        <v>76</v>
      </c>
      <c r="B14" s="40" t="str">
        <f>"Annual "&amp;$E$12&amp;" - by Strategic Objective and Result/Indicator"</f>
        <v>Annual Necesidades financieras - by Strategic Objective and Result/Indicator</v>
      </c>
      <c r="C14" s="40"/>
      <c r="D14" s="40"/>
      <c r="E14" s="40"/>
      <c r="F14" s="40"/>
      <c r="G14" s="40"/>
      <c r="H14" s="40"/>
      <c r="I14" s="40"/>
      <c r="J14" s="40"/>
      <c r="K14" s="40"/>
      <c r="L14" s="40"/>
      <c r="M14" s="40"/>
      <c r="N14" s="40"/>
    </row>
    <row r="18" spans="5:14" ht="12" thickBot="1" x14ac:dyDescent="0.25"/>
    <row r="19" spans="5:14" s="38" customFormat="1" ht="12" x14ac:dyDescent="0.2">
      <c r="E19" s="279" t="s">
        <v>389</v>
      </c>
      <c r="F19" s="280" t="s">
        <v>399</v>
      </c>
      <c r="G19" s="281" t="s">
        <v>136</v>
      </c>
      <c r="H19" s="282" t="s">
        <v>549</v>
      </c>
      <c r="I19" s="282" t="s">
        <v>106</v>
      </c>
      <c r="J19" s="54" t="str">
        <f>CURR_LCU_ABBR</f>
        <v>GOZ</v>
      </c>
      <c r="K19" s="54" t="str">
        <f>CURR_LCU_ABBR</f>
        <v>GOZ</v>
      </c>
      <c r="L19" s="54" t="str">
        <f>CURR_LCU_ABBR</f>
        <v>GOZ</v>
      </c>
      <c r="M19" s="54" t="str">
        <f>CURR_LCU_ABBR</f>
        <v>GOZ</v>
      </c>
      <c r="N19" s="54" t="str">
        <f>CURR_LCU_ABBR</f>
        <v>GOZ</v>
      </c>
    </row>
    <row r="20" spans="5:14" s="38" customFormat="1" ht="22.8" x14ac:dyDescent="0.2">
      <c r="E20" s="447" t="str">
        <f>Strategy1</f>
        <v>Objetivo estratégico 1: Fortalecer la gobernanza de la nutrición</v>
      </c>
      <c r="F20" s="42" t="str">
        <f>STRAT1_IND1</f>
        <v>Se refuerza la coordinación multisectorial en materia de nutrición</v>
      </c>
      <c r="G20" s="260" t="str">
        <f ca="1">OFFSET(Variables_Lu!$D$10,Basic_Setup!H34,0)</f>
        <v>Governance</v>
      </c>
      <c r="H20" s="70">
        <f>I20/$I$82</f>
        <v>2.8077758295216851E-3</v>
      </c>
      <c r="I20" s="262">
        <f>SUM(J20:N20)</f>
        <v>2276947509.0250001</v>
      </c>
      <c r="J20" s="375">
        <f>2267481700/4</f>
        <v>566870425</v>
      </c>
      <c r="K20" s="37">
        <f>1386427370/4</f>
        <v>346606842.5</v>
      </c>
      <c r="L20" s="376">
        <f>2307120366.1/4</f>
        <v>576780091.52499998</v>
      </c>
      <c r="M20" s="378">
        <f>1040454700/4</f>
        <v>260113675</v>
      </c>
      <c r="N20" s="37">
        <f>2106305900/4</f>
        <v>526576475</v>
      </c>
    </row>
    <row r="21" spans="5:14" s="38" customFormat="1" ht="34.200000000000003" x14ac:dyDescent="0.2">
      <c r="E21" s="447"/>
      <c r="F21" s="42" t="str">
        <f>STRAT1_IND2</f>
        <v>Está en funcionamiento el sistema multisectorial de información sobre nutrición para la adopción de decisiones eficaces.</v>
      </c>
      <c r="G21" s="260" t="str">
        <f ca="1">OFFSET(Variables_Lu!$D$10,Basic_Setup!H35,0)</f>
        <v>Governance</v>
      </c>
      <c r="H21" s="70">
        <f t="shared" ref="H21:H79" si="2">I21/$I$82</f>
        <v>2.8077758295216851E-3</v>
      </c>
      <c r="I21" s="262">
        <f t="shared" ref="I21:I24" si="3">SUM(J21:N21)</f>
        <v>2276947509.0250001</v>
      </c>
      <c r="J21" s="381">
        <f t="shared" ref="J21:J23" si="4">2267481700/4</f>
        <v>566870425</v>
      </c>
      <c r="K21" s="383">
        <f t="shared" ref="K21:K23" si="5">1386427370/4</f>
        <v>346606842.5</v>
      </c>
      <c r="L21" s="381">
        <f t="shared" ref="L21:L23" si="6">2307120366.1/4</f>
        <v>576780091.52499998</v>
      </c>
      <c r="M21" s="381">
        <f t="shared" ref="M21:M23" si="7">1040454700/4</f>
        <v>260113675</v>
      </c>
      <c r="N21" s="383">
        <f t="shared" ref="N21:N23" si="8">2106305900/4</f>
        <v>526576475</v>
      </c>
    </row>
    <row r="22" spans="5:14" s="38" customFormat="1" ht="22.8" x14ac:dyDescent="0.2">
      <c r="E22" s="447"/>
      <c r="F22" s="42" t="str">
        <f>STRAT1_IND3</f>
        <v>La investigación en nutrición se utiliza para aclarar que la toma de decisiones se mejora y se refuerza.</v>
      </c>
      <c r="G22" s="260" t="str">
        <f ca="1">OFFSET(Variables_Lu!$D$10,Basic_Setup!H36,0)</f>
        <v>Governance</v>
      </c>
      <c r="H22" s="70">
        <f t="shared" si="2"/>
        <v>2.8077758295216851E-3</v>
      </c>
      <c r="I22" s="262">
        <f t="shared" si="3"/>
        <v>2276947509.0250001</v>
      </c>
      <c r="J22" s="381">
        <f t="shared" si="4"/>
        <v>566870425</v>
      </c>
      <c r="K22" s="383">
        <f t="shared" si="5"/>
        <v>346606842.5</v>
      </c>
      <c r="L22" s="381">
        <f t="shared" si="6"/>
        <v>576780091.52499998</v>
      </c>
      <c r="M22" s="381">
        <f t="shared" si="7"/>
        <v>260113675</v>
      </c>
      <c r="N22" s="383">
        <f t="shared" si="8"/>
        <v>526576475</v>
      </c>
    </row>
    <row r="23" spans="5:14" s="38" customFormat="1" ht="22.8" x14ac:dyDescent="0.2">
      <c r="E23" s="447"/>
      <c r="F23" s="41" t="str">
        <f>STRAT1_IND4</f>
        <v>El marco legislativo y reglamentario de la nutrición se ha fortalecido y está en funcionamiento.</v>
      </c>
      <c r="G23" s="260" t="str">
        <f ca="1">OFFSET(Variables_Lu!$D$10,Basic_Setup!H37,0)</f>
        <v>Governance</v>
      </c>
      <c r="H23" s="70">
        <f t="shared" si="2"/>
        <v>2.8077758295216851E-3</v>
      </c>
      <c r="I23" s="262">
        <f t="shared" si="3"/>
        <v>2276947509.0250001</v>
      </c>
      <c r="J23" s="381">
        <f t="shared" si="4"/>
        <v>566870425</v>
      </c>
      <c r="K23" s="383">
        <f t="shared" si="5"/>
        <v>346606842.5</v>
      </c>
      <c r="L23" s="381">
        <f t="shared" si="6"/>
        <v>576780091.52499998</v>
      </c>
      <c r="M23" s="381">
        <f t="shared" si="7"/>
        <v>260113675</v>
      </c>
      <c r="N23" s="383">
        <f t="shared" si="8"/>
        <v>526576475</v>
      </c>
    </row>
    <row r="24" spans="5:14" s="38" customFormat="1" ht="12" x14ac:dyDescent="0.2">
      <c r="E24" s="448"/>
      <c r="F24" s="41" t="str">
        <f>STRAT1_IND5</f>
        <v>Objetivo estratégico 1 Indicador 5</v>
      </c>
      <c r="G24" s="260" t="str">
        <f ca="1">OFFSET(Variables_Lu!$D$10,Basic_Setup!H38,0)</f>
        <v>Governance</v>
      </c>
      <c r="H24" s="70">
        <f t="shared" si="2"/>
        <v>0</v>
      </c>
      <c r="I24" s="262">
        <f t="shared" si="3"/>
        <v>0</v>
      </c>
      <c r="J24" s="375">
        <v>0</v>
      </c>
      <c r="K24" s="374">
        <v>0</v>
      </c>
      <c r="L24" s="376">
        <v>0</v>
      </c>
      <c r="M24" s="378">
        <v>0</v>
      </c>
      <c r="N24" s="377">
        <v>0</v>
      </c>
    </row>
    <row r="25" spans="5:14" s="38" customFormat="1" ht="12" x14ac:dyDescent="0.2">
      <c r="G25" s="152" t="s">
        <v>538</v>
      </c>
      <c r="H25" s="278">
        <f t="shared" si="2"/>
        <v>1.123110331808674E-2</v>
      </c>
      <c r="I25" s="265">
        <f>SUM(I20:I24)</f>
        <v>9107790036.1000004</v>
      </c>
      <c r="J25" s="265">
        <f t="shared" ref="J25:N25" si="9">SUM(J20:J24)</f>
        <v>2267481700</v>
      </c>
      <c r="K25" s="265">
        <f t="shared" si="9"/>
        <v>1386427370</v>
      </c>
      <c r="L25" s="265">
        <f t="shared" si="9"/>
        <v>2307120366.0999999</v>
      </c>
      <c r="M25" s="265">
        <f t="shared" si="9"/>
        <v>1040454700</v>
      </c>
      <c r="N25" s="265">
        <f t="shared" si="9"/>
        <v>2106305900</v>
      </c>
    </row>
    <row r="26" spans="5:14" s="38" customFormat="1" ht="45.6" x14ac:dyDescent="0.2">
      <c r="E26" s="447" t="str">
        <f>Strategy2</f>
        <v>Objetivo estratégico 2: Fortalecer el acceso al tratamiento y a los servicios de salud y nutrición de calidad, así como al tratamiento de todas las formas de malnutrición</v>
      </c>
      <c r="F26" s="42" t="str">
        <f>STRAT2_IND1</f>
        <v>Se fortalece el acceso y la utilización sostenible de los servicios de salud y nutrición para los niños menores de 5 años, los adolescentes, las mujeres embarazadas y lactantes, y los demás grupos vulnerables</v>
      </c>
      <c r="G26" s="260" t="str">
        <f ca="1">OFFSET(Variables_Lu!$D$10,Basic_Setup!H40,0)</f>
        <v>Nutrition-specific</v>
      </c>
      <c r="H26" s="70">
        <f>I26/$I$82</f>
        <v>4.9061285688464761E-2</v>
      </c>
      <c r="I26" s="262">
        <f>SUM(J26:N26)</f>
        <v>39785929867.821365</v>
      </c>
      <c r="J26" s="380">
        <f>21722428160.1285/3</f>
        <v>7240809386.7095003</v>
      </c>
      <c r="K26" s="37">
        <f>26158405291.484/3</f>
        <v>8719468430.4946671</v>
      </c>
      <c r="L26" s="37">
        <f>23631569741.3402/3</f>
        <v>7877189913.7800665</v>
      </c>
      <c r="M26" s="37">
        <f>23841351720.4864/3</f>
        <v>7947117240.1621332</v>
      </c>
      <c r="N26" s="37">
        <f>24004034690.025/3</f>
        <v>8001344896.6750002</v>
      </c>
    </row>
    <row r="27" spans="5:14" s="38" customFormat="1" ht="45.6" x14ac:dyDescent="0.2">
      <c r="E27" s="447"/>
      <c r="F27" s="42" t="str">
        <f>STRAT2_IND2</f>
        <v xml:space="preserve">Se reduce la prevalencia de enfermedades relacionadas con la prevalencia de la malnutrición (paludismo, diarrea, neumonía, parásitos intestinales, VIH, TNM) en lactantes, adolescentes y mujeres en edad reproductiva. </v>
      </c>
      <c r="G27" s="260" t="str">
        <f ca="1">OFFSET(Variables_Lu!$D$10,Basic_Setup!H41,0)</f>
        <v>Nutrition-sensitive</v>
      </c>
      <c r="H27" s="70">
        <f t="shared" si="2"/>
        <v>4.9061285688464761E-2</v>
      </c>
      <c r="I27" s="262">
        <f t="shared" ref="I27:I30" si="10">SUM(J27:N27)</f>
        <v>39785929867.821365</v>
      </c>
      <c r="J27" s="381">
        <f t="shared" ref="J27:J28" si="11">21722428160.1285/3</f>
        <v>7240809386.7095003</v>
      </c>
      <c r="K27" s="383">
        <f t="shared" ref="K27:K28" si="12">26158405291.484/3</f>
        <v>8719468430.4946671</v>
      </c>
      <c r="L27" s="383">
        <f t="shared" ref="L27:L28" si="13">23631569741.3402/3</f>
        <v>7877189913.7800665</v>
      </c>
      <c r="M27" s="383">
        <f t="shared" ref="M27:M28" si="14">23841351720.4864/3</f>
        <v>7947117240.1621332</v>
      </c>
      <c r="N27" s="383">
        <f t="shared" ref="N27:N28" si="15">24004034690.025/3</f>
        <v>8001344896.6750002</v>
      </c>
    </row>
    <row r="28" spans="5:14" s="38" customFormat="1" ht="14.25" customHeight="1" x14ac:dyDescent="0.2">
      <c r="E28" s="447"/>
      <c r="F28" s="42" t="str">
        <f>STRAT2_IND3</f>
        <v>Se refuerzan las intervenciones comunitarias en materia de nutrición.</v>
      </c>
      <c r="G28" s="260" t="str">
        <f ca="1">OFFSET(Variables_Lu!$D$10,Basic_Setup!H42,0)</f>
        <v>Nutrition-specific</v>
      </c>
      <c r="H28" s="70">
        <f t="shared" si="2"/>
        <v>4.9061285688464761E-2</v>
      </c>
      <c r="I28" s="262">
        <f t="shared" si="10"/>
        <v>39785929867.821365</v>
      </c>
      <c r="J28" s="381">
        <f t="shared" si="11"/>
        <v>7240809386.7095003</v>
      </c>
      <c r="K28" s="383">
        <f t="shared" si="12"/>
        <v>8719468430.4946671</v>
      </c>
      <c r="L28" s="383">
        <f t="shared" si="13"/>
        <v>7877189913.7800665</v>
      </c>
      <c r="M28" s="383">
        <f t="shared" si="14"/>
        <v>7947117240.1621332</v>
      </c>
      <c r="N28" s="383">
        <f t="shared" si="15"/>
        <v>8001344896.6750002</v>
      </c>
    </row>
    <row r="29" spans="5:14" s="38" customFormat="1" ht="12" x14ac:dyDescent="0.2">
      <c r="E29" s="447"/>
      <c r="F29" s="41" t="str">
        <f>STRAT2_IND4</f>
        <v>Objetivo estratégico 2 Indicador 4</v>
      </c>
      <c r="G29" s="260" t="str">
        <f ca="1">OFFSET(Variables_Lu!$D$10,Basic_Setup!H43,0)</f>
        <v>Nutrition-specific</v>
      </c>
      <c r="H29" s="70">
        <f t="shared" si="2"/>
        <v>0</v>
      </c>
      <c r="I29" s="262">
        <f t="shared" si="10"/>
        <v>0</v>
      </c>
      <c r="J29" s="380">
        <v>0</v>
      </c>
      <c r="K29" s="381">
        <v>0</v>
      </c>
      <c r="L29" s="381">
        <v>0</v>
      </c>
      <c r="M29" s="381">
        <v>0</v>
      </c>
      <c r="N29" s="381">
        <v>0</v>
      </c>
    </row>
    <row r="30" spans="5:14" s="38" customFormat="1" ht="12" x14ac:dyDescent="0.2">
      <c r="E30" s="448"/>
      <c r="F30" s="41" t="str">
        <f>STRAT2_IND5</f>
        <v>Objetivo estratégico 2 Indicador 5</v>
      </c>
      <c r="G30" s="260" t="str">
        <f ca="1">OFFSET(Variables_Lu!$D$10,Basic_Setup!H44,0)</f>
        <v>Nutrition-specific</v>
      </c>
      <c r="H30" s="70">
        <f t="shared" si="2"/>
        <v>0</v>
      </c>
      <c r="I30" s="262">
        <f t="shared" si="10"/>
        <v>0</v>
      </c>
      <c r="J30" s="381">
        <v>0</v>
      </c>
      <c r="K30" s="381">
        <v>0</v>
      </c>
      <c r="L30" s="381">
        <v>0</v>
      </c>
      <c r="M30" s="381">
        <v>0</v>
      </c>
      <c r="N30" s="381">
        <v>0</v>
      </c>
    </row>
    <row r="31" spans="5:14" s="38" customFormat="1" ht="12" x14ac:dyDescent="0.2">
      <c r="G31" s="152" t="s">
        <v>539</v>
      </c>
      <c r="H31" s="278">
        <f t="shared" si="2"/>
        <v>0.14718385706539427</v>
      </c>
      <c r="I31" s="265">
        <f>SUM(I26:I30)</f>
        <v>119357789603.4641</v>
      </c>
      <c r="J31" s="265">
        <f t="shared" ref="J31:N31" si="16">SUM(J26:J30)</f>
        <v>21722428160.128502</v>
      </c>
      <c r="K31" s="265">
        <f t="shared" si="16"/>
        <v>26158405291.484001</v>
      </c>
      <c r="L31" s="265">
        <f t="shared" si="16"/>
        <v>23631569741.340199</v>
      </c>
      <c r="M31" s="265">
        <f t="shared" si="16"/>
        <v>23841351720.486401</v>
      </c>
      <c r="N31" s="265">
        <f t="shared" si="16"/>
        <v>24004034690.025002</v>
      </c>
    </row>
    <row r="32" spans="5:14" s="38" customFormat="1" ht="22.8" x14ac:dyDescent="0.2">
      <c r="E32" s="447" t="str">
        <f>Strategy3</f>
        <v>Objetivo estratégico 3: Aumentar la disponibilidad y el acceso a alimentos nutritivos de alto valor, seguros y diversificados</v>
      </c>
      <c r="F32" s="42" t="str">
        <f>STRAT3_IND1</f>
        <v xml:space="preserve">Aumenta la disponibilidad y el acceso a alimentos de alto valor nutritivo en los hogares. </v>
      </c>
      <c r="G32" s="260" t="str">
        <f ca="1">OFFSET(Variables_Lu!$D$10,Basic_Setup!H46,0)</f>
        <v>Nutrition-specific</v>
      </c>
      <c r="H32" s="70">
        <f>I32/$I$82</f>
        <v>0.26465763798100861</v>
      </c>
      <c r="I32" s="262">
        <f>SUM(J32:N32)</f>
        <v>214622386591.29526</v>
      </c>
      <c r="J32" s="37">
        <f>85478050534.2487/2</f>
        <v>42739025267.124352</v>
      </c>
      <c r="K32" s="37">
        <f>88785499229.0822/2</f>
        <v>44392749614.5411</v>
      </c>
      <c r="L32" s="37">
        <f>85247753011.7404/2</f>
        <v>42623876505.870201</v>
      </c>
      <c r="M32" s="37">
        <f>84398435955.7589/2</f>
        <v>42199217977.879448</v>
      </c>
      <c r="N32" s="37">
        <f>85335034451.7603/2</f>
        <v>42667517225.88015</v>
      </c>
    </row>
    <row r="33" spans="5:14" s="38" customFormat="1" ht="22.8" x14ac:dyDescent="0.2">
      <c r="E33" s="447"/>
      <c r="F33" s="42" t="str">
        <f>STRAT3_IND2</f>
        <v xml:space="preserve"> La seguridad alimentaria está garantizada para toda la nación.</v>
      </c>
      <c r="G33" s="260" t="str">
        <f ca="1">OFFSET(Variables_Lu!$D$10,Basic_Setup!H47,0)</f>
        <v>Nutrition-sensitive</v>
      </c>
      <c r="H33" s="70">
        <f t="shared" si="2"/>
        <v>0.26465763798100861</v>
      </c>
      <c r="I33" s="262">
        <f t="shared" ref="I33:I36" si="17">SUM(J33:N33)</f>
        <v>214622386591.29526</v>
      </c>
      <c r="J33" s="383">
        <f>85478050534.2487/2</f>
        <v>42739025267.124352</v>
      </c>
      <c r="K33" s="383">
        <f>88785499229.0822/2</f>
        <v>44392749614.5411</v>
      </c>
      <c r="L33" s="383">
        <f>85247753011.7404/2</f>
        <v>42623876505.870201</v>
      </c>
      <c r="M33" s="383">
        <f>84398435955.7589/2</f>
        <v>42199217977.879448</v>
      </c>
      <c r="N33" s="383">
        <f>85335034451.7603/2</f>
        <v>42667517225.88015</v>
      </c>
    </row>
    <row r="34" spans="5:14" s="38" customFormat="1" ht="12" x14ac:dyDescent="0.2">
      <c r="E34" s="447"/>
      <c r="F34" s="42" t="str">
        <f>STRAT3_IND3</f>
        <v>Objetivo estratégico 3 Indicador 3</v>
      </c>
      <c r="G34" s="260" t="str">
        <f ca="1">OFFSET(Variables_Lu!$D$10,Basic_Setup!H48,0)</f>
        <v>Nutrition-specific</v>
      </c>
      <c r="H34" s="70">
        <f t="shared" si="2"/>
        <v>0</v>
      </c>
      <c r="I34" s="262">
        <f t="shared" si="17"/>
        <v>0</v>
      </c>
      <c r="J34" s="379">
        <v>0</v>
      </c>
      <c r="K34" s="383">
        <v>0</v>
      </c>
      <c r="L34" s="383">
        <v>0</v>
      </c>
      <c r="M34" s="383">
        <v>0</v>
      </c>
      <c r="N34" s="383">
        <v>0</v>
      </c>
    </row>
    <row r="35" spans="5:14" s="38" customFormat="1" ht="12" x14ac:dyDescent="0.2">
      <c r="E35" s="447"/>
      <c r="F35" s="41" t="str">
        <f>STRAT3_IND4</f>
        <v>Objetivo estratégico 3 Indicador 4</v>
      </c>
      <c r="G35" s="260" t="str">
        <f ca="1">OFFSET(Variables_Lu!$D$10,Basic_Setup!H49,0)</f>
        <v>Nutrition-specific</v>
      </c>
      <c r="H35" s="70">
        <f t="shared" si="2"/>
        <v>0</v>
      </c>
      <c r="I35" s="262">
        <f t="shared" si="17"/>
        <v>0</v>
      </c>
      <c r="J35" s="383">
        <v>0</v>
      </c>
      <c r="K35" s="383">
        <v>0</v>
      </c>
      <c r="L35" s="383">
        <v>0</v>
      </c>
      <c r="M35" s="383">
        <v>0</v>
      </c>
      <c r="N35" s="383">
        <v>0</v>
      </c>
    </row>
    <row r="36" spans="5:14" s="38" customFormat="1" ht="12" x14ac:dyDescent="0.2">
      <c r="E36" s="448"/>
      <c r="F36" s="41" t="str">
        <f>STRAT3_IND5</f>
        <v>Objetivo estratégico 3 Indicador 5</v>
      </c>
      <c r="G36" s="260" t="str">
        <f ca="1">OFFSET(Variables_Lu!$D$10,Basic_Setup!H50,0)</f>
        <v>Nutrition-specific</v>
      </c>
      <c r="H36" s="70">
        <f t="shared" si="2"/>
        <v>0</v>
      </c>
      <c r="I36" s="262">
        <f t="shared" si="17"/>
        <v>0</v>
      </c>
      <c r="J36" s="383">
        <v>0</v>
      </c>
      <c r="K36" s="383">
        <v>0</v>
      </c>
      <c r="L36" s="383">
        <v>0</v>
      </c>
      <c r="M36" s="383">
        <v>0</v>
      </c>
      <c r="N36" s="383">
        <v>0</v>
      </c>
    </row>
    <row r="37" spans="5:14" ht="12" x14ac:dyDescent="0.2">
      <c r="G37" s="152" t="s">
        <v>540</v>
      </c>
      <c r="H37" s="278">
        <f t="shared" si="2"/>
        <v>0.52931527596201722</v>
      </c>
      <c r="I37" s="265">
        <f>SUM(I32:I36)</f>
        <v>429244773182.59052</v>
      </c>
      <c r="J37" s="265">
        <f t="shared" ref="J37:N37" si="18">SUM(J32:J36)</f>
        <v>85478050534.248703</v>
      </c>
      <c r="K37" s="265">
        <f t="shared" si="18"/>
        <v>88785499229.082199</v>
      </c>
      <c r="L37" s="265">
        <f t="shared" si="18"/>
        <v>85247753011.740402</v>
      </c>
      <c r="M37" s="265">
        <f t="shared" si="18"/>
        <v>84398435955.758896</v>
      </c>
      <c r="N37" s="265">
        <f t="shared" si="18"/>
        <v>85335034451.7603</v>
      </c>
    </row>
    <row r="38" spans="5:14" ht="34.200000000000003" x14ac:dyDescent="0.2">
      <c r="E38" s="447" t="str">
        <f>Strategy4</f>
        <v>Objetivo estratégico 4: Fortalecer la protección social, la resiliencia de la respuesta a las emergencias y los desastres naturales.</v>
      </c>
      <c r="F38" s="42" t="str">
        <f>STRAT4_IND1</f>
        <v xml:space="preserve">Se garantiza la protección social de los niños menores de 5 años, los adolescentes, FE/FA y otros grupos vulnerables. </v>
      </c>
      <c r="G38" s="260" t="str">
        <f ca="1">OFFSET(Variables_Lu!$D$10,Basic_Setup!H52,0)</f>
        <v>Nutrition-sensitive</v>
      </c>
      <c r="H38" s="70">
        <f>I38/$I$82</f>
        <v>7.9783056659573554E-2</v>
      </c>
      <c r="I38" s="262">
        <f>SUM(J38:N38)</f>
        <v>64699549805.001068</v>
      </c>
      <c r="J38" s="37">
        <f>38908451793.6264/3</f>
        <v>12969483931.208801</v>
      </c>
      <c r="K38" s="37">
        <f>38693633574.6128/3</f>
        <v>12897877858.204268</v>
      </c>
      <c r="L38" s="37">
        <f>38762312402.072/3</f>
        <v>12920770800.690666</v>
      </c>
      <c r="M38" s="37">
        <f>38831899127.2652/3</f>
        <v>12943966375.755066</v>
      </c>
      <c r="N38" s="37">
        <f>38902352517.4268/3</f>
        <v>12967450839.142267</v>
      </c>
    </row>
    <row r="39" spans="5:14" ht="34.200000000000003" x14ac:dyDescent="0.2">
      <c r="E39" s="447"/>
      <c r="F39" s="42" t="str">
        <f>STRAT4_IND2</f>
        <v xml:space="preserve">Se fortalece la capacidad de resiliencia y el estado nutricional de las poblaciones vulnerables, incluidos los niños de las zonas desfavorecidas.  </v>
      </c>
      <c r="G39" s="260" t="str">
        <f ca="1">OFFSET(Variables_Lu!$D$10,Basic_Setup!H53,0)</f>
        <v>Nutrition-specific</v>
      </c>
      <c r="H39" s="70">
        <f t="shared" si="2"/>
        <v>7.9783056659573554E-2</v>
      </c>
      <c r="I39" s="262">
        <f t="shared" ref="I39:I42" si="19">SUM(J39:N39)</f>
        <v>64699549805.001068</v>
      </c>
      <c r="J39" s="383">
        <f t="shared" ref="J39:J40" si="20">38908451793.6264/3</f>
        <v>12969483931.208801</v>
      </c>
      <c r="K39" s="383">
        <f t="shared" ref="K39:K40" si="21">38693633574.6128/3</f>
        <v>12897877858.204268</v>
      </c>
      <c r="L39" s="383">
        <f t="shared" ref="L39:L40" si="22">38762312402.072/3</f>
        <v>12920770800.690666</v>
      </c>
      <c r="M39" s="383">
        <f t="shared" ref="M39:M40" si="23">38831899127.2652/3</f>
        <v>12943966375.755066</v>
      </c>
      <c r="N39" s="383">
        <f t="shared" ref="N39:N40" si="24">38902352517.4268/3</f>
        <v>12967450839.142267</v>
      </c>
    </row>
    <row r="40" spans="5:14" ht="34.200000000000003" x14ac:dyDescent="0.2">
      <c r="E40" s="447"/>
      <c r="F40" s="42" t="str">
        <f>STRAT4_IND3</f>
        <v xml:space="preserve"> Se introducen eficazmente intervenciones para emergencias y catástrofes naturales integrales de la nutrición.</v>
      </c>
      <c r="G40" s="260" t="str">
        <f ca="1">OFFSET(Variables_Lu!$D$10,Basic_Setup!H54,0)</f>
        <v>Nutrition-specific</v>
      </c>
      <c r="H40" s="70">
        <f t="shared" si="2"/>
        <v>7.9783056659573554E-2</v>
      </c>
      <c r="I40" s="262">
        <f t="shared" si="19"/>
        <v>64699549805.001068</v>
      </c>
      <c r="J40" s="383">
        <f t="shared" si="20"/>
        <v>12969483931.208801</v>
      </c>
      <c r="K40" s="383">
        <f t="shared" si="21"/>
        <v>12897877858.204268</v>
      </c>
      <c r="L40" s="383">
        <f t="shared" si="22"/>
        <v>12920770800.690666</v>
      </c>
      <c r="M40" s="383">
        <f t="shared" si="23"/>
        <v>12943966375.755066</v>
      </c>
      <c r="N40" s="383">
        <f t="shared" si="24"/>
        <v>12967450839.142267</v>
      </c>
    </row>
    <row r="41" spans="5:14" ht="12" x14ac:dyDescent="0.2">
      <c r="E41" s="447"/>
      <c r="F41" s="41" t="str">
        <f>STRAT4_IND4</f>
        <v>Objetivo estratégico 4 Indicador 4</v>
      </c>
      <c r="G41" s="260" t="str">
        <f ca="1">OFFSET(Variables_Lu!$D$10,Basic_Setup!H55,0)</f>
        <v>Nutrition-specific</v>
      </c>
      <c r="H41" s="70">
        <f t="shared" si="2"/>
        <v>0</v>
      </c>
      <c r="I41" s="262">
        <f t="shared" si="19"/>
        <v>0</v>
      </c>
      <c r="J41" s="379">
        <v>0</v>
      </c>
      <c r="K41" s="383">
        <v>0</v>
      </c>
      <c r="L41" s="383">
        <v>0</v>
      </c>
      <c r="M41" s="383">
        <v>0</v>
      </c>
      <c r="N41" s="383">
        <v>0</v>
      </c>
    </row>
    <row r="42" spans="5:14" ht="12" x14ac:dyDescent="0.2">
      <c r="E42" s="448"/>
      <c r="F42" s="41" t="str">
        <f>STRAT4_IND5</f>
        <v>Objetivo estratégico 4 Indicador 5</v>
      </c>
      <c r="G42" s="260" t="str">
        <f ca="1">OFFSET(Variables_Lu!$D$10,Basic_Setup!H56,0)</f>
        <v>Nutrition-specific</v>
      </c>
      <c r="H42" s="70">
        <f t="shared" si="2"/>
        <v>0</v>
      </c>
      <c r="I42" s="262">
        <f t="shared" si="19"/>
        <v>0</v>
      </c>
      <c r="J42" s="383">
        <v>0</v>
      </c>
      <c r="K42" s="383">
        <v>0</v>
      </c>
      <c r="L42" s="383">
        <v>0</v>
      </c>
      <c r="M42" s="383">
        <v>0</v>
      </c>
      <c r="N42" s="383">
        <v>0</v>
      </c>
    </row>
    <row r="43" spans="5:14" ht="12" x14ac:dyDescent="0.2">
      <c r="G43" s="152" t="s">
        <v>541</v>
      </c>
      <c r="H43" s="278">
        <f t="shared" si="2"/>
        <v>0.23934916997872066</v>
      </c>
      <c r="I43" s="265">
        <f>SUM(I38:I42)</f>
        <v>194098649415.0032</v>
      </c>
      <c r="J43" s="265">
        <f t="shared" ref="J43:N43" si="25">SUM(J38:J42)</f>
        <v>38908451793.626404</v>
      </c>
      <c r="K43" s="265">
        <f t="shared" si="25"/>
        <v>38693633574.612801</v>
      </c>
      <c r="L43" s="265">
        <f t="shared" si="25"/>
        <v>38762312402.071999</v>
      </c>
      <c r="M43" s="265">
        <f t="shared" si="25"/>
        <v>38831899127.265198</v>
      </c>
      <c r="N43" s="265">
        <f t="shared" si="25"/>
        <v>38902352517.426804</v>
      </c>
    </row>
    <row r="44" spans="5:14" ht="34.200000000000003" x14ac:dyDescent="0.2">
      <c r="E44" s="447" t="str">
        <f>Strategy5</f>
        <v xml:space="preserve">Objetivo estratégico 5: Promoción de prácticas favorables a una nutrición óptima, de higiene y saneamiento básico. </v>
      </c>
      <c r="F44" s="42" t="str">
        <f>STRAT5_IND1</f>
        <v>Se mejoran las prácticas nutricionales favorables para los niños menores de 5 años, los adolescentes, las mujeres embarazadas y lactantes, y otros grupos vulnerables.</v>
      </c>
      <c r="G44" s="260" t="str">
        <f ca="1">OFFSET(Variables_Lu!$D$10,Basic_Setup!H58,0)</f>
        <v>Nutrition-specific</v>
      </c>
      <c r="H44" s="70">
        <f>I44/$I$82</f>
        <v>2.430686455859369E-2</v>
      </c>
      <c r="I44" s="262">
        <f>SUM(J44:N44)</f>
        <v>19711493391.666622</v>
      </c>
      <c r="J44" s="37">
        <f>5457394901.66667/3</f>
        <v>1819131633.88889</v>
      </c>
      <c r="K44" s="381">
        <f>13470182068.3333/3</f>
        <v>4490060689.4444332</v>
      </c>
      <c r="L44" s="37">
        <f>13407301068.3333/3</f>
        <v>4469100356.1111002</v>
      </c>
      <c r="M44" s="37">
        <f>13392301068.3333/3</f>
        <v>4464100356.1111002</v>
      </c>
      <c r="N44" s="37">
        <f>13407301068.3333/3</f>
        <v>4469100356.1111002</v>
      </c>
    </row>
    <row r="45" spans="5:14" ht="22.8" x14ac:dyDescent="0.2">
      <c r="E45" s="447"/>
      <c r="F45" s="42" t="str">
        <f>STRAT5_IND2</f>
        <v>Se promueven dietas saludables y estilos de vida saludables para las personas.</v>
      </c>
      <c r="G45" s="260" t="str">
        <f ca="1">OFFSET(Variables_Lu!$D$10,Basic_Setup!H59,0)</f>
        <v>Nutrition-specific</v>
      </c>
      <c r="H45" s="70">
        <f t="shared" si="2"/>
        <v>2.430686455859369E-2</v>
      </c>
      <c r="I45" s="262">
        <f t="shared" ref="I45:I48" si="26">SUM(J45:N45)</f>
        <v>19711493391.666622</v>
      </c>
      <c r="J45" s="383">
        <f t="shared" ref="J45:J46" si="27">5457394901.66667/3</f>
        <v>1819131633.88889</v>
      </c>
      <c r="K45" s="381">
        <f t="shared" ref="K45:K46" si="28">13470182068.3333/3</f>
        <v>4490060689.4444332</v>
      </c>
      <c r="L45" s="383">
        <f t="shared" ref="L45:L46" si="29">13407301068.3333/3</f>
        <v>4469100356.1111002</v>
      </c>
      <c r="M45" s="383">
        <f t="shared" ref="M45:M46" si="30">13392301068.3333/3</f>
        <v>4464100356.1111002</v>
      </c>
      <c r="N45" s="383">
        <f t="shared" ref="N45:N46" si="31">13407301068.3333/3</f>
        <v>4469100356.1111002</v>
      </c>
    </row>
    <row r="46" spans="5:14" ht="22.8" x14ac:dyDescent="0.2">
      <c r="E46" s="447"/>
      <c r="F46" s="42" t="str">
        <f>STRAT5_IND3</f>
        <v>Se promueven las buenas prácticas WASH a nivel comunitario y doméstico</v>
      </c>
      <c r="G46" s="260" t="str">
        <f ca="1">OFFSET(Variables_Lu!$D$10,Basic_Setup!H60,0)</f>
        <v>Nutrition-sensitive</v>
      </c>
      <c r="H46" s="70">
        <f t="shared" si="2"/>
        <v>2.430686455859369E-2</v>
      </c>
      <c r="I46" s="262">
        <f t="shared" si="26"/>
        <v>19711493391.666622</v>
      </c>
      <c r="J46" s="383">
        <f t="shared" si="27"/>
        <v>1819131633.88889</v>
      </c>
      <c r="K46" s="381">
        <f t="shared" si="28"/>
        <v>4490060689.4444332</v>
      </c>
      <c r="L46" s="383">
        <f t="shared" si="29"/>
        <v>4469100356.1111002</v>
      </c>
      <c r="M46" s="383">
        <f t="shared" si="30"/>
        <v>4464100356.1111002</v>
      </c>
      <c r="N46" s="383">
        <f t="shared" si="31"/>
        <v>4469100356.1111002</v>
      </c>
    </row>
    <row r="47" spans="5:14" ht="12" x14ac:dyDescent="0.2">
      <c r="E47" s="447"/>
      <c r="F47" s="41" t="str">
        <f>STRAT5_IND4</f>
        <v>Objetivo estratégico 5 Indicador 4</v>
      </c>
      <c r="G47" s="260" t="str">
        <f ca="1">OFFSET(Variables_Lu!$D$10,Basic_Setup!H61,0)</f>
        <v>Nutrition-specific</v>
      </c>
      <c r="H47" s="70">
        <f t="shared" si="2"/>
        <v>0</v>
      </c>
      <c r="I47" s="262">
        <f t="shared" si="26"/>
        <v>0</v>
      </c>
      <c r="J47" s="379">
        <v>0</v>
      </c>
      <c r="K47" s="383">
        <v>0</v>
      </c>
      <c r="L47" s="383">
        <v>0</v>
      </c>
      <c r="M47" s="383">
        <v>0</v>
      </c>
      <c r="N47" s="383">
        <v>0</v>
      </c>
    </row>
    <row r="48" spans="5:14" ht="12" x14ac:dyDescent="0.2">
      <c r="E48" s="448"/>
      <c r="F48" s="41" t="str">
        <f>STRAT5_IND5</f>
        <v>Objetivo estratégico 5 Indicador 5</v>
      </c>
      <c r="G48" s="260" t="str">
        <f ca="1">OFFSET(Variables_Lu!$D$10,Basic_Setup!H62,0)</f>
        <v>Nutrition-specific</v>
      </c>
      <c r="H48" s="70">
        <f t="shared" si="2"/>
        <v>0</v>
      </c>
      <c r="I48" s="262">
        <f t="shared" si="26"/>
        <v>0</v>
      </c>
      <c r="J48" s="383">
        <v>0</v>
      </c>
      <c r="K48" s="383">
        <v>0</v>
      </c>
      <c r="L48" s="383">
        <v>0</v>
      </c>
      <c r="M48" s="383">
        <v>0</v>
      </c>
      <c r="N48" s="383">
        <v>0</v>
      </c>
    </row>
    <row r="49" spans="5:14" ht="12" x14ac:dyDescent="0.2">
      <c r="G49" s="152" t="s">
        <v>542</v>
      </c>
      <c r="H49" s="278">
        <f t="shared" si="2"/>
        <v>7.2920593675781062E-2</v>
      </c>
      <c r="I49" s="265">
        <f>SUM(I44:I48)</f>
        <v>59134480174.999863</v>
      </c>
      <c r="J49" s="265">
        <f t="shared" ref="J49:N49" si="32">SUM(J44:J48)</f>
        <v>5457394901.6666698</v>
      </c>
      <c r="K49" s="265">
        <f t="shared" si="32"/>
        <v>13470182068.3333</v>
      </c>
      <c r="L49" s="265">
        <f t="shared" si="32"/>
        <v>13407301068.333302</v>
      </c>
      <c r="M49" s="265">
        <f t="shared" si="32"/>
        <v>13392301068.333302</v>
      </c>
      <c r="N49" s="265">
        <f t="shared" si="32"/>
        <v>13407301068.333302</v>
      </c>
    </row>
    <row r="50" spans="5:14" ht="12" x14ac:dyDescent="0.2">
      <c r="E50" s="447" t="str">
        <f>Strategy6</f>
        <v>Objetivo estratégico 6: [No está en uso]</v>
      </c>
      <c r="F50" s="42" t="str">
        <f>STRAT6_IND1</f>
        <v>Objetivo estratégico 6 Indicador 1</v>
      </c>
      <c r="G50" s="260" t="str">
        <f ca="1">OFFSET(Variables_Lu!$D$10,Basic_Setup!H64,0)</f>
        <v>Nutrition-specific</v>
      </c>
      <c r="H50" s="70">
        <f>I50/$I$82</f>
        <v>0</v>
      </c>
      <c r="I50" s="262">
        <f>SUM(J50:N50)</f>
        <v>0</v>
      </c>
      <c r="J50" s="37">
        <v>0</v>
      </c>
      <c r="K50" s="37">
        <v>0</v>
      </c>
      <c r="L50" s="37">
        <v>0</v>
      </c>
      <c r="M50" s="37">
        <v>0</v>
      </c>
      <c r="N50" s="37">
        <v>0</v>
      </c>
    </row>
    <row r="51" spans="5:14" ht="12" x14ac:dyDescent="0.2">
      <c r="E51" s="447"/>
      <c r="F51" s="42" t="str">
        <f>STRAT6_IND2</f>
        <v>Objetivo estratégico 6 Indicador 2</v>
      </c>
      <c r="G51" s="260" t="str">
        <f ca="1">OFFSET(Variables_Lu!$D$10,Basic_Setup!H65,0)</f>
        <v>Nutrition-specific</v>
      </c>
      <c r="H51" s="70">
        <f t="shared" si="2"/>
        <v>0</v>
      </c>
      <c r="I51" s="262">
        <f t="shared" ref="I51:I54" si="33">SUM(J51:N51)</f>
        <v>0</v>
      </c>
      <c r="J51" s="37">
        <v>0</v>
      </c>
      <c r="K51" s="37">
        <v>0</v>
      </c>
      <c r="L51" s="37">
        <v>0</v>
      </c>
      <c r="M51" s="37">
        <v>0</v>
      </c>
      <c r="N51" s="37">
        <v>0</v>
      </c>
    </row>
    <row r="52" spans="5:14" ht="12" x14ac:dyDescent="0.2">
      <c r="E52" s="447"/>
      <c r="F52" s="42" t="str">
        <f>STRAT6_IND3</f>
        <v>Objetivo estratégico 6 Indicador 3</v>
      </c>
      <c r="G52" s="260" t="str">
        <f ca="1">OFFSET(Variables_Lu!$D$10,Basic_Setup!H66,0)</f>
        <v>Nutrition-specific</v>
      </c>
      <c r="H52" s="70">
        <f t="shared" si="2"/>
        <v>0</v>
      </c>
      <c r="I52" s="262">
        <f t="shared" si="33"/>
        <v>0</v>
      </c>
      <c r="J52" s="37">
        <v>0</v>
      </c>
      <c r="K52" s="37">
        <v>0</v>
      </c>
      <c r="L52" s="37">
        <v>0</v>
      </c>
      <c r="M52" s="37">
        <v>0</v>
      </c>
      <c r="N52" s="37">
        <v>0</v>
      </c>
    </row>
    <row r="53" spans="5:14" ht="12" x14ac:dyDescent="0.2">
      <c r="E53" s="447"/>
      <c r="F53" s="41" t="str">
        <f>STRAT6_IND4</f>
        <v>Objetivo estratégico 6 Indicador 4</v>
      </c>
      <c r="G53" s="260" t="str">
        <f ca="1">OFFSET(Variables_Lu!$D$10,Basic_Setup!H67,0)</f>
        <v>Nutrition-specific</v>
      </c>
      <c r="H53" s="70">
        <f t="shared" si="2"/>
        <v>0</v>
      </c>
      <c r="I53" s="262">
        <f t="shared" si="33"/>
        <v>0</v>
      </c>
      <c r="J53" s="37">
        <v>0</v>
      </c>
      <c r="K53" s="37">
        <v>0</v>
      </c>
      <c r="L53" s="37">
        <v>0</v>
      </c>
      <c r="M53" s="37">
        <v>0</v>
      </c>
      <c r="N53" s="37">
        <v>0</v>
      </c>
    </row>
    <row r="54" spans="5:14" ht="12" x14ac:dyDescent="0.2">
      <c r="E54" s="448"/>
      <c r="F54" s="41" t="str">
        <f>STRAT6_IND5</f>
        <v>Objetivo estratégico 6 Indicador 5</v>
      </c>
      <c r="G54" s="260" t="str">
        <f ca="1">OFFSET(Variables_Lu!$D$10,Basic_Setup!H68,0)</f>
        <v>Nutrition-specific</v>
      </c>
      <c r="H54" s="70">
        <f t="shared" si="2"/>
        <v>0</v>
      </c>
      <c r="I54" s="262">
        <f t="shared" si="33"/>
        <v>0</v>
      </c>
      <c r="J54" s="37">
        <v>0</v>
      </c>
      <c r="K54" s="37">
        <v>0</v>
      </c>
      <c r="L54" s="37">
        <v>0</v>
      </c>
      <c r="M54" s="37">
        <v>0</v>
      </c>
      <c r="N54" s="37">
        <v>0</v>
      </c>
    </row>
    <row r="55" spans="5:14" ht="12" x14ac:dyDescent="0.2">
      <c r="G55" s="152" t="s">
        <v>543</v>
      </c>
      <c r="H55" s="278">
        <f t="shared" si="2"/>
        <v>0</v>
      </c>
      <c r="I55" s="265">
        <f>SUM(I50:I54)</f>
        <v>0</v>
      </c>
      <c r="J55" s="265">
        <f t="shared" ref="J55:N55" si="34">SUM(J50:J54)</f>
        <v>0</v>
      </c>
      <c r="K55" s="265">
        <f t="shared" si="34"/>
        <v>0</v>
      </c>
      <c r="L55" s="265">
        <f t="shared" si="34"/>
        <v>0</v>
      </c>
      <c r="M55" s="265">
        <f t="shared" si="34"/>
        <v>0</v>
      </c>
      <c r="N55" s="265">
        <f t="shared" si="34"/>
        <v>0</v>
      </c>
    </row>
    <row r="56" spans="5:14" ht="12" x14ac:dyDescent="0.2">
      <c r="E56" s="447" t="str">
        <f>Strategy7</f>
        <v>Objetivo estratégico 7: [No está en uso]</v>
      </c>
      <c r="F56" s="42" t="str">
        <f>STRAT7_IND1</f>
        <v>Objetivo estratégico 7 Indicador 1</v>
      </c>
      <c r="G56" s="260" t="str">
        <f ca="1">OFFSET(Variables_Lu!$D$10,Basic_Setup!H70,0)</f>
        <v>Nutrition-specific</v>
      </c>
      <c r="H56" s="70">
        <f>I56/$I$82</f>
        <v>0</v>
      </c>
      <c r="I56" s="262">
        <f>SUM(J56:N56)</f>
        <v>0</v>
      </c>
      <c r="J56" s="383">
        <v>0</v>
      </c>
      <c r="K56" s="37">
        <v>0</v>
      </c>
      <c r="L56" s="37">
        <v>0</v>
      </c>
      <c r="M56" s="37">
        <v>0</v>
      </c>
      <c r="N56" s="37">
        <v>0</v>
      </c>
    </row>
    <row r="57" spans="5:14" ht="12" x14ac:dyDescent="0.2">
      <c r="E57" s="447"/>
      <c r="F57" s="42" t="str">
        <f>STRAT7_IND2</f>
        <v>Objetivo estratégico 7 Indicador 2</v>
      </c>
      <c r="G57" s="260" t="str">
        <f ca="1">OFFSET(Variables_Lu!$D$10,Basic_Setup!H71,0)</f>
        <v>Nutrition-specific</v>
      </c>
      <c r="H57" s="70">
        <f t="shared" si="2"/>
        <v>0</v>
      </c>
      <c r="I57" s="262">
        <f t="shared" ref="I57:I60" si="35">SUM(J57:N57)</f>
        <v>0</v>
      </c>
      <c r="J57" s="37">
        <v>0</v>
      </c>
      <c r="K57" s="37">
        <v>0</v>
      </c>
      <c r="L57" s="37">
        <v>0</v>
      </c>
      <c r="M57" s="37">
        <v>0</v>
      </c>
      <c r="N57" s="37">
        <v>0</v>
      </c>
    </row>
    <row r="58" spans="5:14" ht="12" x14ac:dyDescent="0.2">
      <c r="E58" s="447"/>
      <c r="F58" s="42" t="str">
        <f>STRAT7_IND3</f>
        <v>Objetivo estratégico 7 Indicador 3</v>
      </c>
      <c r="G58" s="260" t="str">
        <f ca="1">OFFSET(Variables_Lu!$D$10,Basic_Setup!H72,0)</f>
        <v>Nutrition-specific</v>
      </c>
      <c r="H58" s="70">
        <f t="shared" si="2"/>
        <v>0</v>
      </c>
      <c r="I58" s="262">
        <f t="shared" si="35"/>
        <v>0</v>
      </c>
      <c r="J58" s="37">
        <v>0</v>
      </c>
      <c r="K58" s="37">
        <v>0</v>
      </c>
      <c r="L58" s="37">
        <v>0</v>
      </c>
      <c r="M58" s="37">
        <v>0</v>
      </c>
      <c r="N58" s="37">
        <v>0</v>
      </c>
    </row>
    <row r="59" spans="5:14" ht="12" x14ac:dyDescent="0.2">
      <c r="E59" s="447"/>
      <c r="F59" s="41" t="str">
        <f>STRAT7_IND4</f>
        <v>Objetivo estratégico 7 Indicador 4</v>
      </c>
      <c r="G59" s="260" t="str">
        <f ca="1">OFFSET(Variables_Lu!$D$10,Basic_Setup!H73,0)</f>
        <v>Nutrition-specific</v>
      </c>
      <c r="H59" s="70">
        <f t="shared" si="2"/>
        <v>0</v>
      </c>
      <c r="I59" s="262">
        <f t="shared" si="35"/>
        <v>0</v>
      </c>
      <c r="J59" s="37">
        <v>0</v>
      </c>
      <c r="K59" s="37">
        <v>0</v>
      </c>
      <c r="L59" s="37">
        <v>0</v>
      </c>
      <c r="M59" s="37">
        <v>0</v>
      </c>
      <c r="N59" s="37">
        <v>0</v>
      </c>
    </row>
    <row r="60" spans="5:14" ht="12" x14ac:dyDescent="0.2">
      <c r="E60" s="448"/>
      <c r="F60" s="41" t="str">
        <f>STRAT7_IND5</f>
        <v>Objetivo estratégico 7 Indicador 5</v>
      </c>
      <c r="G60" s="260" t="str">
        <f ca="1">OFFSET(Variables_Lu!$D$10,Basic_Setup!H74,0)</f>
        <v>Nutrition-specific</v>
      </c>
      <c r="H60" s="70">
        <f t="shared" si="2"/>
        <v>0</v>
      </c>
      <c r="I60" s="262">
        <f t="shared" si="35"/>
        <v>0</v>
      </c>
      <c r="J60" s="37">
        <v>0</v>
      </c>
      <c r="K60" s="37">
        <v>0</v>
      </c>
      <c r="L60" s="37">
        <v>0</v>
      </c>
      <c r="M60" s="37">
        <v>0</v>
      </c>
      <c r="N60" s="37">
        <v>0</v>
      </c>
    </row>
    <row r="61" spans="5:14" ht="12" x14ac:dyDescent="0.2">
      <c r="G61" s="152" t="s">
        <v>544</v>
      </c>
      <c r="H61" s="278">
        <f t="shared" si="2"/>
        <v>0</v>
      </c>
      <c r="I61" s="265">
        <f>SUM(I56:I60)</f>
        <v>0</v>
      </c>
      <c r="J61" s="265">
        <f t="shared" ref="J61:N61" si="36">SUM(J56:J60)</f>
        <v>0</v>
      </c>
      <c r="K61" s="265">
        <f t="shared" si="36"/>
        <v>0</v>
      </c>
      <c r="L61" s="265">
        <f t="shared" si="36"/>
        <v>0</v>
      </c>
      <c r="M61" s="265">
        <f t="shared" si="36"/>
        <v>0</v>
      </c>
      <c r="N61" s="265">
        <f t="shared" si="36"/>
        <v>0</v>
      </c>
    </row>
    <row r="62" spans="5:14" ht="12" x14ac:dyDescent="0.2">
      <c r="E62" s="447" t="str">
        <f>Strategy8</f>
        <v>Objetivo estratégico 8: [No está en uso]</v>
      </c>
      <c r="F62" s="42" t="str">
        <f>STRAT8_IND1</f>
        <v>Objetivo estratégico 8 Indicador 1</v>
      </c>
      <c r="G62" s="260" t="str">
        <f ca="1">OFFSET(Variables_Lu!$D$10,Basic_Setup!H76,0)</f>
        <v>Nutrition-specific</v>
      </c>
      <c r="H62" s="70">
        <f>I62/$I$82</f>
        <v>0</v>
      </c>
      <c r="I62" s="262">
        <f>SUM(J62:N62)</f>
        <v>0</v>
      </c>
      <c r="J62" s="383">
        <v>0</v>
      </c>
      <c r="K62" s="37">
        <v>0</v>
      </c>
      <c r="L62" s="37">
        <v>0</v>
      </c>
      <c r="M62" s="37">
        <v>0</v>
      </c>
      <c r="N62" s="37">
        <v>0</v>
      </c>
    </row>
    <row r="63" spans="5:14" ht="12" x14ac:dyDescent="0.2">
      <c r="E63" s="447"/>
      <c r="F63" s="42" t="str">
        <f>STRAT8_IND2</f>
        <v>Objetivo estratégico 8 Indicador 2</v>
      </c>
      <c r="G63" s="260" t="str">
        <f ca="1">OFFSET(Variables_Lu!$D$10,Basic_Setup!H77,0)</f>
        <v>Nutrition-specific</v>
      </c>
      <c r="H63" s="70">
        <f t="shared" si="2"/>
        <v>0</v>
      </c>
      <c r="I63" s="262">
        <f t="shared" ref="I63:I66" si="37">SUM(J63:N63)</f>
        <v>0</v>
      </c>
      <c r="J63" s="37">
        <v>0</v>
      </c>
      <c r="K63" s="37">
        <v>0</v>
      </c>
      <c r="L63" s="37">
        <v>0</v>
      </c>
      <c r="M63" s="37">
        <v>0</v>
      </c>
      <c r="N63" s="37">
        <v>0</v>
      </c>
    </row>
    <row r="64" spans="5:14" ht="12" x14ac:dyDescent="0.2">
      <c r="E64" s="447"/>
      <c r="F64" s="42" t="str">
        <f>STRAT8_IND3</f>
        <v>Objetivo estratégico 8 Indicador 3</v>
      </c>
      <c r="G64" s="260" t="str">
        <f ca="1">OFFSET(Variables_Lu!$D$10,Basic_Setup!H78,0)</f>
        <v>Nutrition-specific</v>
      </c>
      <c r="H64" s="70">
        <f t="shared" si="2"/>
        <v>0</v>
      </c>
      <c r="I64" s="262">
        <f t="shared" si="37"/>
        <v>0</v>
      </c>
      <c r="J64" s="37">
        <v>0</v>
      </c>
      <c r="K64" s="37">
        <v>0</v>
      </c>
      <c r="L64" s="37">
        <v>0</v>
      </c>
      <c r="M64" s="37">
        <v>0</v>
      </c>
      <c r="N64" s="37">
        <v>0</v>
      </c>
    </row>
    <row r="65" spans="5:14" ht="12" x14ac:dyDescent="0.2">
      <c r="E65" s="447"/>
      <c r="F65" s="41" t="str">
        <f>STRAT8_IND4</f>
        <v>Objetivo estratégico 8 Indicador 4</v>
      </c>
      <c r="G65" s="260" t="str">
        <f ca="1">OFFSET(Variables_Lu!$D$10,Basic_Setup!H79,0)</f>
        <v>Nutrition-specific</v>
      </c>
      <c r="H65" s="70">
        <f t="shared" si="2"/>
        <v>0</v>
      </c>
      <c r="I65" s="262">
        <f t="shared" si="37"/>
        <v>0</v>
      </c>
      <c r="J65" s="37">
        <v>0</v>
      </c>
      <c r="K65" s="37">
        <v>0</v>
      </c>
      <c r="L65" s="37">
        <v>0</v>
      </c>
      <c r="M65" s="37">
        <v>0</v>
      </c>
      <c r="N65" s="37">
        <v>0</v>
      </c>
    </row>
    <row r="66" spans="5:14" ht="12" x14ac:dyDescent="0.2">
      <c r="E66" s="448"/>
      <c r="F66" s="41" t="str">
        <f>STRAT8_IND5</f>
        <v>Objetivo estratégico 8 Indicador 5</v>
      </c>
      <c r="G66" s="260" t="str">
        <f ca="1">OFFSET(Variables_Lu!$D$10,Basic_Setup!H80,0)</f>
        <v>Nutrition-specific</v>
      </c>
      <c r="H66" s="70">
        <f t="shared" si="2"/>
        <v>0</v>
      </c>
      <c r="I66" s="262">
        <f t="shared" si="37"/>
        <v>0</v>
      </c>
      <c r="J66" s="37">
        <v>0</v>
      </c>
      <c r="K66" s="37">
        <v>0</v>
      </c>
      <c r="L66" s="37">
        <v>0</v>
      </c>
      <c r="M66" s="37">
        <v>0</v>
      </c>
      <c r="N66" s="37">
        <v>0</v>
      </c>
    </row>
    <row r="67" spans="5:14" ht="12" x14ac:dyDescent="0.2">
      <c r="G67" s="152" t="s">
        <v>545</v>
      </c>
      <c r="H67" s="278">
        <f t="shared" si="2"/>
        <v>0</v>
      </c>
      <c r="I67" s="265">
        <f>SUM(I62:I66)</f>
        <v>0</v>
      </c>
      <c r="J67" s="265">
        <f t="shared" ref="J67:N67" si="38">SUM(J62:J66)</f>
        <v>0</v>
      </c>
      <c r="K67" s="265">
        <f t="shared" si="38"/>
        <v>0</v>
      </c>
      <c r="L67" s="265">
        <f t="shared" si="38"/>
        <v>0</v>
      </c>
      <c r="M67" s="265">
        <f t="shared" si="38"/>
        <v>0</v>
      </c>
      <c r="N67" s="265">
        <f t="shared" si="38"/>
        <v>0</v>
      </c>
    </row>
    <row r="68" spans="5:14" ht="12" x14ac:dyDescent="0.2">
      <c r="E68" s="447" t="str">
        <f>Strategy9</f>
        <v>Objetivo estratégico 9: [No está en uso]</v>
      </c>
      <c r="F68" s="42" t="str">
        <f>STRAT9_IND1</f>
        <v>Objetivo estratégico 9 Indicador 1</v>
      </c>
      <c r="G68" s="260" t="str">
        <f ca="1">OFFSET(Variables_Lu!$D$10,Basic_Setup!H82,0)</f>
        <v>Nutrition-specific</v>
      </c>
      <c r="H68" s="70">
        <f>I68/$I$82</f>
        <v>0</v>
      </c>
      <c r="I68" s="262">
        <f>SUM(J68:N68)</f>
        <v>0</v>
      </c>
      <c r="J68" s="383">
        <v>0</v>
      </c>
      <c r="K68" s="37">
        <v>0</v>
      </c>
      <c r="L68" s="37">
        <v>0</v>
      </c>
      <c r="M68" s="37">
        <v>0</v>
      </c>
      <c r="N68" s="37">
        <v>0</v>
      </c>
    </row>
    <row r="69" spans="5:14" ht="12" x14ac:dyDescent="0.2">
      <c r="E69" s="447"/>
      <c r="F69" s="42" t="str">
        <f>STRAT9_IND2</f>
        <v>Objetivo estratégico 9 Indicador 2</v>
      </c>
      <c r="G69" s="260" t="str">
        <f ca="1">OFFSET(Variables_Lu!$D$10,Basic_Setup!H83,0)</f>
        <v>Nutrition-specific</v>
      </c>
      <c r="H69" s="70">
        <f t="shared" si="2"/>
        <v>0</v>
      </c>
      <c r="I69" s="262">
        <f t="shared" ref="I69:I72" si="39">SUM(J69:N69)</f>
        <v>0</v>
      </c>
      <c r="J69" s="37">
        <v>0</v>
      </c>
      <c r="K69" s="37">
        <v>0</v>
      </c>
      <c r="L69" s="37">
        <v>0</v>
      </c>
      <c r="M69" s="37">
        <v>0</v>
      </c>
      <c r="N69" s="37">
        <v>0</v>
      </c>
    </row>
    <row r="70" spans="5:14" ht="12" x14ac:dyDescent="0.2">
      <c r="E70" s="447"/>
      <c r="F70" s="42" t="str">
        <f>STRAT9_IND3</f>
        <v>Objetivo estratégico 9 Indicador 3</v>
      </c>
      <c r="G70" s="260" t="str">
        <f ca="1">OFFSET(Variables_Lu!$D$10,Basic_Setup!H84,0)</f>
        <v>Nutrition-specific</v>
      </c>
      <c r="H70" s="70">
        <f t="shared" si="2"/>
        <v>0</v>
      </c>
      <c r="I70" s="262">
        <f t="shared" si="39"/>
        <v>0</v>
      </c>
      <c r="J70" s="37">
        <v>0</v>
      </c>
      <c r="K70" s="37">
        <v>0</v>
      </c>
      <c r="L70" s="37">
        <v>0</v>
      </c>
      <c r="M70" s="37">
        <v>0</v>
      </c>
      <c r="N70" s="37">
        <v>0</v>
      </c>
    </row>
    <row r="71" spans="5:14" ht="12" x14ac:dyDescent="0.2">
      <c r="E71" s="447"/>
      <c r="F71" s="41" t="str">
        <f>STRAT9_IND4</f>
        <v>Objetivo estratégico 9 Indicador 4</v>
      </c>
      <c r="G71" s="260" t="str">
        <f ca="1">OFFSET(Variables_Lu!$D$10,Basic_Setup!H85,0)</f>
        <v>Nutrition-specific</v>
      </c>
      <c r="H71" s="70">
        <f t="shared" si="2"/>
        <v>0</v>
      </c>
      <c r="I71" s="262">
        <f t="shared" si="39"/>
        <v>0</v>
      </c>
      <c r="J71" s="37">
        <v>0</v>
      </c>
      <c r="K71" s="37">
        <v>0</v>
      </c>
      <c r="L71" s="37">
        <v>0</v>
      </c>
      <c r="M71" s="37">
        <v>0</v>
      </c>
      <c r="N71" s="37">
        <v>0</v>
      </c>
    </row>
    <row r="72" spans="5:14" ht="12" x14ac:dyDescent="0.2">
      <c r="E72" s="448"/>
      <c r="F72" s="41" t="str">
        <f>STRAT9_IND5</f>
        <v>Objetivo estratégico 9 Indicador 5</v>
      </c>
      <c r="G72" s="260" t="str">
        <f ca="1">OFFSET(Variables_Lu!$D$10,Basic_Setup!H86,0)</f>
        <v>Nutrition-specific</v>
      </c>
      <c r="H72" s="70">
        <f t="shared" si="2"/>
        <v>0</v>
      </c>
      <c r="I72" s="262">
        <f t="shared" si="39"/>
        <v>0</v>
      </c>
      <c r="J72" s="37">
        <v>0</v>
      </c>
      <c r="K72" s="37">
        <v>0</v>
      </c>
      <c r="L72" s="37">
        <v>0</v>
      </c>
      <c r="M72" s="37">
        <v>0</v>
      </c>
      <c r="N72" s="37">
        <v>0</v>
      </c>
    </row>
    <row r="73" spans="5:14" ht="12" x14ac:dyDescent="0.2">
      <c r="G73" s="152" t="s">
        <v>546</v>
      </c>
      <c r="H73" s="278">
        <f t="shared" si="2"/>
        <v>0</v>
      </c>
      <c r="I73" s="265">
        <f>SUM(I68:I72)</f>
        <v>0</v>
      </c>
      <c r="J73" s="265">
        <f t="shared" ref="J73:N73" si="40">SUM(J68:J72)</f>
        <v>0</v>
      </c>
      <c r="K73" s="265">
        <f t="shared" si="40"/>
        <v>0</v>
      </c>
      <c r="L73" s="265">
        <f t="shared" si="40"/>
        <v>0</v>
      </c>
      <c r="M73" s="265">
        <f t="shared" si="40"/>
        <v>0</v>
      </c>
      <c r="N73" s="265">
        <f t="shared" si="40"/>
        <v>0</v>
      </c>
    </row>
    <row r="74" spans="5:14" ht="12" x14ac:dyDescent="0.2">
      <c r="E74" s="447" t="str">
        <f>Strategy10</f>
        <v>Objetivo estratégico 10: [No está en uso]</v>
      </c>
      <c r="F74" s="42" t="str">
        <f>STRAT10_IND1</f>
        <v>Objetivo estratégico 10 Indicador 1</v>
      </c>
      <c r="G74" s="260" t="str">
        <f ca="1">OFFSET(Variables_Lu!$D$10,Basic_Setup!H88,0)</f>
        <v>Nutrition-specific</v>
      </c>
      <c r="H74" s="70">
        <f>I74/$I$82</f>
        <v>0</v>
      </c>
      <c r="I74" s="262">
        <f>SUM(J74:N74)</f>
        <v>0</v>
      </c>
      <c r="J74" s="383">
        <v>0</v>
      </c>
      <c r="K74" s="37">
        <v>0</v>
      </c>
      <c r="L74" s="37">
        <v>0</v>
      </c>
      <c r="M74" s="37">
        <v>0</v>
      </c>
      <c r="N74" s="37">
        <v>0</v>
      </c>
    </row>
    <row r="75" spans="5:14" ht="12" x14ac:dyDescent="0.2">
      <c r="E75" s="447"/>
      <c r="F75" s="42" t="str">
        <f>STRAT10_IND2</f>
        <v>Objetivo estratégico 10 Indicador 2</v>
      </c>
      <c r="G75" s="260" t="str">
        <f ca="1">OFFSET(Variables_Lu!$D$10,Basic_Setup!H89,0)</f>
        <v>Nutrition-specific</v>
      </c>
      <c r="H75" s="70">
        <f t="shared" si="2"/>
        <v>0</v>
      </c>
      <c r="I75" s="262">
        <f t="shared" ref="I75:I78" si="41">SUM(J75:N75)</f>
        <v>0</v>
      </c>
      <c r="J75" s="37">
        <v>0</v>
      </c>
      <c r="K75" s="37">
        <v>0</v>
      </c>
      <c r="L75" s="37">
        <v>0</v>
      </c>
      <c r="M75" s="37">
        <v>0</v>
      </c>
      <c r="N75" s="37">
        <v>0</v>
      </c>
    </row>
    <row r="76" spans="5:14" ht="12" x14ac:dyDescent="0.2">
      <c r="E76" s="447"/>
      <c r="F76" s="42" t="str">
        <f>STRAT10_IND3</f>
        <v>Objetivo estratégico 10 Indicador 3</v>
      </c>
      <c r="G76" s="260" t="str">
        <f ca="1">OFFSET(Variables_Lu!$D$10,Basic_Setup!H90,0)</f>
        <v>Nutrition-specific</v>
      </c>
      <c r="H76" s="70">
        <f t="shared" si="2"/>
        <v>0</v>
      </c>
      <c r="I76" s="262">
        <f t="shared" si="41"/>
        <v>0</v>
      </c>
      <c r="J76" s="37">
        <v>0</v>
      </c>
      <c r="K76" s="37">
        <v>0</v>
      </c>
      <c r="L76" s="37">
        <v>0</v>
      </c>
      <c r="M76" s="37">
        <v>0</v>
      </c>
      <c r="N76" s="37">
        <v>0</v>
      </c>
    </row>
    <row r="77" spans="5:14" ht="11.25" customHeight="1" x14ac:dyDescent="0.2">
      <c r="E77" s="447"/>
      <c r="F77" s="41" t="str">
        <f>STRAT10_IND4</f>
        <v>Objetivo estratégico 10 Indicador 4</v>
      </c>
      <c r="G77" s="260" t="str">
        <f ca="1">OFFSET(Variables_Lu!$D$10,Basic_Setup!H91,0)</f>
        <v>Nutrition-specific</v>
      </c>
      <c r="H77" s="70">
        <f t="shared" si="2"/>
        <v>0</v>
      </c>
      <c r="I77" s="262">
        <f t="shared" si="41"/>
        <v>0</v>
      </c>
      <c r="J77" s="37">
        <v>0</v>
      </c>
      <c r="K77" s="37">
        <v>0</v>
      </c>
      <c r="L77" s="37">
        <v>0</v>
      </c>
      <c r="M77" s="37">
        <v>0</v>
      </c>
      <c r="N77" s="37">
        <v>0</v>
      </c>
    </row>
    <row r="78" spans="5:14" ht="11.25" customHeight="1" x14ac:dyDescent="0.2">
      <c r="E78" s="448"/>
      <c r="F78" s="41" t="str">
        <f>STRAT10_IND5</f>
        <v>Objetivo estratégico 10 Indicador 5</v>
      </c>
      <c r="G78" s="260" t="str">
        <f ca="1">OFFSET(Variables_Lu!$D$10,Basic_Setup!H92,0)</f>
        <v>Nutrition-specific</v>
      </c>
      <c r="H78" s="70">
        <f t="shared" si="2"/>
        <v>0</v>
      </c>
      <c r="I78" s="262">
        <f t="shared" si="41"/>
        <v>0</v>
      </c>
      <c r="J78" s="37">
        <v>0</v>
      </c>
      <c r="K78" s="37">
        <v>0</v>
      </c>
      <c r="L78" s="37">
        <v>0</v>
      </c>
      <c r="M78" s="37">
        <v>0</v>
      </c>
      <c r="N78" s="37">
        <v>0</v>
      </c>
    </row>
    <row r="79" spans="5:14" ht="11.25" customHeight="1" x14ac:dyDescent="0.2">
      <c r="G79" s="152" t="s">
        <v>547</v>
      </c>
      <c r="H79" s="278">
        <f t="shared" si="2"/>
        <v>0</v>
      </c>
      <c r="I79" s="265">
        <f>SUM(I74:I78)</f>
        <v>0</v>
      </c>
      <c r="J79" s="265">
        <f t="shared" ref="J79:N79" si="42">SUM(J74:J78)</f>
        <v>0</v>
      </c>
      <c r="K79" s="265">
        <f t="shared" si="42"/>
        <v>0</v>
      </c>
      <c r="L79" s="265">
        <f t="shared" si="42"/>
        <v>0</v>
      </c>
      <c r="M79" s="265">
        <f t="shared" si="42"/>
        <v>0</v>
      </c>
      <c r="N79" s="265">
        <f t="shared" si="42"/>
        <v>0</v>
      </c>
    </row>
    <row r="80" spans="5:14" ht="11.25" customHeight="1" x14ac:dyDescent="0.2">
      <c r="I80" s="263"/>
    </row>
    <row r="81" spans="5:14" ht="11.25" customHeight="1" x14ac:dyDescent="0.2">
      <c r="I81" s="263"/>
    </row>
    <row r="82" spans="5:14" ht="12.6" thickBot="1" x14ac:dyDescent="0.25">
      <c r="H82" s="149" t="str">
        <f>"TOTAL - "&amp;$E$12</f>
        <v>TOTAL - Necesidades financieras</v>
      </c>
      <c r="I82" s="264">
        <f>SUM(I25,I31,I37,I43,I49,I55,I61,I67,I73,I79)</f>
        <v>810943482412.15771</v>
      </c>
      <c r="J82" s="264">
        <f>SUM(J25,J31,J37,J43,J49,J55,J61,J67,J73,J79)</f>
        <v>153833807089.67026</v>
      </c>
      <c r="K82" s="264">
        <f t="shared" ref="K82:M82" si="43">SUM(K25,K31,K37,K43,K49,K55,K61,K67,K73,K79)</f>
        <v>168494147533.5123</v>
      </c>
      <c r="L82" s="264">
        <f t="shared" si="43"/>
        <v>163356056589.58591</v>
      </c>
      <c r="M82" s="264">
        <f t="shared" si="43"/>
        <v>161504442571.84381</v>
      </c>
      <c r="N82" s="264">
        <f>SUM(N25,N31,N37,N43,N49,N55,N61,N67,N73,N79)</f>
        <v>163755028627.54541</v>
      </c>
    </row>
    <row r="83" spans="5:14" ht="12" x14ac:dyDescent="0.2">
      <c r="I83" s="149"/>
    </row>
    <row r="84" spans="5:14" ht="12" x14ac:dyDescent="0.2">
      <c r="E84" s="44" t="s">
        <v>4</v>
      </c>
    </row>
    <row r="85" spans="5:14" x14ac:dyDescent="0.2">
      <c r="E85" s="49"/>
    </row>
    <row r="86" spans="5:14" x14ac:dyDescent="0.2">
      <c r="E86" s="49"/>
    </row>
    <row r="87" spans="5:14" x14ac:dyDescent="0.2">
      <c r="E87" s="49"/>
    </row>
    <row r="88" spans="5:14" x14ac:dyDescent="0.2">
      <c r="E88" s="49"/>
    </row>
    <row r="91" spans="5:14" ht="12" x14ac:dyDescent="0.2">
      <c r="E91" s="412" t="s">
        <v>389</v>
      </c>
      <c r="F91" s="412" t="s">
        <v>399</v>
      </c>
      <c r="G91" s="417" t="s">
        <v>559</v>
      </c>
      <c r="H91" s="282" t="s">
        <v>549</v>
      </c>
      <c r="I91" s="282" t="s">
        <v>106</v>
      </c>
      <c r="J91" s="54" t="str">
        <f>CURR_INT_ABBR</f>
        <v>USD</v>
      </c>
      <c r="K91" s="54" t="str">
        <f>CURR_INT_ABBR</f>
        <v>USD</v>
      </c>
      <c r="L91" s="54" t="str">
        <f>CURR_INT_ABBR</f>
        <v>USD</v>
      </c>
      <c r="M91" s="54" t="str">
        <f>CURR_INT_ABBR</f>
        <v>USD</v>
      </c>
      <c r="N91" s="54" t="str">
        <f>CURR_INT_ABBR</f>
        <v>USD</v>
      </c>
    </row>
    <row r="92" spans="5:14" ht="22.8" x14ac:dyDescent="0.2">
      <c r="E92" s="446" t="str">
        <f>Strategy1</f>
        <v>Objetivo estratégico 1: Fortalecer la gobernanza de la nutrición</v>
      </c>
      <c r="F92" s="410" t="str">
        <f>STRAT1_IND1</f>
        <v>Se refuerza la coordinación multisectorial en materia de nutrición</v>
      </c>
      <c r="G92" s="411" t="str">
        <f ca="1">OFFSET(Variables_Lu!$D$10,Basic_Setup!H34,0)</f>
        <v>Governance</v>
      </c>
      <c r="H92" s="70">
        <f t="shared" ref="H92:H123" si="44">I92/$I$154</f>
        <v>2.8077758295216846E-3</v>
      </c>
      <c r="I92" s="67">
        <f t="shared" ref="I92:N101" si="45">I20/EXCHANGE_RATE</f>
        <v>1264970.8383472222</v>
      </c>
      <c r="J92" s="154">
        <f>J20/EXCHANGE_RATE</f>
        <v>314928.01388888888</v>
      </c>
      <c r="K92" s="154">
        <f t="shared" si="45"/>
        <v>192559.35694444444</v>
      </c>
      <c r="L92" s="154">
        <f t="shared" si="45"/>
        <v>320433.38418055553</v>
      </c>
      <c r="M92" s="154">
        <f t="shared" si="45"/>
        <v>144507.59722222222</v>
      </c>
      <c r="N92" s="154">
        <f t="shared" si="45"/>
        <v>292542.48611111112</v>
      </c>
    </row>
    <row r="93" spans="5:14" ht="34.200000000000003" x14ac:dyDescent="0.2">
      <c r="E93" s="444"/>
      <c r="F93" s="266" t="str">
        <f>STRAT1_IND2</f>
        <v>Está en funcionamiento el sistema multisectorial de información sobre nutrición para la adopción de decisiones eficaces.</v>
      </c>
      <c r="G93" s="268" t="str">
        <f ca="1">OFFSET(Variables_Lu!$D$10,Basic_Setup!H35,0)</f>
        <v>Governance</v>
      </c>
      <c r="H93" s="70">
        <f t="shared" si="44"/>
        <v>2.8077758295216846E-3</v>
      </c>
      <c r="I93" s="67">
        <f t="shared" si="45"/>
        <v>1264970.8383472222</v>
      </c>
      <c r="J93" s="154">
        <f t="shared" si="45"/>
        <v>314928.01388888888</v>
      </c>
      <c r="K93" s="154">
        <f t="shared" si="45"/>
        <v>192559.35694444444</v>
      </c>
      <c r="L93" s="154">
        <f t="shared" si="45"/>
        <v>320433.38418055553</v>
      </c>
      <c r="M93" s="154">
        <f t="shared" si="45"/>
        <v>144507.59722222222</v>
      </c>
      <c r="N93" s="154">
        <f t="shared" si="45"/>
        <v>292542.48611111112</v>
      </c>
    </row>
    <row r="94" spans="5:14" ht="22.8" x14ac:dyDescent="0.2">
      <c r="E94" s="444"/>
      <c r="F94" s="266" t="str">
        <f>STRAT1_IND3</f>
        <v>La investigación en nutrición se utiliza para aclarar que la toma de decisiones se mejora y se refuerza.</v>
      </c>
      <c r="G94" s="268" t="str">
        <f ca="1">OFFSET(Variables_Lu!$D$10,Basic_Setup!H36,0)</f>
        <v>Governance</v>
      </c>
      <c r="H94" s="70">
        <f t="shared" si="44"/>
        <v>2.8077758295216846E-3</v>
      </c>
      <c r="I94" s="67">
        <f t="shared" si="45"/>
        <v>1264970.8383472222</v>
      </c>
      <c r="J94" s="154">
        <f t="shared" si="45"/>
        <v>314928.01388888888</v>
      </c>
      <c r="K94" s="154">
        <f t="shared" si="45"/>
        <v>192559.35694444444</v>
      </c>
      <c r="L94" s="154">
        <f t="shared" si="45"/>
        <v>320433.38418055553</v>
      </c>
      <c r="M94" s="154">
        <f t="shared" si="45"/>
        <v>144507.59722222222</v>
      </c>
      <c r="N94" s="154">
        <f t="shared" si="45"/>
        <v>292542.48611111112</v>
      </c>
    </row>
    <row r="95" spans="5:14" ht="22.8" x14ac:dyDescent="0.2">
      <c r="E95" s="444"/>
      <c r="F95" s="267" t="str">
        <f>STRAT1_IND4</f>
        <v>El marco legislativo y reglamentario de la nutrición se ha fortalecido y está en funcionamiento.</v>
      </c>
      <c r="G95" s="268" t="str">
        <f ca="1">OFFSET(Variables_Lu!$D$10,Basic_Setup!H37,0)</f>
        <v>Governance</v>
      </c>
      <c r="H95" s="70">
        <f t="shared" si="44"/>
        <v>2.8077758295216846E-3</v>
      </c>
      <c r="I95" s="67">
        <f t="shared" si="45"/>
        <v>1264970.8383472222</v>
      </c>
      <c r="J95" s="154">
        <f t="shared" si="45"/>
        <v>314928.01388888888</v>
      </c>
      <c r="K95" s="154">
        <f t="shared" si="45"/>
        <v>192559.35694444444</v>
      </c>
      <c r="L95" s="154">
        <f t="shared" si="45"/>
        <v>320433.38418055553</v>
      </c>
      <c r="M95" s="154">
        <f t="shared" si="45"/>
        <v>144507.59722222222</v>
      </c>
      <c r="N95" s="154">
        <f t="shared" si="45"/>
        <v>292542.48611111112</v>
      </c>
    </row>
    <row r="96" spans="5:14" ht="12.6" thickBot="1" x14ac:dyDescent="0.25">
      <c r="E96" s="445"/>
      <c r="F96" s="269" t="str">
        <f>STRAT1_IND5</f>
        <v>Objetivo estratégico 1 Indicador 5</v>
      </c>
      <c r="G96" s="270" t="str">
        <f ca="1">OFFSET(Variables_Lu!$D$10,Basic_Setup!H38,0)</f>
        <v>Governance</v>
      </c>
      <c r="H96" s="70">
        <f t="shared" si="44"/>
        <v>0</v>
      </c>
      <c r="I96" s="67">
        <f t="shared" si="45"/>
        <v>0</v>
      </c>
      <c r="J96" s="154">
        <f t="shared" si="45"/>
        <v>0</v>
      </c>
      <c r="K96" s="154">
        <f t="shared" si="45"/>
        <v>0</v>
      </c>
      <c r="L96" s="154">
        <f t="shared" si="45"/>
        <v>0</v>
      </c>
      <c r="M96" s="154">
        <f t="shared" si="45"/>
        <v>0</v>
      </c>
      <c r="N96" s="154">
        <f>N24/EXCHANGE_RATE</f>
        <v>0</v>
      </c>
    </row>
    <row r="97" spans="5:14" ht="12.6" thickBot="1" x14ac:dyDescent="0.25">
      <c r="E97" s="38"/>
      <c r="F97" s="38"/>
      <c r="G97" s="152" t="s">
        <v>538</v>
      </c>
      <c r="H97" s="278">
        <f t="shared" si="44"/>
        <v>1.1231103318086738E-2</v>
      </c>
      <c r="I97" s="122">
        <f t="shared" si="45"/>
        <v>5059883.3533888888</v>
      </c>
      <c r="J97" s="63">
        <f t="shared" si="45"/>
        <v>1259712.0555555555</v>
      </c>
      <c r="K97" s="63">
        <f t="shared" si="45"/>
        <v>770237.42777777778</v>
      </c>
      <c r="L97" s="63">
        <f t="shared" si="45"/>
        <v>1281733.5367222221</v>
      </c>
      <c r="M97" s="63">
        <f t="shared" si="45"/>
        <v>578030.38888888888</v>
      </c>
      <c r="N97" s="63">
        <f t="shared" si="45"/>
        <v>1170169.9444444445</v>
      </c>
    </row>
    <row r="98" spans="5:14" ht="45.6" x14ac:dyDescent="0.2">
      <c r="E98" s="443" t="str">
        <f>Strategy2</f>
        <v>Objetivo estratégico 2: Fortalecer el acceso al tratamiento y a los servicios de salud y nutrición de calidad, así como al tratamiento de todas las formas de malnutrición</v>
      </c>
      <c r="F98" s="271" t="str">
        <f>STRAT2_IND1</f>
        <v>Se fortalece el acceso y la utilización sostenible de los servicios de salud y nutrición para los niños menores de 5 años, los adolescentes, las mujeres embarazadas y lactantes, y los demás grupos vulnerables</v>
      </c>
      <c r="G98" s="272" t="str">
        <f ca="1">OFFSET(Variables_Lu!$D$10,Basic_Setup!H40,0)</f>
        <v>Nutrition-specific</v>
      </c>
      <c r="H98" s="70">
        <f t="shared" si="44"/>
        <v>4.9061285688464754E-2</v>
      </c>
      <c r="I98" s="67">
        <f t="shared" si="45"/>
        <v>22103294.371011868</v>
      </c>
      <c r="J98" s="154">
        <f t="shared" si="45"/>
        <v>4022671.8815052779</v>
      </c>
      <c r="K98" s="154">
        <f t="shared" si="45"/>
        <v>4844149.1280525932</v>
      </c>
      <c r="L98" s="154">
        <f t="shared" si="45"/>
        <v>4376216.6187667036</v>
      </c>
      <c r="M98" s="154">
        <f t="shared" si="45"/>
        <v>4415065.1334234076</v>
      </c>
      <c r="N98" s="154">
        <f t="shared" si="45"/>
        <v>4445191.6092638886</v>
      </c>
    </row>
    <row r="99" spans="5:14" ht="45.6" x14ac:dyDescent="0.2">
      <c r="E99" s="444"/>
      <c r="F99" s="266" t="str">
        <f>STRAT2_IND2</f>
        <v xml:space="preserve">Se reduce la prevalencia de enfermedades relacionadas con la prevalencia de la malnutrición (paludismo, diarrea, neumonía, parásitos intestinales, VIH, TNM) en lactantes, adolescentes y mujeres en edad reproductiva. </v>
      </c>
      <c r="G99" s="268" t="str">
        <f ca="1">OFFSET(Variables_Lu!$D$10,Basic_Setup!H41,0)</f>
        <v>Nutrition-sensitive</v>
      </c>
      <c r="H99" s="70">
        <f t="shared" si="44"/>
        <v>4.9061285688464754E-2</v>
      </c>
      <c r="I99" s="67">
        <f t="shared" si="45"/>
        <v>22103294.371011868</v>
      </c>
      <c r="J99" s="154">
        <f t="shared" si="45"/>
        <v>4022671.8815052779</v>
      </c>
      <c r="K99" s="154">
        <f t="shared" si="45"/>
        <v>4844149.1280525932</v>
      </c>
      <c r="L99" s="154">
        <f t="shared" si="45"/>
        <v>4376216.6187667036</v>
      </c>
      <c r="M99" s="154">
        <f t="shared" si="45"/>
        <v>4415065.1334234076</v>
      </c>
      <c r="N99" s="154">
        <f t="shared" si="45"/>
        <v>4445191.6092638886</v>
      </c>
    </row>
    <row r="100" spans="5:14" ht="22.8" x14ac:dyDescent="0.2">
      <c r="E100" s="444"/>
      <c r="F100" s="266" t="str">
        <f>STRAT2_IND3</f>
        <v>Se refuerzan las intervenciones comunitarias en materia de nutrición.</v>
      </c>
      <c r="G100" s="268" t="str">
        <f ca="1">OFFSET(Variables_Lu!$D$10,Basic_Setup!H42,0)</f>
        <v>Nutrition-specific</v>
      </c>
      <c r="H100" s="70">
        <f t="shared" si="44"/>
        <v>4.9061285688464754E-2</v>
      </c>
      <c r="I100" s="67">
        <f t="shared" si="45"/>
        <v>22103294.371011868</v>
      </c>
      <c r="J100" s="154">
        <f t="shared" si="45"/>
        <v>4022671.8815052779</v>
      </c>
      <c r="K100" s="154">
        <f t="shared" si="45"/>
        <v>4844149.1280525932</v>
      </c>
      <c r="L100" s="154">
        <f t="shared" si="45"/>
        <v>4376216.6187667036</v>
      </c>
      <c r="M100" s="154">
        <f t="shared" si="45"/>
        <v>4415065.1334234076</v>
      </c>
      <c r="N100" s="154">
        <f t="shared" si="45"/>
        <v>4445191.6092638886</v>
      </c>
    </row>
    <row r="101" spans="5:14" ht="12" x14ac:dyDescent="0.2">
      <c r="E101" s="444"/>
      <c r="F101" s="267" t="str">
        <f>STRAT2_IND4</f>
        <v>Objetivo estratégico 2 Indicador 4</v>
      </c>
      <c r="G101" s="268" t="str">
        <f ca="1">OFFSET(Variables_Lu!$D$10,Basic_Setup!H43,0)</f>
        <v>Nutrition-specific</v>
      </c>
      <c r="H101" s="70">
        <f t="shared" si="44"/>
        <v>0</v>
      </c>
      <c r="I101" s="67">
        <f t="shared" si="45"/>
        <v>0</v>
      </c>
      <c r="J101" s="154">
        <f t="shared" si="45"/>
        <v>0</v>
      </c>
      <c r="K101" s="154">
        <f t="shared" si="45"/>
        <v>0</v>
      </c>
      <c r="L101" s="154">
        <f t="shared" si="45"/>
        <v>0</v>
      </c>
      <c r="M101" s="154">
        <f t="shared" si="45"/>
        <v>0</v>
      </c>
      <c r="N101" s="154">
        <f t="shared" si="45"/>
        <v>0</v>
      </c>
    </row>
    <row r="102" spans="5:14" ht="12.6" thickBot="1" x14ac:dyDescent="0.25">
      <c r="E102" s="445"/>
      <c r="F102" s="269" t="str">
        <f>STRAT2_IND5</f>
        <v>Objetivo estratégico 2 Indicador 5</v>
      </c>
      <c r="G102" s="270" t="str">
        <f ca="1">OFFSET(Variables_Lu!$D$10,Basic_Setup!H44,0)</f>
        <v>Nutrition-specific</v>
      </c>
      <c r="H102" s="70">
        <f t="shared" si="44"/>
        <v>0</v>
      </c>
      <c r="I102" s="67">
        <f t="shared" ref="I102:N111" si="46">I30/EXCHANGE_RATE</f>
        <v>0</v>
      </c>
      <c r="J102" s="154">
        <f t="shared" si="46"/>
        <v>0</v>
      </c>
      <c r="K102" s="154">
        <f t="shared" si="46"/>
        <v>0</v>
      </c>
      <c r="L102" s="154">
        <f t="shared" si="46"/>
        <v>0</v>
      </c>
      <c r="M102" s="154">
        <f t="shared" si="46"/>
        <v>0</v>
      </c>
      <c r="N102" s="154">
        <f t="shared" si="46"/>
        <v>0</v>
      </c>
    </row>
    <row r="103" spans="5:14" ht="12.6" thickBot="1" x14ac:dyDescent="0.25">
      <c r="E103" s="38"/>
      <c r="F103" s="38"/>
      <c r="G103" s="152" t="s">
        <v>539</v>
      </c>
      <c r="H103" s="278">
        <f t="shared" si="44"/>
        <v>0.14718385706539427</v>
      </c>
      <c r="I103" s="122">
        <f t="shared" si="46"/>
        <v>66309883.113035612</v>
      </c>
      <c r="J103" s="63">
        <f t="shared" si="46"/>
        <v>12068015.644515835</v>
      </c>
      <c r="K103" s="63">
        <f t="shared" si="46"/>
        <v>14532447.384157779</v>
      </c>
      <c r="L103" s="63">
        <f t="shared" si="46"/>
        <v>13128649.85630011</v>
      </c>
      <c r="M103" s="63">
        <f t="shared" si="46"/>
        <v>13245195.400270222</v>
      </c>
      <c r="N103" s="63">
        <f t="shared" si="46"/>
        <v>13335574.827791667</v>
      </c>
    </row>
    <row r="104" spans="5:14" ht="22.8" x14ac:dyDescent="0.2">
      <c r="E104" s="443" t="str">
        <f>Strategy3</f>
        <v>Objetivo estratégico 3: Aumentar la disponibilidad y el acceso a alimentos nutritivos de alto valor, seguros y diversificados</v>
      </c>
      <c r="F104" s="271" t="str">
        <f>STRAT3_IND1</f>
        <v xml:space="preserve">Aumenta la disponibilidad y el acceso a alimentos de alto valor nutritivo en los hogares. </v>
      </c>
      <c r="G104" s="272" t="str">
        <f ca="1">OFFSET(Variables_Lu!$D$10,Basic_Setup!H46,0)</f>
        <v>Nutrition-specific</v>
      </c>
      <c r="H104" s="70">
        <f t="shared" si="44"/>
        <v>0.26465763798100861</v>
      </c>
      <c r="I104" s="67">
        <f t="shared" si="46"/>
        <v>119234659.21738626</v>
      </c>
      <c r="J104" s="154">
        <f t="shared" si="46"/>
        <v>23743902.926180195</v>
      </c>
      <c r="K104" s="154">
        <f t="shared" si="46"/>
        <v>24662638.674745057</v>
      </c>
      <c r="L104" s="154">
        <f t="shared" si="46"/>
        <v>23679931.392150111</v>
      </c>
      <c r="M104" s="154">
        <f t="shared" si="46"/>
        <v>23444009.987710804</v>
      </c>
      <c r="N104" s="154">
        <f t="shared" si="46"/>
        <v>23704176.236600082</v>
      </c>
    </row>
    <row r="105" spans="5:14" ht="22.8" x14ac:dyDescent="0.2">
      <c r="E105" s="444"/>
      <c r="F105" s="266" t="str">
        <f>STRAT3_IND2</f>
        <v xml:space="preserve"> La seguridad alimentaria está garantizada para toda la nación.</v>
      </c>
      <c r="G105" s="268" t="str">
        <f ca="1">OFFSET(Variables_Lu!$D$10,Basic_Setup!H47,0)</f>
        <v>Nutrition-sensitive</v>
      </c>
      <c r="H105" s="70">
        <f t="shared" si="44"/>
        <v>0.26465763798100861</v>
      </c>
      <c r="I105" s="67">
        <f t="shared" si="46"/>
        <v>119234659.21738626</v>
      </c>
      <c r="J105" s="154">
        <f t="shared" si="46"/>
        <v>23743902.926180195</v>
      </c>
      <c r="K105" s="154">
        <f t="shared" si="46"/>
        <v>24662638.674745057</v>
      </c>
      <c r="L105" s="154">
        <f t="shared" si="46"/>
        <v>23679931.392150111</v>
      </c>
      <c r="M105" s="154">
        <f t="shared" si="46"/>
        <v>23444009.987710804</v>
      </c>
      <c r="N105" s="154">
        <f t="shared" si="46"/>
        <v>23704176.236600082</v>
      </c>
    </row>
    <row r="106" spans="5:14" ht="12" x14ac:dyDescent="0.2">
      <c r="E106" s="444"/>
      <c r="F106" s="266" t="str">
        <f>STRAT3_IND3</f>
        <v>Objetivo estratégico 3 Indicador 3</v>
      </c>
      <c r="G106" s="268" t="str">
        <f ca="1">OFFSET(Variables_Lu!$D$10,Basic_Setup!H48,0)</f>
        <v>Nutrition-specific</v>
      </c>
      <c r="H106" s="70">
        <f t="shared" si="44"/>
        <v>0</v>
      </c>
      <c r="I106" s="67">
        <f t="shared" si="46"/>
        <v>0</v>
      </c>
      <c r="J106" s="154">
        <f t="shared" si="46"/>
        <v>0</v>
      </c>
      <c r="K106" s="154">
        <f t="shared" si="46"/>
        <v>0</v>
      </c>
      <c r="L106" s="154">
        <f t="shared" si="46"/>
        <v>0</v>
      </c>
      <c r="M106" s="154">
        <f t="shared" si="46"/>
        <v>0</v>
      </c>
      <c r="N106" s="154">
        <f t="shared" si="46"/>
        <v>0</v>
      </c>
    </row>
    <row r="107" spans="5:14" ht="12" x14ac:dyDescent="0.2">
      <c r="E107" s="444"/>
      <c r="F107" s="267" t="str">
        <f>STRAT3_IND4</f>
        <v>Objetivo estratégico 3 Indicador 4</v>
      </c>
      <c r="G107" s="268" t="str">
        <f ca="1">OFFSET(Variables_Lu!$D$10,Basic_Setup!H49,0)</f>
        <v>Nutrition-specific</v>
      </c>
      <c r="H107" s="70">
        <f t="shared" si="44"/>
        <v>0</v>
      </c>
      <c r="I107" s="67">
        <f t="shared" si="46"/>
        <v>0</v>
      </c>
      <c r="J107" s="154">
        <f t="shared" si="46"/>
        <v>0</v>
      </c>
      <c r="K107" s="154">
        <f t="shared" si="46"/>
        <v>0</v>
      </c>
      <c r="L107" s="154">
        <f t="shared" si="46"/>
        <v>0</v>
      </c>
      <c r="M107" s="154">
        <f t="shared" si="46"/>
        <v>0</v>
      </c>
      <c r="N107" s="154">
        <f t="shared" si="46"/>
        <v>0</v>
      </c>
    </row>
    <row r="108" spans="5:14" ht="12.6" thickBot="1" x14ac:dyDescent="0.25">
      <c r="E108" s="445"/>
      <c r="F108" s="269" t="str">
        <f>STRAT3_IND5</f>
        <v>Objetivo estratégico 3 Indicador 5</v>
      </c>
      <c r="G108" s="270" t="str">
        <f ca="1">OFFSET(Variables_Lu!$D$10,Basic_Setup!H50,0)</f>
        <v>Nutrition-specific</v>
      </c>
      <c r="H108" s="70">
        <f t="shared" si="44"/>
        <v>0</v>
      </c>
      <c r="I108" s="67">
        <f t="shared" si="46"/>
        <v>0</v>
      </c>
      <c r="J108" s="154">
        <f t="shared" si="46"/>
        <v>0</v>
      </c>
      <c r="K108" s="154">
        <f t="shared" si="46"/>
        <v>0</v>
      </c>
      <c r="L108" s="154">
        <f t="shared" si="46"/>
        <v>0</v>
      </c>
      <c r="M108" s="154">
        <f t="shared" si="46"/>
        <v>0</v>
      </c>
      <c r="N108" s="154">
        <f t="shared" si="46"/>
        <v>0</v>
      </c>
    </row>
    <row r="109" spans="5:14" ht="12.6" thickBot="1" x14ac:dyDescent="0.25">
      <c r="G109" s="152" t="s">
        <v>540</v>
      </c>
      <c r="H109" s="278">
        <f t="shared" si="44"/>
        <v>0.52931527596201722</v>
      </c>
      <c r="I109" s="122">
        <f t="shared" si="46"/>
        <v>238469318.43477252</v>
      </c>
      <c r="J109" s="63">
        <f t="shared" si="46"/>
        <v>47487805.85236039</v>
      </c>
      <c r="K109" s="63">
        <f t="shared" si="46"/>
        <v>49325277.349490114</v>
      </c>
      <c r="L109" s="63">
        <f t="shared" si="46"/>
        <v>47359862.784300223</v>
      </c>
      <c r="M109" s="63">
        <f t="shared" si="46"/>
        <v>46888019.975421607</v>
      </c>
      <c r="N109" s="63">
        <f t="shared" si="46"/>
        <v>47408352.473200165</v>
      </c>
    </row>
    <row r="110" spans="5:14" ht="24" customHeight="1" x14ac:dyDescent="0.2">
      <c r="E110" s="443" t="str">
        <f>Strategy4</f>
        <v>Objetivo estratégico 4: Fortalecer la protección social, la resiliencia de la respuesta a las emergencias y los desastres naturales.</v>
      </c>
      <c r="F110" s="271" t="str">
        <f>STRAT4_IND1</f>
        <v xml:space="preserve">Se garantiza la protección social de los niños menores de 5 años, los adolescentes, FE/FA y otros grupos vulnerables. </v>
      </c>
      <c r="G110" s="272" t="str">
        <f ca="1">OFFSET(Variables_Lu!$D$10,Basic_Setup!H52,0)</f>
        <v>Nutrition-sensitive</v>
      </c>
      <c r="H110" s="70">
        <f t="shared" si="44"/>
        <v>7.9783056659573554E-2</v>
      </c>
      <c r="I110" s="67">
        <f t="shared" si="46"/>
        <v>35944194.336111702</v>
      </c>
      <c r="J110" s="154">
        <f t="shared" si="46"/>
        <v>7205268.8506715558</v>
      </c>
      <c r="K110" s="154">
        <f t="shared" si="46"/>
        <v>7165487.6990023712</v>
      </c>
      <c r="L110" s="154">
        <f t="shared" si="46"/>
        <v>7178206.000383703</v>
      </c>
      <c r="M110" s="154">
        <f t="shared" si="46"/>
        <v>7191092.4309750367</v>
      </c>
      <c r="N110" s="154">
        <f t="shared" si="46"/>
        <v>7204139.3550790371</v>
      </c>
    </row>
    <row r="111" spans="5:14" ht="34.200000000000003" x14ac:dyDescent="0.2">
      <c r="E111" s="444"/>
      <c r="F111" s="266" t="str">
        <f>STRAT4_IND2</f>
        <v xml:space="preserve">Se fortalece la capacidad de resiliencia y el estado nutricional de las poblaciones vulnerables, incluidos los niños de las zonas desfavorecidas.  </v>
      </c>
      <c r="G111" s="268" t="str">
        <f ca="1">OFFSET(Variables_Lu!$D$10,Basic_Setup!H53,0)</f>
        <v>Nutrition-specific</v>
      </c>
      <c r="H111" s="70">
        <f t="shared" si="44"/>
        <v>7.9783056659573554E-2</v>
      </c>
      <c r="I111" s="67">
        <f t="shared" si="46"/>
        <v>35944194.336111702</v>
      </c>
      <c r="J111" s="154">
        <f t="shared" si="46"/>
        <v>7205268.8506715558</v>
      </c>
      <c r="K111" s="154">
        <f t="shared" si="46"/>
        <v>7165487.6990023712</v>
      </c>
      <c r="L111" s="154">
        <f t="shared" si="46"/>
        <v>7178206.000383703</v>
      </c>
      <c r="M111" s="154">
        <f t="shared" si="46"/>
        <v>7191092.4309750367</v>
      </c>
      <c r="N111" s="154">
        <f t="shared" si="46"/>
        <v>7204139.3550790371</v>
      </c>
    </row>
    <row r="112" spans="5:14" ht="34.200000000000003" x14ac:dyDescent="0.2">
      <c r="E112" s="444"/>
      <c r="F112" s="266" t="str">
        <f>STRAT4_IND3</f>
        <v xml:space="preserve"> Se introducen eficazmente intervenciones para emergencias y catástrofes naturales integrales de la nutrición.</v>
      </c>
      <c r="G112" s="268" t="str">
        <f ca="1">OFFSET(Variables_Lu!$D$10,Basic_Setup!H54,0)</f>
        <v>Nutrition-specific</v>
      </c>
      <c r="H112" s="70">
        <f t="shared" si="44"/>
        <v>7.9783056659573554E-2</v>
      </c>
      <c r="I112" s="67">
        <f t="shared" ref="I112:N121" si="47">I40/EXCHANGE_RATE</f>
        <v>35944194.336111702</v>
      </c>
      <c r="J112" s="154">
        <f t="shared" si="47"/>
        <v>7205268.8506715558</v>
      </c>
      <c r="K112" s="154">
        <f t="shared" si="47"/>
        <v>7165487.6990023712</v>
      </c>
      <c r="L112" s="154">
        <f t="shared" si="47"/>
        <v>7178206.000383703</v>
      </c>
      <c r="M112" s="154">
        <f t="shared" si="47"/>
        <v>7191092.4309750367</v>
      </c>
      <c r="N112" s="154">
        <f t="shared" si="47"/>
        <v>7204139.3550790371</v>
      </c>
    </row>
    <row r="113" spans="5:14" ht="12" x14ac:dyDescent="0.2">
      <c r="E113" s="444"/>
      <c r="F113" s="267" t="str">
        <f>STRAT4_IND4</f>
        <v>Objetivo estratégico 4 Indicador 4</v>
      </c>
      <c r="G113" s="268" t="str">
        <f ca="1">OFFSET(Variables_Lu!$D$10,Basic_Setup!H55,0)</f>
        <v>Nutrition-specific</v>
      </c>
      <c r="H113" s="70">
        <f t="shared" si="44"/>
        <v>0</v>
      </c>
      <c r="I113" s="67">
        <f t="shared" si="47"/>
        <v>0</v>
      </c>
      <c r="J113" s="154">
        <f t="shared" si="47"/>
        <v>0</v>
      </c>
      <c r="K113" s="154">
        <f t="shared" si="47"/>
        <v>0</v>
      </c>
      <c r="L113" s="154">
        <f t="shared" si="47"/>
        <v>0</v>
      </c>
      <c r="M113" s="154">
        <f t="shared" si="47"/>
        <v>0</v>
      </c>
      <c r="N113" s="154">
        <f t="shared" si="47"/>
        <v>0</v>
      </c>
    </row>
    <row r="114" spans="5:14" ht="12.6" thickBot="1" x14ac:dyDescent="0.25">
      <c r="E114" s="445"/>
      <c r="F114" s="269" t="str">
        <f>STRAT4_IND5</f>
        <v>Objetivo estratégico 4 Indicador 5</v>
      </c>
      <c r="G114" s="270" t="str">
        <f ca="1">OFFSET(Variables_Lu!$D$10,Basic_Setup!H56,0)</f>
        <v>Nutrition-specific</v>
      </c>
      <c r="H114" s="70">
        <f t="shared" si="44"/>
        <v>0</v>
      </c>
      <c r="I114" s="67">
        <f t="shared" si="47"/>
        <v>0</v>
      </c>
      <c r="J114" s="154">
        <f t="shared" si="47"/>
        <v>0</v>
      </c>
      <c r="K114" s="154">
        <f t="shared" si="47"/>
        <v>0</v>
      </c>
      <c r="L114" s="154">
        <f t="shared" si="47"/>
        <v>0</v>
      </c>
      <c r="M114" s="154">
        <f t="shared" si="47"/>
        <v>0</v>
      </c>
      <c r="N114" s="154">
        <f t="shared" si="47"/>
        <v>0</v>
      </c>
    </row>
    <row r="115" spans="5:14" ht="12.6" thickBot="1" x14ac:dyDescent="0.25">
      <c r="F115" s="273"/>
      <c r="G115" s="152" t="s">
        <v>541</v>
      </c>
      <c r="H115" s="278">
        <f t="shared" si="44"/>
        <v>0.23934916997872066</v>
      </c>
      <c r="I115" s="122">
        <f t="shared" si="47"/>
        <v>107832583.00833511</v>
      </c>
      <c r="J115" s="63">
        <f t="shared" si="47"/>
        <v>21615806.552014668</v>
      </c>
      <c r="K115" s="63">
        <f t="shared" si="47"/>
        <v>21496463.097007111</v>
      </c>
      <c r="L115" s="63">
        <f t="shared" si="47"/>
        <v>21534618.001151111</v>
      </c>
      <c r="M115" s="63">
        <f t="shared" si="47"/>
        <v>21573277.292925108</v>
      </c>
      <c r="N115" s="63">
        <f t="shared" si="47"/>
        <v>21612418.065237112</v>
      </c>
    </row>
    <row r="116" spans="5:14" ht="34.200000000000003" x14ac:dyDescent="0.2">
      <c r="E116" s="443" t="str">
        <f>Strategy5</f>
        <v xml:space="preserve">Objetivo estratégico 5: Promoción de prácticas favorables a una nutrición óptima, de higiene y saneamiento básico. </v>
      </c>
      <c r="F116" s="274" t="str">
        <f>STRAT5_IND1</f>
        <v>Se mejoran las prácticas nutricionales favorables para los niños menores de 5 años, los adolescentes, las mujeres embarazadas y lactantes, y otros grupos vulnerables.</v>
      </c>
      <c r="G116" s="272" t="str">
        <f ca="1">OFFSET(Variables_Lu!$D$10,Basic_Setup!H58,0)</f>
        <v>Nutrition-specific</v>
      </c>
      <c r="H116" s="70">
        <f t="shared" si="44"/>
        <v>2.4306864558593693E-2</v>
      </c>
      <c r="I116" s="67">
        <f t="shared" si="47"/>
        <v>10950829.662037013</v>
      </c>
      <c r="J116" s="154">
        <f t="shared" si="47"/>
        <v>1010628.6854938278</v>
      </c>
      <c r="K116" s="154">
        <f t="shared" si="47"/>
        <v>2494478.1608024631</v>
      </c>
      <c r="L116" s="154">
        <f t="shared" si="47"/>
        <v>2482833.5311728334</v>
      </c>
      <c r="M116" s="154">
        <f t="shared" si="47"/>
        <v>2480055.7533950559</v>
      </c>
      <c r="N116" s="154">
        <f t="shared" si="47"/>
        <v>2482833.5311728334</v>
      </c>
    </row>
    <row r="117" spans="5:14" ht="22.8" x14ac:dyDescent="0.2">
      <c r="E117" s="444"/>
      <c r="F117" s="42" t="str">
        <f>STRAT5_IND2</f>
        <v>Se promueven dietas saludables y estilos de vida saludables para las personas.</v>
      </c>
      <c r="G117" s="268" t="str">
        <f ca="1">OFFSET(Variables_Lu!$D$10,Basic_Setup!H59,0)</f>
        <v>Nutrition-specific</v>
      </c>
      <c r="H117" s="70">
        <f t="shared" si="44"/>
        <v>2.4306864558593693E-2</v>
      </c>
      <c r="I117" s="67">
        <f t="shared" si="47"/>
        <v>10950829.662037013</v>
      </c>
      <c r="J117" s="154">
        <f t="shared" si="47"/>
        <v>1010628.6854938278</v>
      </c>
      <c r="K117" s="154">
        <f t="shared" si="47"/>
        <v>2494478.1608024631</v>
      </c>
      <c r="L117" s="154">
        <f t="shared" si="47"/>
        <v>2482833.5311728334</v>
      </c>
      <c r="M117" s="154">
        <f t="shared" si="47"/>
        <v>2480055.7533950559</v>
      </c>
      <c r="N117" s="154">
        <f t="shared" si="47"/>
        <v>2482833.5311728334</v>
      </c>
    </row>
    <row r="118" spans="5:14" ht="22.8" x14ac:dyDescent="0.2">
      <c r="E118" s="444"/>
      <c r="F118" s="42" t="str">
        <f>STRAT5_IND3</f>
        <v>Se promueven las buenas prácticas WASH a nivel comunitario y doméstico</v>
      </c>
      <c r="G118" s="268" t="str">
        <f ca="1">OFFSET(Variables_Lu!$D$10,Basic_Setup!H60,0)</f>
        <v>Nutrition-sensitive</v>
      </c>
      <c r="H118" s="70">
        <f t="shared" si="44"/>
        <v>2.4306864558593693E-2</v>
      </c>
      <c r="I118" s="67">
        <f t="shared" si="47"/>
        <v>10950829.662037013</v>
      </c>
      <c r="J118" s="154">
        <f t="shared" si="47"/>
        <v>1010628.6854938278</v>
      </c>
      <c r="K118" s="154">
        <f t="shared" si="47"/>
        <v>2494478.1608024631</v>
      </c>
      <c r="L118" s="154">
        <f t="shared" si="47"/>
        <v>2482833.5311728334</v>
      </c>
      <c r="M118" s="154">
        <f t="shared" si="47"/>
        <v>2480055.7533950559</v>
      </c>
      <c r="N118" s="154">
        <f t="shared" si="47"/>
        <v>2482833.5311728334</v>
      </c>
    </row>
    <row r="119" spans="5:14" ht="12" x14ac:dyDescent="0.2">
      <c r="E119" s="444"/>
      <c r="F119" s="41" t="str">
        <f>STRAT5_IND4</f>
        <v>Objetivo estratégico 5 Indicador 4</v>
      </c>
      <c r="G119" s="268" t="str">
        <f ca="1">OFFSET(Variables_Lu!$D$10,Basic_Setup!H61,0)</f>
        <v>Nutrition-specific</v>
      </c>
      <c r="H119" s="70">
        <f t="shared" si="44"/>
        <v>0</v>
      </c>
      <c r="I119" s="67">
        <f t="shared" si="47"/>
        <v>0</v>
      </c>
      <c r="J119" s="154">
        <f t="shared" si="47"/>
        <v>0</v>
      </c>
      <c r="K119" s="154">
        <f t="shared" si="47"/>
        <v>0</v>
      </c>
      <c r="L119" s="154">
        <f t="shared" si="47"/>
        <v>0</v>
      </c>
      <c r="M119" s="154">
        <f t="shared" si="47"/>
        <v>0</v>
      </c>
      <c r="N119" s="154">
        <f t="shared" si="47"/>
        <v>0</v>
      </c>
    </row>
    <row r="120" spans="5:14" ht="12.6" thickBot="1" x14ac:dyDescent="0.25">
      <c r="E120" s="445"/>
      <c r="F120" s="275" t="str">
        <f>STRAT5_IND5</f>
        <v>Objetivo estratégico 5 Indicador 5</v>
      </c>
      <c r="G120" s="270" t="str">
        <f ca="1">OFFSET(Variables_Lu!$D$10,Basic_Setup!H62,0)</f>
        <v>Nutrition-specific</v>
      </c>
      <c r="H120" s="70">
        <f t="shared" si="44"/>
        <v>0</v>
      </c>
      <c r="I120" s="67">
        <f t="shared" si="47"/>
        <v>0</v>
      </c>
      <c r="J120" s="154">
        <f t="shared" si="47"/>
        <v>0</v>
      </c>
      <c r="K120" s="154">
        <f t="shared" si="47"/>
        <v>0</v>
      </c>
      <c r="L120" s="154">
        <f t="shared" si="47"/>
        <v>0</v>
      </c>
      <c r="M120" s="154">
        <f t="shared" si="47"/>
        <v>0</v>
      </c>
      <c r="N120" s="154">
        <f t="shared" si="47"/>
        <v>0</v>
      </c>
    </row>
    <row r="121" spans="5:14" ht="12.6" thickBot="1" x14ac:dyDescent="0.25">
      <c r="G121" s="152" t="s">
        <v>542</v>
      </c>
      <c r="H121" s="278">
        <f t="shared" si="44"/>
        <v>7.2920593675781062E-2</v>
      </c>
      <c r="I121" s="122">
        <f t="shared" si="47"/>
        <v>32852488.986111034</v>
      </c>
      <c r="J121" s="63">
        <f t="shared" si="47"/>
        <v>3031886.0564814834</v>
      </c>
      <c r="K121" s="63">
        <f t="shared" si="47"/>
        <v>7483434.4824073883</v>
      </c>
      <c r="L121" s="63">
        <f t="shared" si="47"/>
        <v>7448500.5935185011</v>
      </c>
      <c r="M121" s="63">
        <f t="shared" si="47"/>
        <v>7440167.2601851672</v>
      </c>
      <c r="N121" s="63">
        <f t="shared" si="47"/>
        <v>7448500.5935185011</v>
      </c>
    </row>
    <row r="122" spans="5:14" ht="12" x14ac:dyDescent="0.2">
      <c r="E122" s="443" t="str">
        <f>Strategy6</f>
        <v>Objetivo estratégico 6: [No está en uso]</v>
      </c>
      <c r="F122" s="274" t="str">
        <f>STRAT6_IND1</f>
        <v>Objetivo estratégico 6 Indicador 1</v>
      </c>
      <c r="G122" s="272" t="str">
        <f ca="1">OFFSET(Variables_Lu!$D$10,Basic_Setup!H64,0)</f>
        <v>Nutrition-specific</v>
      </c>
      <c r="H122" s="70">
        <f t="shared" si="44"/>
        <v>0</v>
      </c>
      <c r="I122" s="67">
        <f t="shared" ref="I122:N131" si="48">I50/EXCHANGE_RATE</f>
        <v>0</v>
      </c>
      <c r="J122" s="154">
        <f t="shared" si="48"/>
        <v>0</v>
      </c>
      <c r="K122" s="154">
        <f t="shared" si="48"/>
        <v>0</v>
      </c>
      <c r="L122" s="154">
        <f t="shared" si="48"/>
        <v>0</v>
      </c>
      <c r="M122" s="154">
        <f t="shared" si="48"/>
        <v>0</v>
      </c>
      <c r="N122" s="154">
        <f t="shared" si="48"/>
        <v>0</v>
      </c>
    </row>
    <row r="123" spans="5:14" ht="12" x14ac:dyDescent="0.2">
      <c r="E123" s="444"/>
      <c r="F123" s="42" t="str">
        <f>STRAT6_IND2</f>
        <v>Objetivo estratégico 6 Indicador 2</v>
      </c>
      <c r="G123" s="268" t="str">
        <f ca="1">OFFSET(Variables_Lu!$D$10,Basic_Setup!H65,0)</f>
        <v>Nutrition-specific</v>
      </c>
      <c r="H123" s="70">
        <f t="shared" si="44"/>
        <v>0</v>
      </c>
      <c r="I123" s="67">
        <f t="shared" si="48"/>
        <v>0</v>
      </c>
      <c r="J123" s="154">
        <f t="shared" si="48"/>
        <v>0</v>
      </c>
      <c r="K123" s="154">
        <f t="shared" si="48"/>
        <v>0</v>
      </c>
      <c r="L123" s="154">
        <f t="shared" si="48"/>
        <v>0</v>
      </c>
      <c r="M123" s="154">
        <f t="shared" si="48"/>
        <v>0</v>
      </c>
      <c r="N123" s="154">
        <f t="shared" si="48"/>
        <v>0</v>
      </c>
    </row>
    <row r="124" spans="5:14" ht="12" x14ac:dyDescent="0.2">
      <c r="E124" s="444"/>
      <c r="F124" s="42" t="str">
        <f>STRAT6_IND3</f>
        <v>Objetivo estratégico 6 Indicador 3</v>
      </c>
      <c r="G124" s="268" t="str">
        <f ca="1">OFFSET(Variables_Lu!$D$10,Basic_Setup!H66,0)</f>
        <v>Nutrition-specific</v>
      </c>
      <c r="H124" s="70">
        <f t="shared" ref="H124:H151" si="49">I124/$I$154</f>
        <v>0</v>
      </c>
      <c r="I124" s="67">
        <f t="shared" si="48"/>
        <v>0</v>
      </c>
      <c r="J124" s="154">
        <f t="shared" si="48"/>
        <v>0</v>
      </c>
      <c r="K124" s="154">
        <f t="shared" si="48"/>
        <v>0</v>
      </c>
      <c r="L124" s="154">
        <f t="shared" si="48"/>
        <v>0</v>
      </c>
      <c r="M124" s="154">
        <f t="shared" si="48"/>
        <v>0</v>
      </c>
      <c r="N124" s="154">
        <f t="shared" si="48"/>
        <v>0</v>
      </c>
    </row>
    <row r="125" spans="5:14" ht="12" x14ac:dyDescent="0.2">
      <c r="E125" s="444"/>
      <c r="F125" s="41" t="str">
        <f>STRAT6_IND4</f>
        <v>Objetivo estratégico 6 Indicador 4</v>
      </c>
      <c r="G125" s="268" t="str">
        <f ca="1">OFFSET(Variables_Lu!$D$10,Basic_Setup!H67,0)</f>
        <v>Nutrition-specific</v>
      </c>
      <c r="H125" s="70">
        <f t="shared" si="49"/>
        <v>0</v>
      </c>
      <c r="I125" s="67">
        <f t="shared" si="48"/>
        <v>0</v>
      </c>
      <c r="J125" s="154">
        <f t="shared" si="48"/>
        <v>0</v>
      </c>
      <c r="K125" s="154">
        <f t="shared" si="48"/>
        <v>0</v>
      </c>
      <c r="L125" s="154">
        <f t="shared" si="48"/>
        <v>0</v>
      </c>
      <c r="M125" s="154">
        <f t="shared" si="48"/>
        <v>0</v>
      </c>
      <c r="N125" s="154">
        <f t="shared" si="48"/>
        <v>0</v>
      </c>
    </row>
    <row r="126" spans="5:14" ht="12.6" thickBot="1" x14ac:dyDescent="0.25">
      <c r="E126" s="445"/>
      <c r="F126" s="275" t="str">
        <f>STRAT6_IND5</f>
        <v>Objetivo estratégico 6 Indicador 5</v>
      </c>
      <c r="G126" s="270" t="str">
        <f ca="1">OFFSET(Variables_Lu!$D$10,Basic_Setup!H68,0)</f>
        <v>Nutrition-specific</v>
      </c>
      <c r="H126" s="70">
        <f t="shared" si="49"/>
        <v>0</v>
      </c>
      <c r="I126" s="67">
        <f t="shared" si="48"/>
        <v>0</v>
      </c>
      <c r="J126" s="154">
        <f t="shared" si="48"/>
        <v>0</v>
      </c>
      <c r="K126" s="154">
        <f t="shared" si="48"/>
        <v>0</v>
      </c>
      <c r="L126" s="154">
        <f t="shared" si="48"/>
        <v>0</v>
      </c>
      <c r="M126" s="154">
        <f t="shared" si="48"/>
        <v>0</v>
      </c>
      <c r="N126" s="154">
        <f t="shared" si="48"/>
        <v>0</v>
      </c>
    </row>
    <row r="127" spans="5:14" ht="12.6" thickBot="1" x14ac:dyDescent="0.25">
      <c r="G127" s="152" t="s">
        <v>543</v>
      </c>
      <c r="H127" s="278">
        <f t="shared" si="49"/>
        <v>0</v>
      </c>
      <c r="I127" s="122">
        <f t="shared" si="48"/>
        <v>0</v>
      </c>
      <c r="J127" s="63">
        <f t="shared" si="48"/>
        <v>0</v>
      </c>
      <c r="K127" s="63">
        <f t="shared" si="48"/>
        <v>0</v>
      </c>
      <c r="L127" s="63">
        <f t="shared" si="48"/>
        <v>0</v>
      </c>
      <c r="M127" s="63">
        <f t="shared" si="48"/>
        <v>0</v>
      </c>
      <c r="N127" s="63">
        <f t="shared" si="48"/>
        <v>0</v>
      </c>
    </row>
    <row r="128" spans="5:14" ht="12" x14ac:dyDescent="0.2">
      <c r="E128" s="443" t="str">
        <f>Strategy7</f>
        <v>Objetivo estratégico 7: [No está en uso]</v>
      </c>
      <c r="F128" s="274" t="str">
        <f>STRAT7_IND1</f>
        <v>Objetivo estratégico 7 Indicador 1</v>
      </c>
      <c r="G128" s="272" t="str">
        <f ca="1">OFFSET(Variables_Lu!$D$10,Basic_Setup!H70,0)</f>
        <v>Nutrition-specific</v>
      </c>
      <c r="H128" s="70">
        <f t="shared" si="49"/>
        <v>0</v>
      </c>
      <c r="I128" s="67">
        <f t="shared" si="48"/>
        <v>0</v>
      </c>
      <c r="J128" s="154">
        <f t="shared" si="48"/>
        <v>0</v>
      </c>
      <c r="K128" s="154">
        <f t="shared" si="48"/>
        <v>0</v>
      </c>
      <c r="L128" s="154">
        <f t="shared" si="48"/>
        <v>0</v>
      </c>
      <c r="M128" s="154">
        <f t="shared" si="48"/>
        <v>0</v>
      </c>
      <c r="N128" s="154">
        <f t="shared" si="48"/>
        <v>0</v>
      </c>
    </row>
    <row r="129" spans="5:14" ht="12" x14ac:dyDescent="0.2">
      <c r="E129" s="444"/>
      <c r="F129" s="42" t="str">
        <f>STRAT7_IND2</f>
        <v>Objetivo estratégico 7 Indicador 2</v>
      </c>
      <c r="G129" s="268" t="str">
        <f ca="1">OFFSET(Variables_Lu!$D$10,Basic_Setup!H71,0)</f>
        <v>Nutrition-specific</v>
      </c>
      <c r="H129" s="70">
        <f t="shared" si="49"/>
        <v>0</v>
      </c>
      <c r="I129" s="67">
        <f t="shared" si="48"/>
        <v>0</v>
      </c>
      <c r="J129" s="154">
        <f t="shared" si="48"/>
        <v>0</v>
      </c>
      <c r="K129" s="154">
        <f t="shared" si="48"/>
        <v>0</v>
      </c>
      <c r="L129" s="154">
        <f t="shared" si="48"/>
        <v>0</v>
      </c>
      <c r="M129" s="154">
        <f t="shared" si="48"/>
        <v>0</v>
      </c>
      <c r="N129" s="154">
        <f t="shared" si="48"/>
        <v>0</v>
      </c>
    </row>
    <row r="130" spans="5:14" ht="12" x14ac:dyDescent="0.2">
      <c r="E130" s="444"/>
      <c r="F130" s="42" t="str">
        <f>STRAT7_IND3</f>
        <v>Objetivo estratégico 7 Indicador 3</v>
      </c>
      <c r="G130" s="268" t="str">
        <f ca="1">OFFSET(Variables_Lu!$D$10,Basic_Setup!H72,0)</f>
        <v>Nutrition-specific</v>
      </c>
      <c r="H130" s="70">
        <f t="shared" si="49"/>
        <v>0</v>
      </c>
      <c r="I130" s="67">
        <f t="shared" si="48"/>
        <v>0</v>
      </c>
      <c r="J130" s="154">
        <f t="shared" si="48"/>
        <v>0</v>
      </c>
      <c r="K130" s="154">
        <f t="shared" si="48"/>
        <v>0</v>
      </c>
      <c r="L130" s="154">
        <f t="shared" si="48"/>
        <v>0</v>
      </c>
      <c r="M130" s="154">
        <f t="shared" si="48"/>
        <v>0</v>
      </c>
      <c r="N130" s="154">
        <f t="shared" si="48"/>
        <v>0</v>
      </c>
    </row>
    <row r="131" spans="5:14" ht="12" x14ac:dyDescent="0.2">
      <c r="E131" s="444"/>
      <c r="F131" s="41" t="str">
        <f>STRAT7_IND4</f>
        <v>Objetivo estratégico 7 Indicador 4</v>
      </c>
      <c r="G131" s="268" t="str">
        <f ca="1">OFFSET(Variables_Lu!$D$10,Basic_Setup!H73,0)</f>
        <v>Nutrition-specific</v>
      </c>
      <c r="H131" s="70">
        <f t="shared" si="49"/>
        <v>0</v>
      </c>
      <c r="I131" s="67">
        <f t="shared" si="48"/>
        <v>0</v>
      </c>
      <c r="J131" s="154">
        <f t="shared" si="48"/>
        <v>0</v>
      </c>
      <c r="K131" s="154">
        <f t="shared" si="48"/>
        <v>0</v>
      </c>
      <c r="L131" s="154">
        <f t="shared" si="48"/>
        <v>0</v>
      </c>
      <c r="M131" s="154">
        <f t="shared" si="48"/>
        <v>0</v>
      </c>
      <c r="N131" s="154">
        <f t="shared" si="48"/>
        <v>0</v>
      </c>
    </row>
    <row r="132" spans="5:14" ht="12.6" thickBot="1" x14ac:dyDescent="0.25">
      <c r="E132" s="445"/>
      <c r="F132" s="275" t="str">
        <f>STRAT7_IND5</f>
        <v>Objetivo estratégico 7 Indicador 5</v>
      </c>
      <c r="G132" s="270" t="str">
        <f ca="1">OFFSET(Variables_Lu!$D$10,Basic_Setup!H74,0)</f>
        <v>Nutrition-specific</v>
      </c>
      <c r="H132" s="70">
        <f t="shared" si="49"/>
        <v>0</v>
      </c>
      <c r="I132" s="67">
        <f t="shared" ref="I132:N141" si="50">I60/EXCHANGE_RATE</f>
        <v>0</v>
      </c>
      <c r="J132" s="154">
        <f t="shared" si="50"/>
        <v>0</v>
      </c>
      <c r="K132" s="154">
        <f t="shared" si="50"/>
        <v>0</v>
      </c>
      <c r="L132" s="154">
        <f t="shared" si="50"/>
        <v>0</v>
      </c>
      <c r="M132" s="154">
        <f t="shared" si="50"/>
        <v>0</v>
      </c>
      <c r="N132" s="154">
        <f t="shared" si="50"/>
        <v>0</v>
      </c>
    </row>
    <row r="133" spans="5:14" ht="12.6" thickBot="1" x14ac:dyDescent="0.25">
      <c r="G133" s="152" t="s">
        <v>544</v>
      </c>
      <c r="H133" s="278">
        <f t="shared" si="49"/>
        <v>0</v>
      </c>
      <c r="I133" s="122">
        <f t="shared" si="50"/>
        <v>0</v>
      </c>
      <c r="J133" s="63">
        <f t="shared" si="50"/>
        <v>0</v>
      </c>
      <c r="K133" s="63">
        <f t="shared" si="50"/>
        <v>0</v>
      </c>
      <c r="L133" s="63">
        <f t="shared" si="50"/>
        <v>0</v>
      </c>
      <c r="M133" s="63">
        <f t="shared" si="50"/>
        <v>0</v>
      </c>
      <c r="N133" s="63">
        <f t="shared" si="50"/>
        <v>0</v>
      </c>
    </row>
    <row r="134" spans="5:14" ht="12" x14ac:dyDescent="0.2">
      <c r="E134" s="443" t="str">
        <f>Strategy8</f>
        <v>Objetivo estratégico 8: [No está en uso]</v>
      </c>
      <c r="F134" s="274" t="str">
        <f>STRAT8_IND1</f>
        <v>Objetivo estratégico 8 Indicador 1</v>
      </c>
      <c r="G134" s="272" t="str">
        <f ca="1">OFFSET(Variables_Lu!$D$10,Basic_Setup!H76,0)</f>
        <v>Nutrition-specific</v>
      </c>
      <c r="H134" s="70">
        <f t="shared" si="49"/>
        <v>0</v>
      </c>
      <c r="I134" s="67">
        <f t="shared" si="50"/>
        <v>0</v>
      </c>
      <c r="J134" s="154">
        <f t="shared" si="50"/>
        <v>0</v>
      </c>
      <c r="K134" s="154">
        <f t="shared" si="50"/>
        <v>0</v>
      </c>
      <c r="L134" s="154">
        <f t="shared" si="50"/>
        <v>0</v>
      </c>
      <c r="M134" s="154">
        <f t="shared" si="50"/>
        <v>0</v>
      </c>
      <c r="N134" s="154">
        <f t="shared" si="50"/>
        <v>0</v>
      </c>
    </row>
    <row r="135" spans="5:14" ht="12" x14ac:dyDescent="0.2">
      <c r="E135" s="444"/>
      <c r="F135" s="42" t="str">
        <f>STRAT8_IND2</f>
        <v>Objetivo estratégico 8 Indicador 2</v>
      </c>
      <c r="G135" s="268" t="str">
        <f ca="1">OFFSET(Variables_Lu!$D$10,Basic_Setup!H77,0)</f>
        <v>Nutrition-specific</v>
      </c>
      <c r="H135" s="70">
        <f t="shared" si="49"/>
        <v>0</v>
      </c>
      <c r="I135" s="67">
        <f t="shared" si="50"/>
        <v>0</v>
      </c>
      <c r="J135" s="154">
        <f t="shared" si="50"/>
        <v>0</v>
      </c>
      <c r="K135" s="154">
        <f t="shared" si="50"/>
        <v>0</v>
      </c>
      <c r="L135" s="154">
        <f t="shared" si="50"/>
        <v>0</v>
      </c>
      <c r="M135" s="154">
        <f t="shared" si="50"/>
        <v>0</v>
      </c>
      <c r="N135" s="154">
        <f t="shared" si="50"/>
        <v>0</v>
      </c>
    </row>
    <row r="136" spans="5:14" ht="12" x14ac:dyDescent="0.2">
      <c r="E136" s="444"/>
      <c r="F136" s="42" t="str">
        <f>STRAT8_IND3</f>
        <v>Objetivo estratégico 8 Indicador 3</v>
      </c>
      <c r="G136" s="268" t="str">
        <f ca="1">OFFSET(Variables_Lu!$D$10,Basic_Setup!H78,0)</f>
        <v>Nutrition-specific</v>
      </c>
      <c r="H136" s="70">
        <f t="shared" si="49"/>
        <v>0</v>
      </c>
      <c r="I136" s="67">
        <f t="shared" si="50"/>
        <v>0</v>
      </c>
      <c r="J136" s="154">
        <f t="shared" si="50"/>
        <v>0</v>
      </c>
      <c r="K136" s="154">
        <f t="shared" si="50"/>
        <v>0</v>
      </c>
      <c r="L136" s="154">
        <f t="shared" si="50"/>
        <v>0</v>
      </c>
      <c r="M136" s="154">
        <f t="shared" si="50"/>
        <v>0</v>
      </c>
      <c r="N136" s="154">
        <f t="shared" si="50"/>
        <v>0</v>
      </c>
    </row>
    <row r="137" spans="5:14" ht="12" x14ac:dyDescent="0.2">
      <c r="E137" s="444"/>
      <c r="F137" s="41" t="str">
        <f>STRAT8_IND4</f>
        <v>Objetivo estratégico 8 Indicador 4</v>
      </c>
      <c r="G137" s="268" t="str">
        <f ca="1">OFFSET(Variables_Lu!$D$10,Basic_Setup!H79,0)</f>
        <v>Nutrition-specific</v>
      </c>
      <c r="H137" s="70">
        <f t="shared" si="49"/>
        <v>0</v>
      </c>
      <c r="I137" s="67">
        <f t="shared" si="50"/>
        <v>0</v>
      </c>
      <c r="J137" s="154">
        <f t="shared" si="50"/>
        <v>0</v>
      </c>
      <c r="K137" s="154">
        <f t="shared" si="50"/>
        <v>0</v>
      </c>
      <c r="L137" s="154">
        <f t="shared" si="50"/>
        <v>0</v>
      </c>
      <c r="M137" s="154">
        <f t="shared" si="50"/>
        <v>0</v>
      </c>
      <c r="N137" s="154">
        <f t="shared" si="50"/>
        <v>0</v>
      </c>
    </row>
    <row r="138" spans="5:14" ht="12.6" thickBot="1" x14ac:dyDescent="0.25">
      <c r="E138" s="445"/>
      <c r="F138" s="275" t="str">
        <f>STRAT8_IND5</f>
        <v>Objetivo estratégico 8 Indicador 5</v>
      </c>
      <c r="G138" s="270" t="str">
        <f ca="1">OFFSET(Variables_Lu!$D$10,Basic_Setup!H80,0)</f>
        <v>Nutrition-specific</v>
      </c>
      <c r="H138" s="70">
        <f t="shared" si="49"/>
        <v>0</v>
      </c>
      <c r="I138" s="67">
        <f t="shared" si="50"/>
        <v>0</v>
      </c>
      <c r="J138" s="154">
        <f t="shared" si="50"/>
        <v>0</v>
      </c>
      <c r="K138" s="154">
        <f t="shared" si="50"/>
        <v>0</v>
      </c>
      <c r="L138" s="154">
        <f t="shared" si="50"/>
        <v>0</v>
      </c>
      <c r="M138" s="154">
        <f t="shared" si="50"/>
        <v>0</v>
      </c>
      <c r="N138" s="154">
        <f t="shared" si="50"/>
        <v>0</v>
      </c>
    </row>
    <row r="139" spans="5:14" ht="12.6" thickBot="1" x14ac:dyDescent="0.25">
      <c r="G139" s="152" t="s">
        <v>545</v>
      </c>
      <c r="H139" s="278">
        <f t="shared" si="49"/>
        <v>0</v>
      </c>
      <c r="I139" s="122">
        <f t="shared" si="50"/>
        <v>0</v>
      </c>
      <c r="J139" s="63">
        <f t="shared" si="50"/>
        <v>0</v>
      </c>
      <c r="K139" s="63">
        <f t="shared" si="50"/>
        <v>0</v>
      </c>
      <c r="L139" s="63">
        <f t="shared" si="50"/>
        <v>0</v>
      </c>
      <c r="M139" s="63">
        <f t="shared" si="50"/>
        <v>0</v>
      </c>
      <c r="N139" s="63">
        <f t="shared" si="50"/>
        <v>0</v>
      </c>
    </row>
    <row r="140" spans="5:14" ht="12" x14ac:dyDescent="0.2">
      <c r="E140" s="443" t="str">
        <f>Strategy9</f>
        <v>Objetivo estratégico 9: [No está en uso]</v>
      </c>
      <c r="F140" s="274" t="str">
        <f>STRAT9_IND1</f>
        <v>Objetivo estratégico 9 Indicador 1</v>
      </c>
      <c r="G140" s="272" t="str">
        <f ca="1">OFFSET(Variables_Lu!$D$10,Basic_Setup!H82,0)</f>
        <v>Nutrition-specific</v>
      </c>
      <c r="H140" s="70">
        <f t="shared" si="49"/>
        <v>0</v>
      </c>
      <c r="I140" s="67">
        <f t="shared" si="50"/>
        <v>0</v>
      </c>
      <c r="J140" s="154">
        <f t="shared" si="50"/>
        <v>0</v>
      </c>
      <c r="K140" s="154">
        <f t="shared" si="50"/>
        <v>0</v>
      </c>
      <c r="L140" s="154">
        <f t="shared" si="50"/>
        <v>0</v>
      </c>
      <c r="M140" s="154">
        <f t="shared" si="50"/>
        <v>0</v>
      </c>
      <c r="N140" s="154">
        <f t="shared" si="50"/>
        <v>0</v>
      </c>
    </row>
    <row r="141" spans="5:14" ht="12" x14ac:dyDescent="0.2">
      <c r="E141" s="444"/>
      <c r="F141" s="42" t="str">
        <f>STRAT9_IND2</f>
        <v>Objetivo estratégico 9 Indicador 2</v>
      </c>
      <c r="G141" s="268" t="str">
        <f ca="1">OFFSET(Variables_Lu!$D$10,Basic_Setup!H83,0)</f>
        <v>Nutrition-specific</v>
      </c>
      <c r="H141" s="70">
        <f t="shared" si="49"/>
        <v>0</v>
      </c>
      <c r="I141" s="67">
        <f t="shared" si="50"/>
        <v>0</v>
      </c>
      <c r="J141" s="154">
        <f t="shared" si="50"/>
        <v>0</v>
      </c>
      <c r="K141" s="154">
        <f t="shared" si="50"/>
        <v>0</v>
      </c>
      <c r="L141" s="154">
        <f t="shared" si="50"/>
        <v>0</v>
      </c>
      <c r="M141" s="154">
        <f t="shared" si="50"/>
        <v>0</v>
      </c>
      <c r="N141" s="154">
        <f t="shared" si="50"/>
        <v>0</v>
      </c>
    </row>
    <row r="142" spans="5:14" ht="12" x14ac:dyDescent="0.2">
      <c r="E142" s="444"/>
      <c r="F142" s="42" t="str">
        <f>STRAT9_IND3</f>
        <v>Objetivo estratégico 9 Indicador 3</v>
      </c>
      <c r="G142" s="268" t="str">
        <f ca="1">OFFSET(Variables_Lu!$D$10,Basic_Setup!H84,0)</f>
        <v>Nutrition-specific</v>
      </c>
      <c r="H142" s="70">
        <f t="shared" si="49"/>
        <v>0</v>
      </c>
      <c r="I142" s="67">
        <f t="shared" ref="I142:N151" si="51">I70/EXCHANGE_RATE</f>
        <v>0</v>
      </c>
      <c r="J142" s="154">
        <f t="shared" si="51"/>
        <v>0</v>
      </c>
      <c r="K142" s="154">
        <f t="shared" si="51"/>
        <v>0</v>
      </c>
      <c r="L142" s="154">
        <f t="shared" si="51"/>
        <v>0</v>
      </c>
      <c r="M142" s="154">
        <f t="shared" si="51"/>
        <v>0</v>
      </c>
      <c r="N142" s="154">
        <f t="shared" si="51"/>
        <v>0</v>
      </c>
    </row>
    <row r="143" spans="5:14" ht="12" x14ac:dyDescent="0.2">
      <c r="E143" s="444"/>
      <c r="F143" s="41" t="str">
        <f>STRAT9_IND4</f>
        <v>Objetivo estratégico 9 Indicador 4</v>
      </c>
      <c r="G143" s="268" t="str">
        <f ca="1">OFFSET(Variables_Lu!$D$10,Basic_Setup!H85,0)</f>
        <v>Nutrition-specific</v>
      </c>
      <c r="H143" s="70">
        <f t="shared" si="49"/>
        <v>0</v>
      </c>
      <c r="I143" s="67">
        <f t="shared" si="51"/>
        <v>0</v>
      </c>
      <c r="J143" s="154">
        <f t="shared" si="51"/>
        <v>0</v>
      </c>
      <c r="K143" s="154">
        <f t="shared" si="51"/>
        <v>0</v>
      </c>
      <c r="L143" s="154">
        <f t="shared" si="51"/>
        <v>0</v>
      </c>
      <c r="M143" s="154">
        <f t="shared" si="51"/>
        <v>0</v>
      </c>
      <c r="N143" s="154">
        <f t="shared" si="51"/>
        <v>0</v>
      </c>
    </row>
    <row r="144" spans="5:14" ht="12.6" thickBot="1" x14ac:dyDescent="0.25">
      <c r="E144" s="445"/>
      <c r="F144" s="275" t="str">
        <f>STRAT9_IND5</f>
        <v>Objetivo estratégico 9 Indicador 5</v>
      </c>
      <c r="G144" s="270" t="str">
        <f ca="1">OFFSET(Variables_Lu!$D$10,Basic_Setup!H86,0)</f>
        <v>Nutrition-specific</v>
      </c>
      <c r="H144" s="70">
        <f t="shared" si="49"/>
        <v>0</v>
      </c>
      <c r="I144" s="67">
        <f t="shared" si="51"/>
        <v>0</v>
      </c>
      <c r="J144" s="154">
        <f t="shared" si="51"/>
        <v>0</v>
      </c>
      <c r="K144" s="154">
        <f t="shared" si="51"/>
        <v>0</v>
      </c>
      <c r="L144" s="154">
        <f t="shared" si="51"/>
        <v>0</v>
      </c>
      <c r="M144" s="154">
        <f t="shared" si="51"/>
        <v>0</v>
      </c>
      <c r="N144" s="154">
        <f t="shared" si="51"/>
        <v>0</v>
      </c>
    </row>
    <row r="145" spans="1:14" ht="12.6" thickBot="1" x14ac:dyDescent="0.25">
      <c r="G145" s="152" t="s">
        <v>546</v>
      </c>
      <c r="H145" s="278">
        <f t="shared" si="49"/>
        <v>0</v>
      </c>
      <c r="I145" s="122">
        <f t="shared" si="51"/>
        <v>0</v>
      </c>
      <c r="J145" s="63">
        <f t="shared" si="51"/>
        <v>0</v>
      </c>
      <c r="K145" s="63">
        <f t="shared" si="51"/>
        <v>0</v>
      </c>
      <c r="L145" s="63">
        <f t="shared" si="51"/>
        <v>0</v>
      </c>
      <c r="M145" s="63">
        <f t="shared" si="51"/>
        <v>0</v>
      </c>
      <c r="N145" s="63">
        <f t="shared" si="51"/>
        <v>0</v>
      </c>
    </row>
    <row r="146" spans="1:14" ht="12" x14ac:dyDescent="0.2">
      <c r="E146" s="443" t="str">
        <f>Strategy10</f>
        <v>Objetivo estratégico 10: [No está en uso]</v>
      </c>
      <c r="F146" s="274" t="str">
        <f>STRAT10_IND1</f>
        <v>Objetivo estratégico 10 Indicador 1</v>
      </c>
      <c r="G146" s="272" t="str">
        <f ca="1">OFFSET(Variables_Lu!$D$10,Basic_Setup!H88,0)</f>
        <v>Nutrition-specific</v>
      </c>
      <c r="H146" s="70">
        <f t="shared" si="49"/>
        <v>0</v>
      </c>
      <c r="I146" s="67">
        <f t="shared" si="51"/>
        <v>0</v>
      </c>
      <c r="J146" s="154">
        <f t="shared" si="51"/>
        <v>0</v>
      </c>
      <c r="K146" s="154">
        <f t="shared" si="51"/>
        <v>0</v>
      </c>
      <c r="L146" s="154">
        <f t="shared" si="51"/>
        <v>0</v>
      </c>
      <c r="M146" s="154">
        <f t="shared" si="51"/>
        <v>0</v>
      </c>
      <c r="N146" s="154">
        <f t="shared" si="51"/>
        <v>0</v>
      </c>
    </row>
    <row r="147" spans="1:14" ht="12" x14ac:dyDescent="0.2">
      <c r="E147" s="444"/>
      <c r="F147" s="42" t="str">
        <f>STRAT10_IND2</f>
        <v>Objetivo estratégico 10 Indicador 2</v>
      </c>
      <c r="G147" s="268" t="str">
        <f ca="1">OFFSET(Variables_Lu!$D$10,Basic_Setup!H89,0)</f>
        <v>Nutrition-specific</v>
      </c>
      <c r="H147" s="70">
        <f t="shared" si="49"/>
        <v>0</v>
      </c>
      <c r="I147" s="67">
        <f t="shared" si="51"/>
        <v>0</v>
      </c>
      <c r="J147" s="154">
        <f t="shared" si="51"/>
        <v>0</v>
      </c>
      <c r="K147" s="154">
        <f t="shared" si="51"/>
        <v>0</v>
      </c>
      <c r="L147" s="154">
        <f t="shared" si="51"/>
        <v>0</v>
      </c>
      <c r="M147" s="154">
        <f t="shared" si="51"/>
        <v>0</v>
      </c>
      <c r="N147" s="154">
        <f t="shared" si="51"/>
        <v>0</v>
      </c>
    </row>
    <row r="148" spans="1:14" ht="12" x14ac:dyDescent="0.2">
      <c r="E148" s="444"/>
      <c r="F148" s="42" t="str">
        <f>STRAT10_IND3</f>
        <v>Objetivo estratégico 10 Indicador 3</v>
      </c>
      <c r="G148" s="268" t="str">
        <f ca="1">OFFSET(Variables_Lu!$D$10,Basic_Setup!H90,0)</f>
        <v>Nutrition-specific</v>
      </c>
      <c r="H148" s="70">
        <f t="shared" si="49"/>
        <v>0</v>
      </c>
      <c r="I148" s="67">
        <f t="shared" si="51"/>
        <v>0</v>
      </c>
      <c r="J148" s="154">
        <f t="shared" si="51"/>
        <v>0</v>
      </c>
      <c r="K148" s="154">
        <f t="shared" si="51"/>
        <v>0</v>
      </c>
      <c r="L148" s="154">
        <f t="shared" si="51"/>
        <v>0</v>
      </c>
      <c r="M148" s="154">
        <f t="shared" si="51"/>
        <v>0</v>
      </c>
      <c r="N148" s="154">
        <f t="shared" si="51"/>
        <v>0</v>
      </c>
    </row>
    <row r="149" spans="1:14" ht="12" x14ac:dyDescent="0.2">
      <c r="E149" s="444"/>
      <c r="F149" s="41" t="str">
        <f>STRAT10_IND4</f>
        <v>Objetivo estratégico 10 Indicador 4</v>
      </c>
      <c r="G149" s="268" t="str">
        <f ca="1">OFFSET(Variables_Lu!$D$10,Basic_Setup!H91,0)</f>
        <v>Nutrition-specific</v>
      </c>
      <c r="H149" s="70">
        <f t="shared" si="49"/>
        <v>0</v>
      </c>
      <c r="I149" s="67">
        <f t="shared" si="51"/>
        <v>0</v>
      </c>
      <c r="J149" s="154">
        <f t="shared" si="51"/>
        <v>0</v>
      </c>
      <c r="K149" s="154">
        <f t="shared" si="51"/>
        <v>0</v>
      </c>
      <c r="L149" s="154">
        <f t="shared" si="51"/>
        <v>0</v>
      </c>
      <c r="M149" s="154">
        <f t="shared" si="51"/>
        <v>0</v>
      </c>
      <c r="N149" s="154">
        <f t="shared" si="51"/>
        <v>0</v>
      </c>
    </row>
    <row r="150" spans="1:14" ht="12.6" thickBot="1" x14ac:dyDescent="0.25">
      <c r="E150" s="445"/>
      <c r="F150" s="275" t="str">
        <f>STRAT10_IND5</f>
        <v>Objetivo estratégico 10 Indicador 5</v>
      </c>
      <c r="G150" s="270" t="str">
        <f ca="1">OFFSET(Variables_Lu!$D$10,Basic_Setup!H92,0)</f>
        <v>Nutrition-specific</v>
      </c>
      <c r="H150" s="70">
        <f t="shared" si="49"/>
        <v>0</v>
      </c>
      <c r="I150" s="67">
        <f t="shared" si="51"/>
        <v>0</v>
      </c>
      <c r="J150" s="154">
        <f t="shared" si="51"/>
        <v>0</v>
      </c>
      <c r="K150" s="154">
        <f t="shared" si="51"/>
        <v>0</v>
      </c>
      <c r="L150" s="154">
        <f t="shared" si="51"/>
        <v>0</v>
      </c>
      <c r="M150" s="154">
        <f t="shared" si="51"/>
        <v>0</v>
      </c>
      <c r="N150" s="154">
        <f t="shared" si="51"/>
        <v>0</v>
      </c>
    </row>
    <row r="151" spans="1:14" ht="12" x14ac:dyDescent="0.2">
      <c r="G151" s="152" t="s">
        <v>547</v>
      </c>
      <c r="H151" s="278">
        <f t="shared" si="49"/>
        <v>0</v>
      </c>
      <c r="I151" s="122">
        <f>I79/EXCHANGE_RATE</f>
        <v>0</v>
      </c>
      <c r="J151" s="63">
        <f t="shared" si="51"/>
        <v>0</v>
      </c>
      <c r="K151" s="63">
        <f t="shared" si="51"/>
        <v>0</v>
      </c>
      <c r="L151" s="63">
        <f t="shared" si="51"/>
        <v>0</v>
      </c>
      <c r="M151" s="63">
        <f t="shared" si="51"/>
        <v>0</v>
      </c>
      <c r="N151" s="63">
        <f>N79/EXCHANGE_RATE</f>
        <v>0</v>
      </c>
    </row>
    <row r="152" spans="1:14" ht="11.25" customHeight="1" x14ac:dyDescent="0.2">
      <c r="I152" s="231"/>
      <c r="J152" s="231"/>
      <c r="K152" s="231"/>
      <c r="L152" s="231"/>
      <c r="M152" s="231"/>
      <c r="N152" s="231"/>
    </row>
    <row r="153" spans="1:14" x14ac:dyDescent="0.2">
      <c r="I153" s="231"/>
      <c r="J153" s="231"/>
      <c r="K153" s="231"/>
      <c r="L153" s="231"/>
      <c r="M153" s="231"/>
      <c r="N153" s="231"/>
    </row>
    <row r="154" spans="1:14" ht="12.6" thickBot="1" x14ac:dyDescent="0.25">
      <c r="G154" s="149" t="str">
        <f>"TOTAL - "&amp;$E$12</f>
        <v>TOTAL - Necesidades financieras</v>
      </c>
      <c r="I154" s="65">
        <f t="shared" ref="I154:M154" si="52">I82/EXCHANGE_RATE</f>
        <v>450524156.89564317</v>
      </c>
      <c r="J154" s="65">
        <f t="shared" si="52"/>
        <v>85463226.160927922</v>
      </c>
      <c r="K154" s="65">
        <f t="shared" si="52"/>
        <v>93607859.740840167</v>
      </c>
      <c r="L154" s="65">
        <f t="shared" si="52"/>
        <v>90753364.771992177</v>
      </c>
      <c r="M154" s="65">
        <f t="shared" si="52"/>
        <v>89724690.317691013</v>
      </c>
      <c r="N154" s="65">
        <f>N82/EXCHANGE_RATE</f>
        <v>90975015.904191896</v>
      </c>
    </row>
    <row r="155" spans="1:14" ht="12" x14ac:dyDescent="0.2">
      <c r="G155" s="149"/>
      <c r="I155" s="80"/>
      <c r="J155" s="80"/>
      <c r="K155" s="80"/>
      <c r="L155" s="80"/>
      <c r="M155" s="80"/>
      <c r="N155" s="80"/>
    </row>
    <row r="156" spans="1:14" ht="12" x14ac:dyDescent="0.2">
      <c r="G156" s="149"/>
      <c r="I156" s="80"/>
      <c r="J156" s="80"/>
      <c r="K156" s="80"/>
      <c r="L156" s="80"/>
      <c r="M156" s="80"/>
      <c r="N156" s="80"/>
    </row>
    <row r="157" spans="1:14" x14ac:dyDescent="0.2">
      <c r="A157" s="39" t="s">
        <v>76</v>
      </c>
      <c r="B157" s="40" t="str">
        <f>"Summary of Financial Requirements - by Result/Indicator Type"</f>
        <v>Summary of Financial Requirements - by Result/Indicator Type</v>
      </c>
      <c r="C157" s="40"/>
      <c r="D157" s="40"/>
      <c r="E157" s="40"/>
      <c r="F157" s="40"/>
      <c r="G157" s="40"/>
      <c r="H157" s="40"/>
      <c r="I157" s="40"/>
      <c r="J157" s="40"/>
      <c r="K157" s="40"/>
      <c r="L157" s="40"/>
      <c r="M157" s="40"/>
      <c r="N157" s="40"/>
    </row>
    <row r="159" spans="1:14" ht="12" x14ac:dyDescent="0.2">
      <c r="E159" s="148" t="str">
        <f>"Contributions - "&amp;CURR_LCU_ABBR</f>
        <v>Contributions - GOZ</v>
      </c>
    </row>
    <row r="160" spans="1:14" ht="12" x14ac:dyDescent="0.2">
      <c r="G160" s="136" t="s">
        <v>548</v>
      </c>
      <c r="H160" s="145" t="s">
        <v>106</v>
      </c>
      <c r="I160" s="56" t="str">
        <f>CURR_LCU_ABBR</f>
        <v>GOZ</v>
      </c>
      <c r="J160" s="56" t="str">
        <f>CURR_LCU_ABBR</f>
        <v>GOZ</v>
      </c>
      <c r="K160" s="56" t="str">
        <f>CURR_LCU_ABBR</f>
        <v>GOZ</v>
      </c>
      <c r="L160" s="56" t="str">
        <f>CURR_LCU_ABBR</f>
        <v>GOZ</v>
      </c>
      <c r="M160" s="56" t="str">
        <f>CURR_LCU_ABBR</f>
        <v>GOZ</v>
      </c>
    </row>
    <row r="161" spans="5:13" ht="12" x14ac:dyDescent="0.2">
      <c r="E161" s="38" t="str">
        <f>Lu_Nutrition_Specific</f>
        <v>Nutrition-specific</v>
      </c>
      <c r="F161" s="38"/>
      <c r="G161" s="289">
        <f ca="1">H161/$H$164</f>
        <v>0.57096005179427267</v>
      </c>
      <c r="H161" s="68">
        <f ca="1">SUM(I161:M161)</f>
        <v>463016332720.27338</v>
      </c>
      <c r="I161" s="325">
        <f ca="1">I168*EXCHANGE_RATE</f>
        <v>86797875170.738739</v>
      </c>
      <c r="J161" s="325">
        <f t="shared" ref="I161:M163" ca="1" si="53">J168*EXCHANGE_RATE</f>
        <v>96607563570.827835</v>
      </c>
      <c r="K161" s="325">
        <f t="shared" ca="1" si="53"/>
        <v>93157998647.033875</v>
      </c>
      <c r="L161" s="325">
        <f t="shared" ca="1" si="53"/>
        <v>92909585921.93605</v>
      </c>
      <c r="M161" s="325">
        <f t="shared" ca="1" si="53"/>
        <v>93543309409.736893</v>
      </c>
    </row>
    <row r="162" spans="5:13" ht="12" x14ac:dyDescent="0.2">
      <c r="E162" s="38" t="str">
        <f>Lu_Nutrition_Sensitive</f>
        <v>Nutrition-sensitive</v>
      </c>
      <c r="F162" s="38"/>
      <c r="G162" s="289">
        <f ca="1">H162/$H$164</f>
        <v>0.41780884488764058</v>
      </c>
      <c r="H162" s="69">
        <f ca="1">SUM(I162:M162)</f>
        <v>338819359655.7843</v>
      </c>
      <c r="I162" s="325">
        <f t="shared" ca="1" si="53"/>
        <v>64768450218.931534</v>
      </c>
      <c r="J162" s="325">
        <f t="shared" ca="1" si="53"/>
        <v>70500156592.684479</v>
      </c>
      <c r="K162" s="325">
        <f t="shared" ca="1" si="53"/>
        <v>67890937576.452034</v>
      </c>
      <c r="L162" s="325">
        <f t="shared" ca="1" si="53"/>
        <v>67554401949.907753</v>
      </c>
      <c r="M162" s="325">
        <f t="shared" ca="1" si="53"/>
        <v>68105413317.808517</v>
      </c>
    </row>
    <row r="163" spans="5:13" ht="12" x14ac:dyDescent="0.2">
      <c r="E163" s="38" t="str">
        <f>Lu_Governance</f>
        <v>Governance</v>
      </c>
      <c r="F163" s="38"/>
      <c r="G163" s="289">
        <f ca="1">H163/$H$164</f>
        <v>1.123110331808674E-2</v>
      </c>
      <c r="H163" s="69">
        <f ca="1">SUM(I163:M163)</f>
        <v>9107790036.1000004</v>
      </c>
      <c r="I163" s="325">
        <f t="shared" ca="1" si="53"/>
        <v>2267481700</v>
      </c>
      <c r="J163" s="325">
        <f t="shared" ca="1" si="53"/>
        <v>1386427370</v>
      </c>
      <c r="K163" s="325">
        <f t="shared" ca="1" si="53"/>
        <v>2307120366.0999999</v>
      </c>
      <c r="L163" s="325">
        <f t="shared" ca="1" si="53"/>
        <v>1040454700</v>
      </c>
      <c r="M163" s="325">
        <f t="shared" ca="1" si="53"/>
        <v>2106305900</v>
      </c>
    </row>
    <row r="164" spans="5:13" ht="12" x14ac:dyDescent="0.2">
      <c r="E164" s="324" t="str">
        <f>"TOTAL - "&amp;Summary_Govt_Contributions!$F$12&amp;" ("&amp;CURR_LCU_ABBR&amp;")"</f>
        <v>TOTAL - TODAS las contribuciones de las agencias gubernamentales (GOZ)</v>
      </c>
      <c r="F164" s="74"/>
      <c r="G164" s="291">
        <f ca="1">SUM(G161:G163)</f>
        <v>1</v>
      </c>
      <c r="H164" s="57">
        <f ca="1">SUM(I164:M164)</f>
        <v>810943482412.15771</v>
      </c>
      <c r="I164" s="55">
        <f ca="1">SUM(I161:I163)</f>
        <v>153833807089.67029</v>
      </c>
      <c r="J164" s="55">
        <f t="shared" ref="J164:M164" ca="1" si="54">SUM(J161:J163)</f>
        <v>168494147533.51233</v>
      </c>
      <c r="K164" s="55">
        <f t="shared" ca="1" si="54"/>
        <v>163356056589.58591</v>
      </c>
      <c r="L164" s="55">
        <f t="shared" ca="1" si="54"/>
        <v>161504442571.84381</v>
      </c>
      <c r="M164" s="55">
        <f t="shared" ca="1" si="54"/>
        <v>163755028627.54541</v>
      </c>
    </row>
    <row r="166" spans="5:13" ht="12" x14ac:dyDescent="0.2">
      <c r="E166" s="148" t="str">
        <f>"Contributions - "&amp;CURR_INT_ABBR</f>
        <v>Contributions - USD</v>
      </c>
    </row>
    <row r="167" spans="5:13" ht="12" x14ac:dyDescent="0.2">
      <c r="E167" s="148"/>
      <c r="G167" s="136" t="s">
        <v>548</v>
      </c>
      <c r="H167" s="145" t="s">
        <v>106</v>
      </c>
      <c r="I167" s="56" t="str">
        <f>CURR_INT_ABBR</f>
        <v>USD</v>
      </c>
      <c r="J167" s="56" t="str">
        <f>CURR_INT_ABBR</f>
        <v>USD</v>
      </c>
      <c r="K167" s="56" t="str">
        <f>CURR_INT_ABBR</f>
        <v>USD</v>
      </c>
      <c r="L167" s="56" t="str">
        <f>CURR_INT_ABBR</f>
        <v>USD</v>
      </c>
      <c r="M167" s="56" t="str">
        <f>CURR_INT_ABBR</f>
        <v>USD</v>
      </c>
    </row>
    <row r="168" spans="5:13" ht="12" x14ac:dyDescent="0.2">
      <c r="E168" t="str">
        <f>Lu_Nutrition_Specific</f>
        <v>Nutrition-specific</v>
      </c>
      <c r="G168" s="289">
        <f ca="1">H168/$H$171</f>
        <v>0.57096005179427267</v>
      </c>
      <c r="H168" s="404">
        <f ca="1">SUM(I168:M168)</f>
        <v>257231295.95570743</v>
      </c>
      <c r="I168" s="405">
        <f ca="1">SUMIF($G$92:$G$150,Lu_Nutrition_Specific,J$92:J$150)</f>
        <v>48221041.761521518</v>
      </c>
      <c r="J168" s="405">
        <f ca="1">SUMIF($G$92:$G$150,Lu_Nutrition_Specific,K$92:K$150)</f>
        <v>53670868.650459908</v>
      </c>
      <c r="K168" s="405">
        <f ca="1">SUMIF($G$92:$G$150,Lu_Nutrition_Specific,L$92:L$150)</f>
        <v>51754443.692796595</v>
      </c>
      <c r="L168" s="405">
        <f ca="1">SUMIF($G$92:$G$150,Lu_Nutrition_Specific,M$92:M$150)</f>
        <v>51616436.623297803</v>
      </c>
      <c r="M168" s="405">
        <f ca="1">SUMIF($G$92:$G$150,Lu_Nutrition_Specific,N$92:N$150)</f>
        <v>51968505.227631606</v>
      </c>
    </row>
    <row r="169" spans="5:13" ht="12" x14ac:dyDescent="0.2">
      <c r="E169" t="str">
        <f>Lu_Nutrition_Sensitive</f>
        <v>Nutrition-sensitive</v>
      </c>
      <c r="G169" s="289">
        <f ca="1">H169/$H$171</f>
        <v>0.41780884488764053</v>
      </c>
      <c r="H169" s="404">
        <f t="shared" ref="H169:H170" ca="1" si="55">SUM(I169:M169)</f>
        <v>188232977.58654681</v>
      </c>
      <c r="I169" s="405">
        <f ca="1">SUMIF($G$92:$G$150,Lu_Nutrition_Sensitive,J$92:J$150)</f>
        <v>35982472.343850851</v>
      </c>
      <c r="J169" s="405">
        <f ca="1">SUMIF($G$92:$G$150,Lu_Nutrition_Sensitive,K$92:K$150)</f>
        <v>39166753.662602484</v>
      </c>
      <c r="K169" s="405">
        <f ca="1">SUMIF($G$92:$G$150,Lu_Nutrition_Sensitive,L$92:L$150)</f>
        <v>37717187.542473353</v>
      </c>
      <c r="L169" s="405">
        <f ca="1">SUMIF($G$92:$G$150,Lu_Nutrition_Sensitive,M$92:M$150)</f>
        <v>37530223.305504307</v>
      </c>
      <c r="M169" s="405">
        <f ca="1">SUMIF($G$92:$G$150,Lu_Nutrition_Sensitive,N$92:N$150)</f>
        <v>37836340.732115842</v>
      </c>
    </row>
    <row r="170" spans="5:13" ht="12" x14ac:dyDescent="0.2">
      <c r="E170" t="str">
        <f>Lu_Governance</f>
        <v>Governance</v>
      </c>
      <c r="G170" s="289">
        <f ca="1">H170/$H$171</f>
        <v>1.1231103318086738E-2</v>
      </c>
      <c r="H170" s="404">
        <f t="shared" ca="1" si="55"/>
        <v>5059883.3533888888</v>
      </c>
      <c r="I170" s="405">
        <f ca="1">SUMIF($G$92:$G$150,Lu_Governance,J$92:J$150)</f>
        <v>1259712.0555555555</v>
      </c>
      <c r="J170" s="405">
        <f ca="1">SUMIF($G$92:$G$150,Lu_Governance,K$92:K$150)</f>
        <v>770237.42777777778</v>
      </c>
      <c r="K170" s="405">
        <f ca="1">SUMIF($G$92:$G$150,Lu_Governance,L$92:L$150)</f>
        <v>1281733.5367222221</v>
      </c>
      <c r="L170" s="405">
        <f ca="1">SUMIF($G$92:$G$150,Lu_Governance,M$92:M$150)</f>
        <v>578030.38888888888</v>
      </c>
      <c r="M170" s="405">
        <f ca="1">SUMIF($G$92:$G$150,Lu_Governance,N$92:N$150)</f>
        <v>1170169.9444444445</v>
      </c>
    </row>
    <row r="171" spans="5:13" ht="12" x14ac:dyDescent="0.2">
      <c r="E171" s="324" t="str">
        <f>"TOTAL - "&amp;Summary_Govt_Contributions!$F$12&amp;" ("&amp;CURR_INT_ABBR&amp;")"</f>
        <v>TOTAL - TODAS las contribuciones de las agencias gubernamentales (USD)</v>
      </c>
      <c r="F171" s="74"/>
      <c r="G171" s="291">
        <f ca="1">SUM(G168:G170)</f>
        <v>1</v>
      </c>
      <c r="H171" s="295">
        <f ca="1">SUM(I171:M171)</f>
        <v>450524156.89564317</v>
      </c>
      <c r="I171" s="55">
        <f ca="1">SUM(I168:I170)</f>
        <v>85463226.160927922</v>
      </c>
      <c r="J171" s="55">
        <f ca="1">SUM(J168:J170)</f>
        <v>93607859.740840182</v>
      </c>
      <c r="K171" s="55">
        <f ca="1">SUM(K168:K170)</f>
        <v>90753364.771992177</v>
      </c>
      <c r="L171" s="55">
        <f ca="1">SUM(L168:L170)</f>
        <v>89724690.317690998</v>
      </c>
      <c r="M171" s="55">
        <f ca="1">SUM(M168:M170)</f>
        <v>90975015.904191896</v>
      </c>
    </row>
  </sheetData>
  <mergeCells count="21">
    <mergeCell ref="E50:E54"/>
    <mergeCell ref="E56:E60"/>
    <mergeCell ref="E62:E66"/>
    <mergeCell ref="E68:E72"/>
    <mergeCell ref="E74:E78"/>
    <mergeCell ref="B3:E3"/>
    <mergeCell ref="E134:E138"/>
    <mergeCell ref="E140:E144"/>
    <mergeCell ref="E146:E150"/>
    <mergeCell ref="E98:E102"/>
    <mergeCell ref="E104:E108"/>
    <mergeCell ref="E110:E114"/>
    <mergeCell ref="E116:E120"/>
    <mergeCell ref="E122:E126"/>
    <mergeCell ref="E128:E132"/>
    <mergeCell ref="E92:E96"/>
    <mergeCell ref="E20:E24"/>
    <mergeCell ref="E26:E30"/>
    <mergeCell ref="E32:E36"/>
    <mergeCell ref="E38:E42"/>
    <mergeCell ref="E44:E48"/>
  </mergeCells>
  <dataValidations count="1">
    <dataValidation type="custom" showErrorMessage="1" errorTitle="Invalid Assumption" error="Assumption must be a number." sqref="J20:N24 J68:N72 J146:N150 J32:N36 J44:N48 J50:N54 J38:N42 J56:N60 J62:N66 J26:N30 J140:N144 J128:N132 J134:N138 J116:N120 J110:N114 J104:N108 J122:N126 J92:N96 J98:N102 J74:N78" xr:uid="{00000000-0002-0000-0A00-000000000000}">
      <formula1>NOT(ISERROR(J20/1))</formula1>
    </dataValidation>
  </dataValidations>
  <hyperlinks>
    <hyperlink ref="A14" location="HL_Mod_Out" tooltip="Click to follow hyperlink." display="ð" xr:uid="{00000000-0004-0000-0A00-000000000000}"/>
    <hyperlink ref="A4" r:id="rId1" tooltip="Go to Top of Sheet" xr:uid="{00000000-0004-0000-0A00-000001000000}"/>
    <hyperlink ref="B4" location="HL_Sheet_Main_12" tooltip="Go to Previous Sheet" display="ç" xr:uid="{00000000-0004-0000-0A00-000002000000}"/>
    <hyperlink ref="C4" location="Government1!HL_Sheet_Main_13" tooltip="Go to Next Sheet" display="è" xr:uid="{00000000-0004-0000-0A00-000003000000}"/>
    <hyperlink ref="B3" location="HL_Home" tooltip="Go to Table of Contents" display="Ir al índice" xr:uid="{00000000-0004-0000-0A00-000004000000}"/>
    <hyperlink ref="A157" location="Financial_Gap_Details!B6" tooltip="Click to follow hyperlink." display="ð" xr:uid="{00000000-0004-0000-0A00-000005000000}"/>
  </hyperlinks>
  <pageMargins left="0.4" right="0.4" top="0.6" bottom="1" header="0" footer="0.3"/>
  <pageSetup orientation="landscape" r:id="rId2"/>
  <headerFooter>
    <oddFooter>&amp;L&amp;F
&amp;A
Impreso: &amp;T en &amp;D&amp;C&amp;",Bold"Sheet 2.b.
Página &amp;P de &amp;N</oddFooter>
  </headerFooter>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O169"/>
  <sheetViews>
    <sheetView showGridLines="0" workbookViewId="0">
      <pane ySplit="12" topLeftCell="A154" activePane="bottomLeft" state="frozen"/>
      <selection pane="bottomLeft" activeCell="F19" sqref="F19:H19"/>
    </sheetView>
  </sheetViews>
  <sheetFormatPr defaultColWidth="11.75" defaultRowHeight="11.4" x14ac:dyDescent="0.2"/>
  <cols>
    <col min="1" max="5" width="3.75" customWidth="1"/>
    <col min="6" max="7" width="50.75" customWidth="1"/>
    <col min="8" max="8" width="22.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Government1 :Planned Contributions</v>
      </c>
    </row>
    <row r="2" spans="1:14" ht="13.2" x14ac:dyDescent="0.2">
      <c r="B2" s="5" t="str">
        <f>Model_Name</f>
        <v>Financial Gap Analysis Tool - País X (Datos de la muestra)</v>
      </c>
    </row>
    <row r="3" spans="1:14" x14ac:dyDescent="0.2">
      <c r="B3" s="425" t="s">
        <v>524</v>
      </c>
      <c r="C3" s="425"/>
      <c r="D3" s="425"/>
      <c r="E3" s="425"/>
      <c r="F3" s="425"/>
    </row>
    <row r="4" spans="1:14" x14ac:dyDescent="0.2">
      <c r="A4" s="6" t="s">
        <v>10</v>
      </c>
      <c r="B4" s="403"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F12" s="276" t="str">
        <f>Government1</f>
        <v>Ministerio de Agricultura y Ganadería</v>
      </c>
      <c r="G12" s="60"/>
    </row>
    <row r="13" spans="1:14" s="38" customFormat="1" x14ac:dyDescent="0.2">
      <c r="G13"/>
    </row>
    <row r="14" spans="1:14" s="38" customFormat="1" x14ac:dyDescent="0.2">
      <c r="A14" s="39" t="s">
        <v>76</v>
      </c>
      <c r="B14" s="40" t="str">
        <f>"Planned Annual Contributions by "&amp;Government1&amp;" - by Strategic Objective and Result/Indicator"</f>
        <v>Planned Annual Contributions by Ministerio de Agricultura y Ganadería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253" t="s">
        <v>106</v>
      </c>
      <c r="J19" s="54" t="str">
        <f>CURR_LCU_ABBR</f>
        <v>GOZ</v>
      </c>
      <c r="K19" s="54" t="str">
        <f>CURR_LCU_ABBR</f>
        <v>GOZ</v>
      </c>
      <c r="L19" s="54" t="str">
        <f>CURR_LCU_ABBR</f>
        <v>GOZ</v>
      </c>
      <c r="M19" s="54" t="str">
        <f>CURR_LCU_ABBR</f>
        <v>GOZ</v>
      </c>
      <c r="N19" s="54" t="str">
        <f>CURR_LCU_ABBR</f>
        <v>GOZ</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262">
        <f>SUM(J20:N20)</f>
        <v>8549032.200029999</v>
      </c>
      <c r="J20" s="383">
        <f>4274516100.015*0.16%/4</f>
        <v>1709806.440006</v>
      </c>
      <c r="K20" s="383">
        <f t="shared" ref="K20:N20" si="2">4274516100.015*0.16%/4</f>
        <v>1709806.440006</v>
      </c>
      <c r="L20" s="383">
        <f t="shared" si="2"/>
        <v>1709806.440006</v>
      </c>
      <c r="M20" s="383">
        <f t="shared" si="2"/>
        <v>1709806.440006</v>
      </c>
      <c r="N20" s="383">
        <f t="shared" si="2"/>
        <v>1709806.440006</v>
      </c>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262">
        <f t="shared" ref="I21:I24" si="3">SUM(J21:N21)</f>
        <v>8549032.200029999</v>
      </c>
      <c r="J21" s="383">
        <f t="shared" ref="J21:N23" si="4">4274516100.015*0.16%/4</f>
        <v>1709806.440006</v>
      </c>
      <c r="K21" s="383">
        <f t="shared" si="4"/>
        <v>1709806.440006</v>
      </c>
      <c r="L21" s="383">
        <f t="shared" si="4"/>
        <v>1709806.440006</v>
      </c>
      <c r="M21" s="383">
        <f t="shared" si="4"/>
        <v>1709806.440006</v>
      </c>
      <c r="N21" s="383">
        <f t="shared" si="4"/>
        <v>1709806.440006</v>
      </c>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262">
        <f t="shared" si="3"/>
        <v>8549032.200029999</v>
      </c>
      <c r="J22" s="383">
        <f t="shared" si="4"/>
        <v>1709806.440006</v>
      </c>
      <c r="K22" s="383">
        <f t="shared" si="4"/>
        <v>1709806.440006</v>
      </c>
      <c r="L22" s="383">
        <f t="shared" si="4"/>
        <v>1709806.440006</v>
      </c>
      <c r="M22" s="383">
        <f t="shared" si="4"/>
        <v>1709806.440006</v>
      </c>
      <c r="N22" s="383">
        <f t="shared" si="4"/>
        <v>1709806.440006</v>
      </c>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262">
        <f t="shared" si="3"/>
        <v>8549032.200029999</v>
      </c>
      <c r="J23" s="383">
        <f t="shared" si="4"/>
        <v>1709806.440006</v>
      </c>
      <c r="K23" s="383">
        <f t="shared" si="4"/>
        <v>1709806.440006</v>
      </c>
      <c r="L23" s="383">
        <f t="shared" si="4"/>
        <v>1709806.440006</v>
      </c>
      <c r="M23" s="383">
        <f t="shared" si="4"/>
        <v>1709806.440006</v>
      </c>
      <c r="N23" s="383">
        <f t="shared" si="4"/>
        <v>1709806.440006</v>
      </c>
    </row>
    <row r="24" spans="6:14" s="38" customFormat="1" ht="12" x14ac:dyDescent="0.2">
      <c r="F24" s="448"/>
      <c r="G24" s="41" t="str">
        <f>STRAT1_IND5</f>
        <v>Objetivo estratégico 1 Indicador 5</v>
      </c>
      <c r="H24" s="260" t="str">
        <f ca="1">OFFSET(Variables_Lu!$D$10,Basic_Setup!H38,0)</f>
        <v>Governance</v>
      </c>
      <c r="I24" s="262">
        <f t="shared" si="3"/>
        <v>0</v>
      </c>
      <c r="J24" s="383">
        <v>0</v>
      </c>
      <c r="K24" s="383">
        <v>0</v>
      </c>
      <c r="L24" s="383">
        <v>0</v>
      </c>
      <c r="M24" s="383">
        <v>0</v>
      </c>
      <c r="N24" s="383">
        <v>0</v>
      </c>
    </row>
    <row r="25" spans="6:14" s="38" customFormat="1" ht="12" x14ac:dyDescent="0.2">
      <c r="H25" s="152" t="s">
        <v>538</v>
      </c>
      <c r="I25" s="265">
        <f>SUM(I20:I24)</f>
        <v>34196128.800119996</v>
      </c>
      <c r="J25" s="265">
        <f t="shared" ref="J25:M25" si="5">SUM(J20:J24)</f>
        <v>6839225.760024</v>
      </c>
      <c r="K25" s="265">
        <f t="shared" si="5"/>
        <v>6839225.760024</v>
      </c>
      <c r="L25" s="265">
        <f t="shared" si="5"/>
        <v>6839225.760024</v>
      </c>
      <c r="M25" s="265">
        <f t="shared" si="5"/>
        <v>6839225.760024</v>
      </c>
      <c r="N25" s="265">
        <f>SUM(N20:N24)</f>
        <v>6839225.760024</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262">
        <f>SUM(J26:N26)</f>
        <v>452386287.25158751</v>
      </c>
      <c r="J26" s="383">
        <f>4274516100.015*6.35%/3</f>
        <v>90477257.450317502</v>
      </c>
      <c r="K26" s="383">
        <f t="shared" ref="K26:N26" si="6">4274516100.015*6.35%/3</f>
        <v>90477257.450317502</v>
      </c>
      <c r="L26" s="383">
        <f t="shared" si="6"/>
        <v>90477257.450317502</v>
      </c>
      <c r="M26" s="383">
        <f t="shared" si="6"/>
        <v>90477257.450317502</v>
      </c>
      <c r="N26" s="383">
        <f t="shared" si="6"/>
        <v>90477257.450317502</v>
      </c>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262">
        <f t="shared" ref="I27:I30" si="7">SUM(J27:N27)</f>
        <v>452386287.25158751</v>
      </c>
      <c r="J27" s="383">
        <f t="shared" ref="J27:N28" si="8">4274516100.015*6.35%/3</f>
        <v>90477257.450317502</v>
      </c>
      <c r="K27" s="383">
        <f t="shared" si="8"/>
        <v>90477257.450317502</v>
      </c>
      <c r="L27" s="383">
        <f t="shared" si="8"/>
        <v>90477257.450317502</v>
      </c>
      <c r="M27" s="383">
        <f t="shared" si="8"/>
        <v>90477257.450317502</v>
      </c>
      <c r="N27" s="383">
        <f t="shared" si="8"/>
        <v>90477257.450317502</v>
      </c>
    </row>
    <row r="28" spans="6:14" s="38" customFormat="1" ht="22.8" x14ac:dyDescent="0.2">
      <c r="F28" s="447"/>
      <c r="G28" s="42" t="str">
        <f>STRAT2_IND3</f>
        <v>Se refuerzan las intervenciones comunitarias en materia de nutrición.</v>
      </c>
      <c r="H28" s="260" t="str">
        <f ca="1">OFFSET(Variables_Lu!$D$10,Basic_Setup!H42,0)</f>
        <v>Nutrition-specific</v>
      </c>
      <c r="I28" s="262">
        <f t="shared" si="7"/>
        <v>452386287.25158751</v>
      </c>
      <c r="J28" s="383">
        <f t="shared" si="8"/>
        <v>90477257.450317502</v>
      </c>
      <c r="K28" s="383">
        <f t="shared" si="8"/>
        <v>90477257.450317502</v>
      </c>
      <c r="L28" s="383">
        <f t="shared" si="8"/>
        <v>90477257.450317502</v>
      </c>
      <c r="M28" s="383">
        <f t="shared" si="8"/>
        <v>90477257.450317502</v>
      </c>
      <c r="N28" s="383">
        <f t="shared" si="8"/>
        <v>90477257.450317502</v>
      </c>
    </row>
    <row r="29" spans="6:14" s="38" customFormat="1" ht="12" x14ac:dyDescent="0.2">
      <c r="F29" s="447"/>
      <c r="G29" s="41" t="str">
        <f>STRAT2_IND4</f>
        <v>Objetivo estratégico 2 Indicador 4</v>
      </c>
      <c r="H29" s="260" t="str">
        <f ca="1">OFFSET(Variables_Lu!$D$10,Basic_Setup!H43,0)</f>
        <v>Nutrition-specific</v>
      </c>
      <c r="I29" s="262">
        <f t="shared" si="7"/>
        <v>0</v>
      </c>
      <c r="J29" s="383">
        <v>0</v>
      </c>
      <c r="K29" s="383">
        <v>0</v>
      </c>
      <c r="L29" s="383">
        <v>0</v>
      </c>
      <c r="M29" s="383">
        <v>0</v>
      </c>
      <c r="N29" s="383">
        <v>0</v>
      </c>
    </row>
    <row r="30" spans="6:14" s="38" customFormat="1" ht="12" x14ac:dyDescent="0.2">
      <c r="F30" s="448"/>
      <c r="G30" s="41" t="str">
        <f>STRAT2_IND5</f>
        <v>Objetivo estratégico 2 Indicador 5</v>
      </c>
      <c r="H30" s="260" t="str">
        <f ca="1">OFFSET(Variables_Lu!$D$10,Basic_Setup!H44,0)</f>
        <v>Nutrition-specific</v>
      </c>
      <c r="I30" s="262">
        <f t="shared" si="7"/>
        <v>0</v>
      </c>
      <c r="J30" s="383">
        <v>0</v>
      </c>
      <c r="K30" s="383">
        <v>0</v>
      </c>
      <c r="L30" s="383">
        <v>0</v>
      </c>
      <c r="M30" s="383">
        <v>0</v>
      </c>
      <c r="N30" s="383">
        <v>0</v>
      </c>
    </row>
    <row r="31" spans="6:14" s="38" customFormat="1" ht="12" x14ac:dyDescent="0.2">
      <c r="H31" s="152" t="s">
        <v>539</v>
      </c>
      <c r="I31" s="265">
        <f>SUM(I26:I30)</f>
        <v>1357158861.7547626</v>
      </c>
      <c r="J31" s="265">
        <f t="shared" ref="J31" si="9">SUM(J26:J30)</f>
        <v>271431772.35095251</v>
      </c>
      <c r="K31" s="265">
        <f t="shared" ref="K31" si="10">SUM(K26:K30)</f>
        <v>271431772.35095251</v>
      </c>
      <c r="L31" s="265">
        <f t="shared" ref="L31" si="11">SUM(L26:L30)</f>
        <v>271431772.35095251</v>
      </c>
      <c r="M31" s="265">
        <f t="shared" ref="M31" si="12">SUM(M26:M30)</f>
        <v>271431772.35095251</v>
      </c>
      <c r="N31" s="265">
        <f t="shared" ref="N31" si="13">SUM(N26:N30)</f>
        <v>271431772.35095251</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262">
        <f>SUM(J32:N32)</f>
        <v>5349556899.1687727</v>
      </c>
      <c r="J32" s="383">
        <f>4274516100.015*50.06%/2</f>
        <v>1069911379.8337545</v>
      </c>
      <c r="K32" s="383">
        <f t="shared" ref="K32:N33" si="14">4274516100.015*50.06%/2</f>
        <v>1069911379.8337545</v>
      </c>
      <c r="L32" s="383">
        <f t="shared" si="14"/>
        <v>1069911379.8337545</v>
      </c>
      <c r="M32" s="383">
        <f t="shared" si="14"/>
        <v>1069911379.8337545</v>
      </c>
      <c r="N32" s="383">
        <f t="shared" si="14"/>
        <v>1069911379.8337545</v>
      </c>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262">
        <f t="shared" ref="I33:I36" si="15">SUM(J33:N33)</f>
        <v>5349556899.1687727</v>
      </c>
      <c r="J33" s="383">
        <f>4274516100.015*50.06%/2</f>
        <v>1069911379.8337545</v>
      </c>
      <c r="K33" s="383">
        <f t="shared" si="14"/>
        <v>1069911379.8337545</v>
      </c>
      <c r="L33" s="383">
        <f t="shared" si="14"/>
        <v>1069911379.8337545</v>
      </c>
      <c r="M33" s="383">
        <f t="shared" si="14"/>
        <v>1069911379.8337545</v>
      </c>
      <c r="N33" s="383">
        <f t="shared" si="14"/>
        <v>1069911379.8337545</v>
      </c>
    </row>
    <row r="34" spans="6:14" s="38" customFormat="1" ht="12" x14ac:dyDescent="0.2">
      <c r="F34" s="447"/>
      <c r="G34" s="42" t="str">
        <f>STRAT3_IND3</f>
        <v>Objetivo estratégico 3 Indicador 3</v>
      </c>
      <c r="H34" s="260" t="str">
        <f ca="1">OFFSET(Variables_Lu!$D$10,Basic_Setup!H48,0)</f>
        <v>Nutrition-specific</v>
      </c>
      <c r="I34" s="262">
        <f t="shared" si="15"/>
        <v>0</v>
      </c>
      <c r="J34" s="383">
        <v>0</v>
      </c>
      <c r="K34" s="383">
        <v>0</v>
      </c>
      <c r="L34" s="383">
        <v>0</v>
      </c>
      <c r="M34" s="383">
        <v>0</v>
      </c>
      <c r="N34" s="383">
        <v>0</v>
      </c>
    </row>
    <row r="35" spans="6:14" s="38" customFormat="1" ht="12" x14ac:dyDescent="0.2">
      <c r="F35" s="447"/>
      <c r="G35" s="41" t="str">
        <f>STRAT3_IND4</f>
        <v>Objetivo estratégico 3 Indicador 4</v>
      </c>
      <c r="H35" s="260" t="str">
        <f ca="1">OFFSET(Variables_Lu!$D$10,Basic_Setup!H49,0)</f>
        <v>Nutrition-specific</v>
      </c>
      <c r="I35" s="262">
        <f t="shared" si="15"/>
        <v>0</v>
      </c>
      <c r="J35" s="383">
        <v>0</v>
      </c>
      <c r="K35" s="383">
        <v>0</v>
      </c>
      <c r="L35" s="383">
        <v>0</v>
      </c>
      <c r="M35" s="383">
        <v>0</v>
      </c>
      <c r="N35" s="383">
        <v>0</v>
      </c>
    </row>
    <row r="36" spans="6:14" s="38" customFormat="1" ht="12" x14ac:dyDescent="0.2">
      <c r="F36" s="448"/>
      <c r="G36" s="41" t="str">
        <f>STRAT3_IND5</f>
        <v>Objetivo estratégico 3 Indicador 5</v>
      </c>
      <c r="H36" s="260" t="str">
        <f ca="1">OFFSET(Variables_Lu!$D$10,Basic_Setup!H50,0)</f>
        <v>Nutrition-specific</v>
      </c>
      <c r="I36" s="262">
        <f t="shared" si="15"/>
        <v>0</v>
      </c>
      <c r="J36" s="383">
        <v>0</v>
      </c>
      <c r="K36" s="383">
        <v>0</v>
      </c>
      <c r="L36" s="383">
        <v>0</v>
      </c>
      <c r="M36" s="383">
        <v>0</v>
      </c>
      <c r="N36" s="383">
        <v>0</v>
      </c>
    </row>
    <row r="37" spans="6:14" ht="12" x14ac:dyDescent="0.2">
      <c r="H37" s="152" t="s">
        <v>540</v>
      </c>
      <c r="I37" s="265">
        <f>SUM(I32:I36)</f>
        <v>10699113798.337545</v>
      </c>
      <c r="J37" s="265">
        <f t="shared" ref="J37" si="16">SUM(J32:J36)</f>
        <v>2139822759.6675091</v>
      </c>
      <c r="K37" s="265">
        <f t="shared" ref="K37" si="17">SUM(K32:K36)</f>
        <v>2139822759.6675091</v>
      </c>
      <c r="L37" s="265">
        <f t="shared" ref="L37" si="18">SUM(L32:L36)</f>
        <v>2139822759.6675091</v>
      </c>
      <c r="M37" s="265">
        <f t="shared" ref="M37" si="19">SUM(M32:M36)</f>
        <v>2139822759.6675091</v>
      </c>
      <c r="N37" s="265">
        <f t="shared" ref="N37" si="20">SUM(N32:N36)</f>
        <v>2139822759.6675091</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262">
        <f>SUM(J38:N38)</f>
        <v>3011396592.4605675</v>
      </c>
      <c r="J38" s="383">
        <f>4274516100.015*42.27%/3</f>
        <v>602279318.49211347</v>
      </c>
      <c r="K38" s="383">
        <f t="shared" ref="K38:N38" si="21">4274516100.015*42.27%/3</f>
        <v>602279318.49211347</v>
      </c>
      <c r="L38" s="383">
        <f t="shared" si="21"/>
        <v>602279318.49211347</v>
      </c>
      <c r="M38" s="383">
        <f t="shared" si="21"/>
        <v>602279318.49211347</v>
      </c>
      <c r="N38" s="383">
        <f t="shared" si="21"/>
        <v>602279318.49211347</v>
      </c>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262">
        <f t="shared" ref="I39:I42" si="22">SUM(J39:N39)</f>
        <v>3011396592.4605675</v>
      </c>
      <c r="J39" s="383">
        <f t="shared" ref="J39:N40" si="23">4274516100.015*42.27%/3</f>
        <v>602279318.49211347</v>
      </c>
      <c r="K39" s="383">
        <f t="shared" si="23"/>
        <v>602279318.49211347</v>
      </c>
      <c r="L39" s="383">
        <f t="shared" si="23"/>
        <v>602279318.49211347</v>
      </c>
      <c r="M39" s="383">
        <f t="shared" si="23"/>
        <v>602279318.49211347</v>
      </c>
      <c r="N39" s="383">
        <f t="shared" si="23"/>
        <v>602279318.49211347</v>
      </c>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262">
        <f t="shared" si="22"/>
        <v>3011396592.4605675</v>
      </c>
      <c r="J40" s="383">
        <f t="shared" si="23"/>
        <v>602279318.49211347</v>
      </c>
      <c r="K40" s="383">
        <f t="shared" si="23"/>
        <v>602279318.49211347</v>
      </c>
      <c r="L40" s="383">
        <f t="shared" si="23"/>
        <v>602279318.49211347</v>
      </c>
      <c r="M40" s="383">
        <f t="shared" si="23"/>
        <v>602279318.49211347</v>
      </c>
      <c r="N40" s="383">
        <f t="shared" si="23"/>
        <v>602279318.49211347</v>
      </c>
    </row>
    <row r="41" spans="6:14" ht="12" x14ac:dyDescent="0.2">
      <c r="F41" s="447"/>
      <c r="G41" s="41" t="str">
        <f>STRAT4_IND4</f>
        <v>Objetivo estratégico 4 Indicador 4</v>
      </c>
      <c r="H41" s="260" t="str">
        <f ca="1">OFFSET(Variables_Lu!$D$10,Basic_Setup!H55,0)</f>
        <v>Nutrition-specific</v>
      </c>
      <c r="I41" s="262">
        <f t="shared" si="22"/>
        <v>0</v>
      </c>
      <c r="J41" s="383">
        <v>0</v>
      </c>
      <c r="K41" s="383">
        <v>0</v>
      </c>
      <c r="L41" s="383">
        <v>0</v>
      </c>
      <c r="M41" s="383">
        <v>0</v>
      </c>
      <c r="N41" s="383">
        <v>0</v>
      </c>
    </row>
    <row r="42" spans="6:14" ht="12" x14ac:dyDescent="0.2">
      <c r="F42" s="448"/>
      <c r="G42" s="41" t="str">
        <f>STRAT4_IND5</f>
        <v>Objetivo estratégico 4 Indicador 5</v>
      </c>
      <c r="H42" s="260" t="str">
        <f ca="1">OFFSET(Variables_Lu!$D$10,Basic_Setup!H56,0)</f>
        <v>Nutrition-specific</v>
      </c>
      <c r="I42" s="262">
        <f t="shared" si="22"/>
        <v>0</v>
      </c>
      <c r="J42" s="383">
        <v>0</v>
      </c>
      <c r="K42" s="383">
        <v>0</v>
      </c>
      <c r="L42" s="383">
        <v>0</v>
      </c>
      <c r="M42" s="383">
        <v>0</v>
      </c>
      <c r="N42" s="383">
        <v>0</v>
      </c>
    </row>
    <row r="43" spans="6:14" ht="12" x14ac:dyDescent="0.2">
      <c r="H43" s="152" t="s">
        <v>541</v>
      </c>
      <c r="I43" s="265">
        <f>SUM(I38:I42)</f>
        <v>9034189777.3817024</v>
      </c>
      <c r="J43" s="265">
        <f t="shared" ref="J43" si="24">SUM(J38:J42)</f>
        <v>1806837955.4763403</v>
      </c>
      <c r="K43" s="265">
        <f t="shared" ref="K43" si="25">SUM(K38:K42)</f>
        <v>1806837955.4763403</v>
      </c>
      <c r="L43" s="265">
        <f t="shared" ref="L43" si="26">SUM(L38:L42)</f>
        <v>1806837955.4763403</v>
      </c>
      <c r="M43" s="265">
        <f t="shared" ref="M43" si="27">SUM(M38:M42)</f>
        <v>1806837955.4763403</v>
      </c>
      <c r="N43" s="265">
        <f t="shared" ref="N43" si="28">SUM(N38:N42)</f>
        <v>1806837955.4763403</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262">
        <f>SUM(J44:N44)</f>
        <v>82640644.600289986</v>
      </c>
      <c r="J44" s="383">
        <f>4274516100.015*1.16%/3</f>
        <v>16528128.920057997</v>
      </c>
      <c r="K44" s="383">
        <f>4274516100.015*1.16%/3</f>
        <v>16528128.920057997</v>
      </c>
      <c r="L44" s="383">
        <f>4274516100.015*1.16%/3</f>
        <v>16528128.920057997</v>
      </c>
      <c r="M44" s="383">
        <f>4274516100.015*1.16%/3</f>
        <v>16528128.920057997</v>
      </c>
      <c r="N44" s="383">
        <f>4274516100.015*1.16%/3</f>
        <v>16528128.920057997</v>
      </c>
    </row>
    <row r="45" spans="6:14" ht="22.8" x14ac:dyDescent="0.2">
      <c r="F45" s="447"/>
      <c r="G45" s="42" t="str">
        <f>STRAT5_IND2</f>
        <v>Se promueven dietas saludables y estilos de vida saludables para las personas.</v>
      </c>
      <c r="H45" s="260" t="str">
        <f ca="1">OFFSET(Variables_Lu!$D$10,Basic_Setup!H59,0)</f>
        <v>Nutrition-specific</v>
      </c>
      <c r="I45" s="262">
        <f t="shared" ref="I45:I48" si="29">SUM(J45:N45)</f>
        <v>82640644.600289986</v>
      </c>
      <c r="J45" s="383">
        <f t="shared" ref="J45:N46" si="30">4274516100.015*1.16%/3</f>
        <v>16528128.920057997</v>
      </c>
      <c r="K45" s="383">
        <f t="shared" si="30"/>
        <v>16528128.920057997</v>
      </c>
      <c r="L45" s="383">
        <f t="shared" si="30"/>
        <v>16528128.920057997</v>
      </c>
      <c r="M45" s="383">
        <f t="shared" si="30"/>
        <v>16528128.920057997</v>
      </c>
      <c r="N45" s="383">
        <f t="shared" si="30"/>
        <v>16528128.920057997</v>
      </c>
    </row>
    <row r="46" spans="6:14" ht="22.8" x14ac:dyDescent="0.2">
      <c r="F46" s="447"/>
      <c r="G46" s="42" t="str">
        <f>STRAT5_IND3</f>
        <v>Se promueven las buenas prácticas WASH a nivel comunitario y doméstico</v>
      </c>
      <c r="H46" s="260" t="str">
        <f ca="1">OFFSET(Variables_Lu!$D$10,Basic_Setup!H60,0)</f>
        <v>Nutrition-sensitive</v>
      </c>
      <c r="I46" s="262">
        <f t="shared" si="29"/>
        <v>82640644.600289986</v>
      </c>
      <c r="J46" s="383">
        <f t="shared" si="30"/>
        <v>16528128.920057997</v>
      </c>
      <c r="K46" s="383">
        <f t="shared" si="30"/>
        <v>16528128.920057997</v>
      </c>
      <c r="L46" s="383">
        <f t="shared" si="30"/>
        <v>16528128.920057997</v>
      </c>
      <c r="M46" s="383">
        <f t="shared" si="30"/>
        <v>16528128.920057997</v>
      </c>
      <c r="N46" s="383">
        <f t="shared" si="30"/>
        <v>16528128.920057997</v>
      </c>
    </row>
    <row r="47" spans="6:14" ht="12" x14ac:dyDescent="0.2">
      <c r="F47" s="447"/>
      <c r="G47" s="41" t="str">
        <f>STRAT5_IND4</f>
        <v>Objetivo estratégico 5 Indicador 4</v>
      </c>
      <c r="H47" s="260" t="str">
        <f ca="1">OFFSET(Variables_Lu!$D$10,Basic_Setup!H61,0)</f>
        <v>Nutrition-specific</v>
      </c>
      <c r="I47" s="262">
        <f t="shared" si="29"/>
        <v>0</v>
      </c>
      <c r="J47" s="383">
        <v>0</v>
      </c>
      <c r="K47" s="383">
        <v>0</v>
      </c>
      <c r="L47" s="383">
        <v>0</v>
      </c>
      <c r="M47" s="383">
        <v>0</v>
      </c>
      <c r="N47" s="383">
        <v>0</v>
      </c>
    </row>
    <row r="48" spans="6:14" ht="12" x14ac:dyDescent="0.2">
      <c r="F48" s="448"/>
      <c r="G48" s="41" t="str">
        <f>STRAT5_IND5</f>
        <v>Objetivo estratégico 5 Indicador 5</v>
      </c>
      <c r="H48" s="260" t="str">
        <f ca="1">OFFSET(Variables_Lu!$D$10,Basic_Setup!H62,0)</f>
        <v>Nutrition-specific</v>
      </c>
      <c r="I48" s="262">
        <f t="shared" si="29"/>
        <v>0</v>
      </c>
      <c r="J48" s="383">
        <v>0</v>
      </c>
      <c r="K48" s="383">
        <v>0</v>
      </c>
      <c r="L48" s="383">
        <v>0</v>
      </c>
      <c r="M48" s="383">
        <v>0</v>
      </c>
      <c r="N48" s="383">
        <v>0</v>
      </c>
    </row>
    <row r="49" spans="6:14" ht="12" x14ac:dyDescent="0.2">
      <c r="H49" s="152" t="s">
        <v>542</v>
      </c>
      <c r="I49" s="265">
        <f>SUM(I44:I48)</f>
        <v>247921933.80086994</v>
      </c>
      <c r="J49" s="265">
        <f t="shared" ref="J49" si="31">SUM(J44:J48)</f>
        <v>49584386.760173991</v>
      </c>
      <c r="K49" s="265">
        <f t="shared" ref="K49" si="32">SUM(K44:K48)</f>
        <v>49584386.760173991</v>
      </c>
      <c r="L49" s="265">
        <f t="shared" ref="L49" si="33">SUM(L44:L48)</f>
        <v>49584386.760173991</v>
      </c>
      <c r="M49" s="265">
        <f t="shared" ref="M49" si="34">SUM(M44:M48)</f>
        <v>49584386.760173991</v>
      </c>
      <c r="N49" s="265">
        <f t="shared" ref="N49" si="35">SUM(N44:N48)</f>
        <v>49584386.760173991</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262">
        <f>SUM(J50:N50)</f>
        <v>0</v>
      </c>
      <c r="J50" s="37">
        <v>0</v>
      </c>
      <c r="K50" s="37">
        <v>0</v>
      </c>
      <c r="L50" s="37">
        <v>0</v>
      </c>
      <c r="M50" s="37">
        <v>0</v>
      </c>
      <c r="N50" s="37">
        <v>0</v>
      </c>
    </row>
    <row r="51" spans="6:14" ht="12" x14ac:dyDescent="0.2">
      <c r="F51" s="447"/>
      <c r="G51" s="42" t="str">
        <f>STRAT6_IND2</f>
        <v>Objetivo estratégico 6 Indicador 2</v>
      </c>
      <c r="H51" s="260" t="str">
        <f ca="1">OFFSET(Variables_Lu!$D$10,Basic_Setup!H65,0)</f>
        <v>Nutrition-specific</v>
      </c>
      <c r="I51" s="262">
        <f t="shared" ref="I51:I54" si="36">SUM(J51:N51)</f>
        <v>0</v>
      </c>
      <c r="J51" s="37">
        <v>0</v>
      </c>
      <c r="K51" s="37">
        <v>0</v>
      </c>
      <c r="L51" s="37">
        <v>0</v>
      </c>
      <c r="M51" s="37">
        <v>0</v>
      </c>
      <c r="N51" s="37">
        <v>0</v>
      </c>
    </row>
    <row r="52" spans="6:14" ht="12" x14ac:dyDescent="0.2">
      <c r="F52" s="447"/>
      <c r="G52" s="42" t="str">
        <f>STRAT6_IND3</f>
        <v>Objetivo estratégico 6 Indicador 3</v>
      </c>
      <c r="H52" s="260" t="str">
        <f ca="1">OFFSET(Variables_Lu!$D$10,Basic_Setup!H66,0)</f>
        <v>Nutrition-specific</v>
      </c>
      <c r="I52" s="262">
        <f t="shared" si="36"/>
        <v>0</v>
      </c>
      <c r="J52" s="37">
        <v>0</v>
      </c>
      <c r="K52" s="37">
        <v>0</v>
      </c>
      <c r="L52" s="37">
        <v>0</v>
      </c>
      <c r="M52" s="37">
        <v>0</v>
      </c>
      <c r="N52" s="37">
        <v>0</v>
      </c>
    </row>
    <row r="53" spans="6:14" ht="12" x14ac:dyDescent="0.2">
      <c r="F53" s="447"/>
      <c r="G53" s="41" t="str">
        <f>STRAT6_IND4</f>
        <v>Objetivo estratégico 6 Indicador 4</v>
      </c>
      <c r="H53" s="260" t="str">
        <f ca="1">OFFSET(Variables_Lu!$D$10,Basic_Setup!H67,0)</f>
        <v>Nutrition-specific</v>
      </c>
      <c r="I53" s="262">
        <f t="shared" si="36"/>
        <v>0</v>
      </c>
      <c r="J53" s="37">
        <v>0</v>
      </c>
      <c r="K53" s="37">
        <v>0</v>
      </c>
      <c r="L53" s="37">
        <v>0</v>
      </c>
      <c r="M53" s="37">
        <v>0</v>
      </c>
      <c r="N53" s="37">
        <v>0</v>
      </c>
    </row>
    <row r="54" spans="6:14" ht="12" x14ac:dyDescent="0.2">
      <c r="F54" s="448"/>
      <c r="G54" s="41" t="str">
        <f>STRAT6_IND5</f>
        <v>Objetivo estratégico 6 Indicador 5</v>
      </c>
      <c r="H54" s="260" t="str">
        <f ca="1">OFFSET(Variables_Lu!$D$10,Basic_Setup!H68,0)</f>
        <v>Nutrition-specific</v>
      </c>
      <c r="I54" s="262">
        <f t="shared" si="36"/>
        <v>0</v>
      </c>
      <c r="J54" s="37">
        <v>0</v>
      </c>
      <c r="K54" s="37">
        <v>0</v>
      </c>
      <c r="L54" s="37">
        <v>0</v>
      </c>
      <c r="M54" s="37">
        <v>0</v>
      </c>
      <c r="N54" s="37">
        <v>0</v>
      </c>
    </row>
    <row r="55" spans="6:14" ht="12" x14ac:dyDescent="0.2">
      <c r="H55" s="152" t="s">
        <v>543</v>
      </c>
      <c r="I55" s="265">
        <f>SUM(I50:I54)</f>
        <v>0</v>
      </c>
      <c r="J55" s="265">
        <f t="shared" ref="J55:N55" si="37">SUM(J50:J54)</f>
        <v>0</v>
      </c>
      <c r="K55" s="265">
        <f t="shared" si="37"/>
        <v>0</v>
      </c>
      <c r="L55" s="265">
        <f t="shared" si="37"/>
        <v>0</v>
      </c>
      <c r="M55" s="265">
        <f t="shared" si="37"/>
        <v>0</v>
      </c>
      <c r="N55" s="265">
        <f t="shared" si="37"/>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262">
        <f>SUM(J56:N56)</f>
        <v>0</v>
      </c>
      <c r="J56" s="383">
        <v>0</v>
      </c>
      <c r="K56" s="37">
        <v>0</v>
      </c>
      <c r="L56" s="37">
        <v>0</v>
      </c>
      <c r="M56" s="37">
        <v>0</v>
      </c>
      <c r="N56" s="37">
        <v>0</v>
      </c>
    </row>
    <row r="57" spans="6:14" ht="12" x14ac:dyDescent="0.2">
      <c r="F57" s="447"/>
      <c r="G57" s="42" t="str">
        <f>STRAT7_IND2</f>
        <v>Objetivo estratégico 7 Indicador 2</v>
      </c>
      <c r="H57" s="260" t="str">
        <f ca="1">OFFSET(Variables_Lu!$D$10,Basic_Setup!H71,0)</f>
        <v>Nutrition-specific</v>
      </c>
      <c r="I57" s="262">
        <f t="shared" ref="I57:I60" si="38">SUM(J57:N57)</f>
        <v>0</v>
      </c>
      <c r="J57" s="37">
        <v>0</v>
      </c>
      <c r="K57" s="37">
        <v>0</v>
      </c>
      <c r="L57" s="37">
        <v>0</v>
      </c>
      <c r="M57" s="37">
        <v>0</v>
      </c>
      <c r="N57" s="37">
        <v>0</v>
      </c>
    </row>
    <row r="58" spans="6:14" ht="12" x14ac:dyDescent="0.2">
      <c r="F58" s="447"/>
      <c r="G58" s="42" t="str">
        <f>STRAT7_IND3</f>
        <v>Objetivo estratégico 7 Indicador 3</v>
      </c>
      <c r="H58" s="260" t="str">
        <f ca="1">OFFSET(Variables_Lu!$D$10,Basic_Setup!H72,0)</f>
        <v>Nutrition-specific</v>
      </c>
      <c r="I58" s="262">
        <f t="shared" si="38"/>
        <v>0</v>
      </c>
      <c r="J58" s="37">
        <v>0</v>
      </c>
      <c r="K58" s="37">
        <v>0</v>
      </c>
      <c r="L58" s="37">
        <v>0</v>
      </c>
      <c r="M58" s="37">
        <v>0</v>
      </c>
      <c r="N58" s="37">
        <v>0</v>
      </c>
    </row>
    <row r="59" spans="6:14" ht="12" x14ac:dyDescent="0.2">
      <c r="F59" s="447"/>
      <c r="G59" s="41" t="str">
        <f>STRAT7_IND4</f>
        <v>Objetivo estratégico 7 Indicador 4</v>
      </c>
      <c r="H59" s="260" t="str">
        <f ca="1">OFFSET(Variables_Lu!$D$10,Basic_Setup!H73,0)</f>
        <v>Nutrition-specific</v>
      </c>
      <c r="I59" s="262">
        <f t="shared" si="38"/>
        <v>0</v>
      </c>
      <c r="J59" s="37">
        <v>0</v>
      </c>
      <c r="K59" s="37">
        <v>0</v>
      </c>
      <c r="L59" s="37">
        <v>0</v>
      </c>
      <c r="M59" s="37">
        <v>0</v>
      </c>
      <c r="N59" s="37">
        <v>0</v>
      </c>
    </row>
    <row r="60" spans="6:14" ht="12" x14ac:dyDescent="0.2">
      <c r="F60" s="448"/>
      <c r="G60" s="41" t="str">
        <f>STRAT7_IND5</f>
        <v>Objetivo estratégico 7 Indicador 5</v>
      </c>
      <c r="H60" s="260" t="str">
        <f ca="1">OFFSET(Variables_Lu!$D$10,Basic_Setup!H74,0)</f>
        <v>Nutrition-specific</v>
      </c>
      <c r="I60" s="262">
        <f t="shared" si="38"/>
        <v>0</v>
      </c>
      <c r="J60" s="37">
        <v>0</v>
      </c>
      <c r="K60" s="37">
        <v>0</v>
      </c>
      <c r="L60" s="37">
        <v>0</v>
      </c>
      <c r="M60" s="37">
        <v>0</v>
      </c>
      <c r="N60" s="37">
        <v>0</v>
      </c>
    </row>
    <row r="61" spans="6:14" ht="12" x14ac:dyDescent="0.2">
      <c r="H61" s="152" t="s">
        <v>544</v>
      </c>
      <c r="I61" s="265">
        <f>SUM(I56:I60)</f>
        <v>0</v>
      </c>
      <c r="J61" s="265">
        <f t="shared" ref="J61:N61" si="39">SUM(J56:J60)</f>
        <v>0</v>
      </c>
      <c r="K61" s="265">
        <f t="shared" si="39"/>
        <v>0</v>
      </c>
      <c r="L61" s="265">
        <f t="shared" si="39"/>
        <v>0</v>
      </c>
      <c r="M61" s="265">
        <f t="shared" si="39"/>
        <v>0</v>
      </c>
      <c r="N61" s="265">
        <f t="shared" si="39"/>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262">
        <f>SUM(J62:N62)</f>
        <v>0</v>
      </c>
      <c r="J62" s="383">
        <v>0</v>
      </c>
      <c r="K62" s="37">
        <v>0</v>
      </c>
      <c r="L62" s="37">
        <v>0</v>
      </c>
      <c r="M62" s="37">
        <v>0</v>
      </c>
      <c r="N62" s="37">
        <v>0</v>
      </c>
    </row>
    <row r="63" spans="6:14" ht="12" x14ac:dyDescent="0.2">
      <c r="F63" s="447"/>
      <c r="G63" s="42" t="str">
        <f>STRAT8_IND2</f>
        <v>Objetivo estratégico 8 Indicador 2</v>
      </c>
      <c r="H63" s="260" t="str">
        <f ca="1">OFFSET(Variables_Lu!$D$10,Basic_Setup!H77,0)</f>
        <v>Nutrition-specific</v>
      </c>
      <c r="I63" s="262">
        <f t="shared" ref="I63:I66" si="40">SUM(J63:N63)</f>
        <v>0</v>
      </c>
      <c r="J63" s="37">
        <v>0</v>
      </c>
      <c r="K63" s="37">
        <v>0</v>
      </c>
      <c r="L63" s="37">
        <v>0</v>
      </c>
      <c r="M63" s="37">
        <v>0</v>
      </c>
      <c r="N63" s="37">
        <v>0</v>
      </c>
    </row>
    <row r="64" spans="6:14" ht="12" x14ac:dyDescent="0.2">
      <c r="F64" s="447"/>
      <c r="G64" s="42" t="str">
        <f>STRAT8_IND3</f>
        <v>Objetivo estratégico 8 Indicador 3</v>
      </c>
      <c r="H64" s="260" t="str">
        <f ca="1">OFFSET(Variables_Lu!$D$10,Basic_Setup!H78,0)</f>
        <v>Nutrition-specific</v>
      </c>
      <c r="I64" s="262">
        <f t="shared" si="40"/>
        <v>0</v>
      </c>
      <c r="J64" s="37">
        <v>0</v>
      </c>
      <c r="K64" s="37">
        <v>0</v>
      </c>
      <c r="L64" s="37">
        <v>0</v>
      </c>
      <c r="M64" s="37">
        <v>0</v>
      </c>
      <c r="N64" s="37">
        <v>0</v>
      </c>
    </row>
    <row r="65" spans="6:14" ht="12" x14ac:dyDescent="0.2">
      <c r="F65" s="447"/>
      <c r="G65" s="41" t="str">
        <f>STRAT8_IND4</f>
        <v>Objetivo estratégico 8 Indicador 4</v>
      </c>
      <c r="H65" s="260" t="str">
        <f ca="1">OFFSET(Variables_Lu!$D$10,Basic_Setup!H79,0)</f>
        <v>Nutrition-specific</v>
      </c>
      <c r="I65" s="262">
        <f t="shared" si="40"/>
        <v>0</v>
      </c>
      <c r="J65" s="37">
        <v>0</v>
      </c>
      <c r="K65" s="37">
        <v>0</v>
      </c>
      <c r="L65" s="37">
        <v>0</v>
      </c>
      <c r="M65" s="37">
        <v>0</v>
      </c>
      <c r="N65" s="37">
        <v>0</v>
      </c>
    </row>
    <row r="66" spans="6:14" ht="12" x14ac:dyDescent="0.2">
      <c r="F66" s="448"/>
      <c r="G66" s="41" t="str">
        <f>STRAT8_IND5</f>
        <v>Objetivo estratégico 8 Indicador 5</v>
      </c>
      <c r="H66" s="260" t="str">
        <f ca="1">OFFSET(Variables_Lu!$D$10,Basic_Setup!H80,0)</f>
        <v>Nutrition-specific</v>
      </c>
      <c r="I66" s="262">
        <f t="shared" si="40"/>
        <v>0</v>
      </c>
      <c r="J66" s="37">
        <v>0</v>
      </c>
      <c r="K66" s="37">
        <v>0</v>
      </c>
      <c r="L66" s="37">
        <v>0</v>
      </c>
      <c r="M66" s="37">
        <v>0</v>
      </c>
      <c r="N66" s="37">
        <v>0</v>
      </c>
    </row>
    <row r="67" spans="6:14" ht="12" x14ac:dyDescent="0.2">
      <c r="H67" s="152" t="s">
        <v>545</v>
      </c>
      <c r="I67" s="265">
        <f>SUM(I62:I66)</f>
        <v>0</v>
      </c>
      <c r="J67" s="265">
        <f t="shared" ref="J67:N67" si="41">SUM(J62:J66)</f>
        <v>0</v>
      </c>
      <c r="K67" s="265">
        <f t="shared" si="41"/>
        <v>0</v>
      </c>
      <c r="L67" s="265">
        <f t="shared" si="41"/>
        <v>0</v>
      </c>
      <c r="M67" s="265">
        <f t="shared" si="41"/>
        <v>0</v>
      </c>
      <c r="N67" s="265">
        <f t="shared" si="41"/>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262">
        <f>SUM(J68:N68)</f>
        <v>0</v>
      </c>
      <c r="J68" s="383">
        <v>0</v>
      </c>
      <c r="K68" s="37">
        <v>0</v>
      </c>
      <c r="L68" s="37">
        <v>0</v>
      </c>
      <c r="M68" s="37">
        <v>0</v>
      </c>
      <c r="N68" s="37">
        <v>0</v>
      </c>
    </row>
    <row r="69" spans="6:14" ht="12" x14ac:dyDescent="0.2">
      <c r="F69" s="447"/>
      <c r="G69" s="42" t="str">
        <f>STRAT9_IND2</f>
        <v>Objetivo estratégico 9 Indicador 2</v>
      </c>
      <c r="H69" s="260" t="str">
        <f ca="1">OFFSET(Variables_Lu!$D$10,Basic_Setup!H83,0)</f>
        <v>Nutrition-specific</v>
      </c>
      <c r="I69" s="262">
        <f t="shared" ref="I69:I72" si="42">SUM(J69:N69)</f>
        <v>0</v>
      </c>
      <c r="J69" s="37">
        <v>0</v>
      </c>
      <c r="K69" s="37">
        <v>0</v>
      </c>
      <c r="L69" s="37">
        <v>0</v>
      </c>
      <c r="M69" s="37">
        <v>0</v>
      </c>
      <c r="N69" s="37">
        <v>0</v>
      </c>
    </row>
    <row r="70" spans="6:14" ht="12" x14ac:dyDescent="0.2">
      <c r="F70" s="447"/>
      <c r="G70" s="42" t="str">
        <f>STRAT9_IND3</f>
        <v>Objetivo estratégico 9 Indicador 3</v>
      </c>
      <c r="H70" s="260" t="str">
        <f ca="1">OFFSET(Variables_Lu!$D$10,Basic_Setup!H84,0)</f>
        <v>Nutrition-specific</v>
      </c>
      <c r="I70" s="262">
        <f t="shared" si="42"/>
        <v>0</v>
      </c>
      <c r="J70" s="37">
        <v>0</v>
      </c>
      <c r="K70" s="37">
        <v>0</v>
      </c>
      <c r="L70" s="37">
        <v>0</v>
      </c>
      <c r="M70" s="37">
        <v>0</v>
      </c>
      <c r="N70" s="37">
        <v>0</v>
      </c>
    </row>
    <row r="71" spans="6:14" ht="12" x14ac:dyDescent="0.2">
      <c r="F71" s="447"/>
      <c r="G71" s="41" t="str">
        <f>STRAT9_IND4</f>
        <v>Objetivo estratégico 9 Indicador 4</v>
      </c>
      <c r="H71" s="260" t="str">
        <f ca="1">OFFSET(Variables_Lu!$D$10,Basic_Setup!H85,0)</f>
        <v>Nutrition-specific</v>
      </c>
      <c r="I71" s="262">
        <f t="shared" si="42"/>
        <v>0</v>
      </c>
      <c r="J71" s="37">
        <v>0</v>
      </c>
      <c r="K71" s="37">
        <v>0</v>
      </c>
      <c r="L71" s="37">
        <v>0</v>
      </c>
      <c r="M71" s="37">
        <v>0</v>
      </c>
      <c r="N71" s="37">
        <v>0</v>
      </c>
    </row>
    <row r="72" spans="6:14" ht="12" x14ac:dyDescent="0.2">
      <c r="F72" s="448"/>
      <c r="G72" s="41" t="str">
        <f>STRAT9_IND5</f>
        <v>Objetivo estratégico 9 Indicador 5</v>
      </c>
      <c r="H72" s="260" t="str">
        <f ca="1">OFFSET(Variables_Lu!$D$10,Basic_Setup!H86,0)</f>
        <v>Nutrition-specific</v>
      </c>
      <c r="I72" s="262">
        <f t="shared" si="42"/>
        <v>0</v>
      </c>
      <c r="J72" s="37">
        <v>0</v>
      </c>
      <c r="K72" s="37">
        <v>0</v>
      </c>
      <c r="L72" s="37">
        <v>0</v>
      </c>
      <c r="M72" s="37">
        <v>0</v>
      </c>
      <c r="N72" s="37">
        <v>0</v>
      </c>
    </row>
    <row r="73" spans="6:14" ht="12" x14ac:dyDescent="0.2">
      <c r="H73" s="152" t="s">
        <v>546</v>
      </c>
      <c r="I73" s="265">
        <f>SUM(I68:I72)</f>
        <v>0</v>
      </c>
      <c r="J73" s="265">
        <f t="shared" ref="J73:N73" si="43">SUM(J68:J72)</f>
        <v>0</v>
      </c>
      <c r="K73" s="265">
        <f t="shared" si="43"/>
        <v>0</v>
      </c>
      <c r="L73" s="265">
        <f t="shared" si="43"/>
        <v>0</v>
      </c>
      <c r="M73" s="265">
        <f t="shared" si="43"/>
        <v>0</v>
      </c>
      <c r="N73" s="265">
        <f t="shared" si="43"/>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262">
        <f>SUM(J74:N74)</f>
        <v>0</v>
      </c>
      <c r="J74" s="383">
        <v>0</v>
      </c>
      <c r="K74" s="37">
        <v>0</v>
      </c>
      <c r="L74" s="37">
        <v>0</v>
      </c>
      <c r="M74" s="37">
        <v>0</v>
      </c>
      <c r="N74" s="37">
        <v>0</v>
      </c>
    </row>
    <row r="75" spans="6:14" ht="12" x14ac:dyDescent="0.2">
      <c r="F75" s="447"/>
      <c r="G75" s="42" t="str">
        <f>STRAT10_IND2</f>
        <v>Objetivo estratégico 10 Indicador 2</v>
      </c>
      <c r="H75" s="260" t="str">
        <f ca="1">OFFSET(Variables_Lu!$D$10,Basic_Setup!H89,0)</f>
        <v>Nutrition-specific</v>
      </c>
      <c r="I75" s="262">
        <f t="shared" ref="I75:I78" si="44">SUM(J75:N75)</f>
        <v>0</v>
      </c>
      <c r="J75" s="37">
        <v>0</v>
      </c>
      <c r="K75" s="37">
        <v>0</v>
      </c>
      <c r="L75" s="37">
        <v>0</v>
      </c>
      <c r="M75" s="37">
        <v>0</v>
      </c>
      <c r="N75" s="37">
        <v>0</v>
      </c>
    </row>
    <row r="76" spans="6:14" ht="12" x14ac:dyDescent="0.2">
      <c r="F76" s="447"/>
      <c r="G76" s="42" t="str">
        <f>STRAT10_IND3</f>
        <v>Objetivo estratégico 10 Indicador 3</v>
      </c>
      <c r="H76" s="260" t="str">
        <f ca="1">OFFSET(Variables_Lu!$D$10,Basic_Setup!H90,0)</f>
        <v>Nutrition-specific</v>
      </c>
      <c r="I76" s="262">
        <f t="shared" si="44"/>
        <v>0</v>
      </c>
      <c r="J76" s="37">
        <v>0</v>
      </c>
      <c r="K76" s="37">
        <v>0</v>
      </c>
      <c r="L76" s="37">
        <v>0</v>
      </c>
      <c r="M76" s="37">
        <v>0</v>
      </c>
      <c r="N76" s="37">
        <v>0</v>
      </c>
    </row>
    <row r="77" spans="6:14" ht="11.25" customHeight="1" x14ac:dyDescent="0.2">
      <c r="F77" s="447"/>
      <c r="G77" s="41" t="str">
        <f>STRAT10_IND4</f>
        <v>Objetivo estratégico 10 Indicador 4</v>
      </c>
      <c r="H77" s="260" t="str">
        <f ca="1">OFFSET(Variables_Lu!$D$10,Basic_Setup!H91,0)</f>
        <v>Nutrition-specific</v>
      </c>
      <c r="I77" s="262">
        <f t="shared" si="44"/>
        <v>0</v>
      </c>
      <c r="J77" s="37">
        <v>0</v>
      </c>
      <c r="K77" s="37">
        <v>0</v>
      </c>
      <c r="L77" s="37">
        <v>0</v>
      </c>
      <c r="M77" s="37">
        <v>0</v>
      </c>
      <c r="N77" s="37">
        <v>0</v>
      </c>
    </row>
    <row r="78" spans="6:14" ht="11.25" customHeight="1" x14ac:dyDescent="0.2">
      <c r="F78" s="448"/>
      <c r="G78" s="41" t="str">
        <f>STRAT10_IND5</f>
        <v>Objetivo estratégico 10 Indicador 5</v>
      </c>
      <c r="H78" s="260" t="str">
        <f ca="1">OFFSET(Variables_Lu!$D$10,Basic_Setup!H92,0)</f>
        <v>Nutrition-specific</v>
      </c>
      <c r="I78" s="262">
        <f t="shared" si="44"/>
        <v>0</v>
      </c>
      <c r="J78" s="37">
        <v>0</v>
      </c>
      <c r="K78" s="37">
        <v>0</v>
      </c>
      <c r="L78" s="37">
        <v>0</v>
      </c>
      <c r="M78" s="37">
        <v>0</v>
      </c>
      <c r="N78" s="37">
        <v>0</v>
      </c>
    </row>
    <row r="79" spans="6:14" ht="11.25" customHeight="1" x14ac:dyDescent="0.2">
      <c r="H79" s="152" t="s">
        <v>547</v>
      </c>
      <c r="I79" s="265">
        <f>SUM(I74:I78)</f>
        <v>0</v>
      </c>
      <c r="J79" s="265">
        <f t="shared" ref="J79:N79" si="45">SUM(J74:J78)</f>
        <v>0</v>
      </c>
      <c r="K79" s="265">
        <f t="shared" si="45"/>
        <v>0</v>
      </c>
      <c r="L79" s="265">
        <f t="shared" si="45"/>
        <v>0</v>
      </c>
      <c r="M79" s="265">
        <f t="shared" si="45"/>
        <v>0</v>
      </c>
      <c r="N79" s="265">
        <f t="shared" si="45"/>
        <v>0</v>
      </c>
    </row>
    <row r="80" spans="6:14" ht="11.25" customHeight="1" x14ac:dyDescent="0.2">
      <c r="I80" s="263"/>
    </row>
    <row r="81" spans="6:14" ht="12.6" thickBot="1" x14ac:dyDescent="0.25">
      <c r="H81" s="149" t="str">
        <f>"TOTAL - "&amp;$F$12</f>
        <v>TOTAL - Ministerio de Agricultura y Ganadería</v>
      </c>
      <c r="I81" s="264">
        <f>SUM(I25,I31,I37,I43,I49,I55,I61,I67,I73,I79)</f>
        <v>21372580500.075001</v>
      </c>
      <c r="J81" s="264">
        <f>SUM(J25,J31,J37,J43,J49,J55,J61,J67,J73,J79)</f>
        <v>4274516100.0149999</v>
      </c>
      <c r="K81" s="264">
        <f t="shared" ref="K81:M81" si="46">SUM(K25,K31,K37,K43,K49,K55,K61,K67,K73,K79)</f>
        <v>4274516100.0149999</v>
      </c>
      <c r="L81" s="264">
        <f t="shared" si="46"/>
        <v>4274516100.0149999</v>
      </c>
      <c r="M81" s="264">
        <f t="shared" si="46"/>
        <v>4274516100.0149999</v>
      </c>
      <c r="N81" s="264">
        <f>SUM(N25,N31,N37,N43,N49,N55,N61,N67,N73,N79)</f>
        <v>4274516100.0149999</v>
      </c>
    </row>
    <row r="82" spans="6:14" ht="12" x14ac:dyDescent="0.2">
      <c r="I82" s="149"/>
    </row>
    <row r="83" spans="6:14" ht="12" x14ac:dyDescent="0.2">
      <c r="F83" s="44" t="s">
        <v>4</v>
      </c>
    </row>
    <row r="84" spans="6:14" x14ac:dyDescent="0.2">
      <c r="F84" s="49"/>
    </row>
    <row r="85" spans="6:14" x14ac:dyDescent="0.2">
      <c r="F85" s="49"/>
    </row>
    <row r="86" spans="6:14" x14ac:dyDescent="0.2">
      <c r="F86" s="49"/>
    </row>
    <row r="87" spans="6:14" x14ac:dyDescent="0.2">
      <c r="F87" s="49"/>
    </row>
    <row r="90" spans="6:14" ht="12.6" thickBot="1" x14ac:dyDescent="0.25">
      <c r="F90" s="1" t="s">
        <v>389</v>
      </c>
      <c r="G90" s="1" t="s">
        <v>399</v>
      </c>
      <c r="H90" s="406" t="s">
        <v>136</v>
      </c>
      <c r="I90" s="253" t="s">
        <v>106</v>
      </c>
      <c r="J90" s="54" t="str">
        <f>CURR_INT_ABBR</f>
        <v>USD</v>
      </c>
      <c r="K90" s="54" t="str">
        <f>CURR_INT_ABBR</f>
        <v>USD</v>
      </c>
      <c r="L90" s="54" t="str">
        <f>CURR_INT_ABBR</f>
        <v>USD</v>
      </c>
      <c r="M90" s="54" t="str">
        <f>CURR_INT_ABBR</f>
        <v>USD</v>
      </c>
      <c r="N90" s="54" t="str">
        <f>CURR_INT_ABBR</f>
        <v>USD</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67">
        <f>I20/EXCHANGE_RATE</f>
        <v>4749.4623333499994</v>
      </c>
      <c r="J91" s="154">
        <f t="shared" ref="I91:N100" si="47">J20/EXCHANGE_RATE</f>
        <v>949.89246666999998</v>
      </c>
      <c r="K91" s="154">
        <f t="shared" si="47"/>
        <v>949.89246666999998</v>
      </c>
      <c r="L91" s="154">
        <f t="shared" si="47"/>
        <v>949.89246666999998</v>
      </c>
      <c r="M91" s="154">
        <f t="shared" si="47"/>
        <v>949.89246666999998</v>
      </c>
      <c r="N91" s="154">
        <f t="shared" si="47"/>
        <v>949.89246666999998</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67">
        <f t="shared" si="47"/>
        <v>4749.4623333499994</v>
      </c>
      <c r="J92" s="154">
        <f t="shared" si="47"/>
        <v>949.89246666999998</v>
      </c>
      <c r="K92" s="154">
        <f t="shared" si="47"/>
        <v>949.89246666999998</v>
      </c>
      <c r="L92" s="154">
        <f t="shared" si="47"/>
        <v>949.89246666999998</v>
      </c>
      <c r="M92" s="154">
        <f t="shared" si="47"/>
        <v>949.89246666999998</v>
      </c>
      <c r="N92" s="154">
        <f t="shared" si="47"/>
        <v>949.89246666999998</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67">
        <f t="shared" si="47"/>
        <v>4749.4623333499994</v>
      </c>
      <c r="J93" s="154">
        <f t="shared" si="47"/>
        <v>949.89246666999998</v>
      </c>
      <c r="K93" s="154">
        <f t="shared" si="47"/>
        <v>949.89246666999998</v>
      </c>
      <c r="L93" s="154">
        <f t="shared" si="47"/>
        <v>949.89246666999998</v>
      </c>
      <c r="M93" s="154">
        <f t="shared" si="47"/>
        <v>949.89246666999998</v>
      </c>
      <c r="N93" s="154">
        <f t="shared" si="47"/>
        <v>949.89246666999998</v>
      </c>
    </row>
    <row r="94" spans="6:14" ht="22.8" x14ac:dyDescent="0.2">
      <c r="F94" s="444"/>
      <c r="G94" s="41" t="str">
        <f>STRAT1_IND4</f>
        <v>El marco legislativo y reglamentario de la nutrición se ha fortalecido y está en funcionamiento.</v>
      </c>
      <c r="H94" s="268" t="str">
        <f ca="1">OFFSET(Variables_Lu!$D$10,Basic_Setup!H37,0)</f>
        <v>Governance</v>
      </c>
      <c r="I94" s="67">
        <f t="shared" si="47"/>
        <v>4749.4623333499994</v>
      </c>
      <c r="J94" s="154">
        <f t="shared" si="47"/>
        <v>949.89246666999998</v>
      </c>
      <c r="K94" s="154">
        <f t="shared" si="47"/>
        <v>949.89246666999998</v>
      </c>
      <c r="L94" s="154">
        <f t="shared" si="47"/>
        <v>949.89246666999998</v>
      </c>
      <c r="M94" s="154">
        <f t="shared" si="47"/>
        <v>949.89246666999998</v>
      </c>
      <c r="N94" s="154">
        <f t="shared" si="47"/>
        <v>949.89246666999998</v>
      </c>
    </row>
    <row r="95" spans="6:14" ht="12.6" thickBot="1" x14ac:dyDescent="0.25">
      <c r="F95" s="445"/>
      <c r="G95" s="275" t="str">
        <f>STRAT1_IND5</f>
        <v>Objetivo estratégico 1 Indicador 5</v>
      </c>
      <c r="H95" s="270" t="str">
        <f ca="1">OFFSET(Variables_Lu!$D$10,Basic_Setup!H38,0)</f>
        <v>Governance</v>
      </c>
      <c r="I95" s="67">
        <f t="shared" si="47"/>
        <v>0</v>
      </c>
      <c r="J95" s="154">
        <f t="shared" si="47"/>
        <v>0</v>
      </c>
      <c r="K95" s="154">
        <f t="shared" si="47"/>
        <v>0</v>
      </c>
      <c r="L95" s="154">
        <f t="shared" si="47"/>
        <v>0</v>
      </c>
      <c r="M95" s="154">
        <f t="shared" si="47"/>
        <v>0</v>
      </c>
      <c r="N95" s="154">
        <f t="shared" si="47"/>
        <v>0</v>
      </c>
    </row>
    <row r="96" spans="6:14" ht="12.6" thickBot="1" x14ac:dyDescent="0.25">
      <c r="F96" s="38"/>
      <c r="G96" s="38"/>
      <c r="H96" s="152" t="s">
        <v>538</v>
      </c>
      <c r="I96" s="122">
        <f t="shared" si="47"/>
        <v>18997.849333399998</v>
      </c>
      <c r="J96" s="63">
        <f t="shared" si="47"/>
        <v>3799.5698666799999</v>
      </c>
      <c r="K96" s="63">
        <f t="shared" si="47"/>
        <v>3799.5698666799999</v>
      </c>
      <c r="L96" s="63">
        <f t="shared" si="47"/>
        <v>3799.5698666799999</v>
      </c>
      <c r="M96" s="63">
        <f t="shared" si="47"/>
        <v>3799.5698666799999</v>
      </c>
      <c r="N96" s="63">
        <f>N25/EXCHANGE_RATE</f>
        <v>3799.5698666799999</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67">
        <f t="shared" si="47"/>
        <v>251325.71513977085</v>
      </c>
      <c r="J97" s="154">
        <f t="shared" si="47"/>
        <v>50265.143027954167</v>
      </c>
      <c r="K97" s="154">
        <f t="shared" si="47"/>
        <v>50265.143027954167</v>
      </c>
      <c r="L97" s="154">
        <f t="shared" si="47"/>
        <v>50265.143027954167</v>
      </c>
      <c r="M97" s="154">
        <f t="shared" si="47"/>
        <v>50265.143027954167</v>
      </c>
      <c r="N97" s="154">
        <f t="shared" si="47"/>
        <v>50265.143027954167</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67">
        <f t="shared" si="47"/>
        <v>251325.71513977085</v>
      </c>
      <c r="J98" s="154">
        <f t="shared" si="47"/>
        <v>50265.143027954167</v>
      </c>
      <c r="K98" s="154">
        <f t="shared" si="47"/>
        <v>50265.143027954167</v>
      </c>
      <c r="L98" s="154">
        <f t="shared" si="47"/>
        <v>50265.143027954167</v>
      </c>
      <c r="M98" s="154">
        <f t="shared" si="47"/>
        <v>50265.143027954167</v>
      </c>
      <c r="N98" s="154">
        <f t="shared" si="47"/>
        <v>50265.143027954167</v>
      </c>
    </row>
    <row r="99" spans="6:14" ht="22.8" x14ac:dyDescent="0.2">
      <c r="F99" s="444"/>
      <c r="G99" s="42" t="str">
        <f>STRAT2_IND3</f>
        <v>Se refuerzan las intervenciones comunitarias en materia de nutrición.</v>
      </c>
      <c r="H99" s="268" t="str">
        <f ca="1">OFFSET(Variables_Lu!$D$10,Basic_Setup!H42,0)</f>
        <v>Nutrition-specific</v>
      </c>
      <c r="I99" s="67">
        <f t="shared" si="47"/>
        <v>251325.71513977085</v>
      </c>
      <c r="J99" s="154">
        <f t="shared" si="47"/>
        <v>50265.143027954167</v>
      </c>
      <c r="K99" s="154">
        <f t="shared" si="47"/>
        <v>50265.143027954167</v>
      </c>
      <c r="L99" s="154">
        <f t="shared" si="47"/>
        <v>50265.143027954167</v>
      </c>
      <c r="M99" s="154">
        <f t="shared" si="47"/>
        <v>50265.143027954167</v>
      </c>
      <c r="N99" s="154">
        <f t="shared" si="47"/>
        <v>50265.143027954167</v>
      </c>
    </row>
    <row r="100" spans="6:14" ht="12" x14ac:dyDescent="0.2">
      <c r="F100" s="444"/>
      <c r="G100" s="41" t="str">
        <f>STRAT2_IND4</f>
        <v>Objetivo estratégico 2 Indicador 4</v>
      </c>
      <c r="H100" s="268" t="str">
        <f ca="1">OFFSET(Variables_Lu!$D$10,Basic_Setup!H43,0)</f>
        <v>Nutrition-specific</v>
      </c>
      <c r="I100" s="67">
        <f t="shared" si="47"/>
        <v>0</v>
      </c>
      <c r="J100" s="154">
        <f t="shared" si="47"/>
        <v>0</v>
      </c>
      <c r="K100" s="154">
        <f t="shared" si="47"/>
        <v>0</v>
      </c>
      <c r="L100" s="154">
        <f t="shared" si="47"/>
        <v>0</v>
      </c>
      <c r="M100" s="154">
        <f t="shared" si="47"/>
        <v>0</v>
      </c>
      <c r="N100" s="154">
        <f t="shared" si="47"/>
        <v>0</v>
      </c>
    </row>
    <row r="101" spans="6:14" ht="12.6" thickBot="1" x14ac:dyDescent="0.25">
      <c r="F101" s="445"/>
      <c r="G101" s="275" t="str">
        <f>STRAT2_IND5</f>
        <v>Objetivo estratégico 2 Indicador 5</v>
      </c>
      <c r="H101" s="270" t="str">
        <f ca="1">OFFSET(Variables_Lu!$D$10,Basic_Setup!H44,0)</f>
        <v>Nutrition-specific</v>
      </c>
      <c r="I101" s="67">
        <f t="shared" ref="I101:N110" si="48">I30/EXCHANGE_RATE</f>
        <v>0</v>
      </c>
      <c r="J101" s="154">
        <f t="shared" si="48"/>
        <v>0</v>
      </c>
      <c r="K101" s="154">
        <f t="shared" si="48"/>
        <v>0</v>
      </c>
      <c r="L101" s="154">
        <f t="shared" si="48"/>
        <v>0</v>
      </c>
      <c r="M101" s="154">
        <f t="shared" si="48"/>
        <v>0</v>
      </c>
      <c r="N101" s="154">
        <f t="shared" si="48"/>
        <v>0</v>
      </c>
    </row>
    <row r="102" spans="6:14" ht="12.6" thickBot="1" x14ac:dyDescent="0.25">
      <c r="F102" s="38"/>
      <c r="G102" s="38"/>
      <c r="H102" s="152" t="s">
        <v>539</v>
      </c>
      <c r="I102" s="122">
        <f t="shared" si="48"/>
        <v>753977.14541931264</v>
      </c>
      <c r="J102" s="63">
        <f t="shared" si="48"/>
        <v>150795.42908386252</v>
      </c>
      <c r="K102" s="63">
        <f t="shared" si="48"/>
        <v>150795.42908386252</v>
      </c>
      <c r="L102" s="63">
        <f t="shared" si="48"/>
        <v>150795.42908386252</v>
      </c>
      <c r="M102" s="63">
        <f t="shared" si="48"/>
        <v>150795.42908386252</v>
      </c>
      <c r="N102" s="63">
        <f t="shared" si="48"/>
        <v>150795.42908386252</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67">
        <f t="shared" si="48"/>
        <v>2971976.0550937625</v>
      </c>
      <c r="J103" s="154">
        <f t="shared" si="48"/>
        <v>594395.21101875254</v>
      </c>
      <c r="K103" s="154">
        <f t="shared" si="48"/>
        <v>594395.21101875254</v>
      </c>
      <c r="L103" s="154">
        <f t="shared" si="48"/>
        <v>594395.21101875254</v>
      </c>
      <c r="M103" s="154">
        <f t="shared" si="48"/>
        <v>594395.21101875254</v>
      </c>
      <c r="N103" s="154">
        <f t="shared" si="48"/>
        <v>594395.21101875254</v>
      </c>
    </row>
    <row r="104" spans="6:14" ht="22.8" x14ac:dyDescent="0.2">
      <c r="F104" s="444"/>
      <c r="G104" s="42" t="str">
        <f>STRAT3_IND2</f>
        <v xml:space="preserve"> La seguridad alimentaria está garantizada para toda la nación.</v>
      </c>
      <c r="H104" s="268" t="str">
        <f ca="1">OFFSET(Variables_Lu!$D$10,Basic_Setup!H47,0)</f>
        <v>Nutrition-sensitive</v>
      </c>
      <c r="I104" s="67">
        <f t="shared" si="48"/>
        <v>2971976.0550937625</v>
      </c>
      <c r="J104" s="154">
        <f t="shared" si="48"/>
        <v>594395.21101875254</v>
      </c>
      <c r="K104" s="154">
        <f t="shared" si="48"/>
        <v>594395.21101875254</v>
      </c>
      <c r="L104" s="154">
        <f t="shared" si="48"/>
        <v>594395.21101875254</v>
      </c>
      <c r="M104" s="154">
        <f t="shared" si="48"/>
        <v>594395.21101875254</v>
      </c>
      <c r="N104" s="154">
        <f t="shared" si="48"/>
        <v>594395.21101875254</v>
      </c>
    </row>
    <row r="105" spans="6:14" ht="12" x14ac:dyDescent="0.2">
      <c r="F105" s="444"/>
      <c r="G105" s="42" t="str">
        <f>STRAT3_IND3</f>
        <v>Objetivo estratégico 3 Indicador 3</v>
      </c>
      <c r="H105" s="268" t="str">
        <f ca="1">OFFSET(Variables_Lu!$D$10,Basic_Setup!H48,0)</f>
        <v>Nutrition-specific</v>
      </c>
      <c r="I105" s="67">
        <f t="shared" si="48"/>
        <v>0</v>
      </c>
      <c r="J105" s="154">
        <f t="shared" si="48"/>
        <v>0</v>
      </c>
      <c r="K105" s="154">
        <f t="shared" si="48"/>
        <v>0</v>
      </c>
      <c r="L105" s="154">
        <f t="shared" si="48"/>
        <v>0</v>
      </c>
      <c r="M105" s="154">
        <f t="shared" si="48"/>
        <v>0</v>
      </c>
      <c r="N105" s="154">
        <f t="shared" si="48"/>
        <v>0</v>
      </c>
    </row>
    <row r="106" spans="6:14" ht="12" x14ac:dyDescent="0.2">
      <c r="F106" s="444"/>
      <c r="G106" s="41" t="str">
        <f>STRAT3_IND4</f>
        <v>Objetivo estratégico 3 Indicador 4</v>
      </c>
      <c r="H106" s="268" t="str">
        <f ca="1">OFFSET(Variables_Lu!$D$10,Basic_Setup!H49,0)</f>
        <v>Nutrition-specific</v>
      </c>
      <c r="I106" s="67">
        <f t="shared" si="48"/>
        <v>0</v>
      </c>
      <c r="J106" s="154">
        <f t="shared" si="48"/>
        <v>0</v>
      </c>
      <c r="K106" s="154">
        <f t="shared" si="48"/>
        <v>0</v>
      </c>
      <c r="L106" s="154">
        <f t="shared" si="48"/>
        <v>0</v>
      </c>
      <c r="M106" s="154">
        <f t="shared" si="48"/>
        <v>0</v>
      </c>
      <c r="N106" s="154">
        <f t="shared" si="48"/>
        <v>0</v>
      </c>
    </row>
    <row r="107" spans="6:14" ht="12.6" thickBot="1" x14ac:dyDescent="0.25">
      <c r="F107" s="445"/>
      <c r="G107" s="275" t="str">
        <f>STRAT3_IND5</f>
        <v>Objetivo estratégico 3 Indicador 5</v>
      </c>
      <c r="H107" s="270" t="str">
        <f ca="1">OFFSET(Variables_Lu!$D$10,Basic_Setup!H50,0)</f>
        <v>Nutrition-specific</v>
      </c>
      <c r="I107" s="67">
        <f t="shared" si="48"/>
        <v>0</v>
      </c>
      <c r="J107" s="154">
        <f t="shared" si="48"/>
        <v>0</v>
      </c>
      <c r="K107" s="154">
        <f t="shared" si="48"/>
        <v>0</v>
      </c>
      <c r="L107" s="154">
        <f t="shared" si="48"/>
        <v>0</v>
      </c>
      <c r="M107" s="154">
        <f t="shared" si="48"/>
        <v>0</v>
      </c>
      <c r="N107" s="154">
        <f t="shared" si="48"/>
        <v>0</v>
      </c>
    </row>
    <row r="108" spans="6:14" ht="12.6" thickBot="1" x14ac:dyDescent="0.25">
      <c r="H108" s="152" t="s">
        <v>540</v>
      </c>
      <c r="I108" s="122">
        <f t="shared" si="48"/>
        <v>5943952.1101875249</v>
      </c>
      <c r="J108" s="63">
        <f t="shared" si="48"/>
        <v>1188790.4220375051</v>
      </c>
      <c r="K108" s="63">
        <f t="shared" si="48"/>
        <v>1188790.4220375051</v>
      </c>
      <c r="L108" s="63">
        <f t="shared" si="48"/>
        <v>1188790.4220375051</v>
      </c>
      <c r="M108" s="63">
        <f t="shared" si="48"/>
        <v>1188790.4220375051</v>
      </c>
      <c r="N108" s="63">
        <f t="shared" si="48"/>
        <v>1188790.4220375051</v>
      </c>
    </row>
    <row r="109" spans="6:14" ht="24"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67">
        <f t="shared" si="48"/>
        <v>1672998.1069225376</v>
      </c>
      <c r="J109" s="154">
        <f t="shared" si="48"/>
        <v>334599.62138450751</v>
      </c>
      <c r="K109" s="154">
        <f t="shared" si="48"/>
        <v>334599.62138450751</v>
      </c>
      <c r="L109" s="154">
        <f t="shared" si="48"/>
        <v>334599.62138450751</v>
      </c>
      <c r="M109" s="154">
        <f t="shared" si="48"/>
        <v>334599.62138450751</v>
      </c>
      <c r="N109" s="154">
        <f t="shared" si="48"/>
        <v>334599.62138450751</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67">
        <f t="shared" si="48"/>
        <v>1672998.1069225376</v>
      </c>
      <c r="J110" s="154">
        <f t="shared" si="48"/>
        <v>334599.62138450751</v>
      </c>
      <c r="K110" s="154">
        <f t="shared" si="48"/>
        <v>334599.62138450751</v>
      </c>
      <c r="L110" s="154">
        <f t="shared" si="48"/>
        <v>334599.62138450751</v>
      </c>
      <c r="M110" s="154">
        <f t="shared" si="48"/>
        <v>334599.62138450751</v>
      </c>
      <c r="N110" s="154">
        <f t="shared" si="48"/>
        <v>334599.62138450751</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67">
        <f t="shared" ref="I111:N120" si="49">I40/EXCHANGE_RATE</f>
        <v>1672998.1069225376</v>
      </c>
      <c r="J111" s="154">
        <f t="shared" si="49"/>
        <v>334599.62138450751</v>
      </c>
      <c r="K111" s="154">
        <f t="shared" si="49"/>
        <v>334599.62138450751</v>
      </c>
      <c r="L111" s="154">
        <f t="shared" si="49"/>
        <v>334599.62138450751</v>
      </c>
      <c r="M111" s="154">
        <f t="shared" si="49"/>
        <v>334599.62138450751</v>
      </c>
      <c r="N111" s="154">
        <f t="shared" si="49"/>
        <v>334599.62138450751</v>
      </c>
    </row>
    <row r="112" spans="6:14" ht="12" x14ac:dyDescent="0.2">
      <c r="F112" s="444"/>
      <c r="G112" s="41" t="str">
        <f>STRAT4_IND4</f>
        <v>Objetivo estratégico 4 Indicador 4</v>
      </c>
      <c r="H112" s="268" t="str">
        <f ca="1">OFFSET(Variables_Lu!$D$10,Basic_Setup!H55,0)</f>
        <v>Nutrition-specific</v>
      </c>
      <c r="I112" s="67">
        <f t="shared" si="49"/>
        <v>0</v>
      </c>
      <c r="J112" s="154">
        <f t="shared" si="49"/>
        <v>0</v>
      </c>
      <c r="K112" s="154">
        <f t="shared" si="49"/>
        <v>0</v>
      </c>
      <c r="L112" s="154">
        <f t="shared" si="49"/>
        <v>0</v>
      </c>
      <c r="M112" s="154">
        <f t="shared" si="49"/>
        <v>0</v>
      </c>
      <c r="N112" s="154">
        <f t="shared" si="49"/>
        <v>0</v>
      </c>
    </row>
    <row r="113" spans="6:14" ht="12.6" thickBot="1" x14ac:dyDescent="0.25">
      <c r="F113" s="445"/>
      <c r="G113" s="275" t="str">
        <f>STRAT4_IND5</f>
        <v>Objetivo estratégico 4 Indicador 5</v>
      </c>
      <c r="H113" s="270" t="str">
        <f ca="1">OFFSET(Variables_Lu!$D$10,Basic_Setup!H56,0)</f>
        <v>Nutrition-specific</v>
      </c>
      <c r="I113" s="67">
        <f t="shared" si="49"/>
        <v>0</v>
      </c>
      <c r="J113" s="154">
        <f t="shared" si="49"/>
        <v>0</v>
      </c>
      <c r="K113" s="154">
        <f t="shared" si="49"/>
        <v>0</v>
      </c>
      <c r="L113" s="154">
        <f t="shared" si="49"/>
        <v>0</v>
      </c>
      <c r="M113" s="154">
        <f t="shared" si="49"/>
        <v>0</v>
      </c>
      <c r="N113" s="154">
        <f t="shared" si="49"/>
        <v>0</v>
      </c>
    </row>
    <row r="114" spans="6:14" ht="12.6" thickBot="1" x14ac:dyDescent="0.25">
      <c r="H114" s="152" t="s">
        <v>541</v>
      </c>
      <c r="I114" s="122">
        <f t="shared" si="49"/>
        <v>5018994.3207676122</v>
      </c>
      <c r="J114" s="63">
        <f t="shared" si="49"/>
        <v>1003798.8641535224</v>
      </c>
      <c r="K114" s="63">
        <f t="shared" si="49"/>
        <v>1003798.8641535224</v>
      </c>
      <c r="L114" s="63">
        <f t="shared" si="49"/>
        <v>1003798.8641535224</v>
      </c>
      <c r="M114" s="63">
        <f t="shared" si="49"/>
        <v>1003798.8641535224</v>
      </c>
      <c r="N114" s="63">
        <f t="shared" si="49"/>
        <v>1003798.8641535224</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67">
        <f t="shared" si="49"/>
        <v>45911.469222383326</v>
      </c>
      <c r="J115" s="154">
        <f t="shared" si="49"/>
        <v>9182.2938444766642</v>
      </c>
      <c r="K115" s="154">
        <f t="shared" si="49"/>
        <v>9182.2938444766642</v>
      </c>
      <c r="L115" s="154">
        <f t="shared" si="49"/>
        <v>9182.2938444766642</v>
      </c>
      <c r="M115" s="154">
        <f t="shared" si="49"/>
        <v>9182.2938444766642</v>
      </c>
      <c r="N115" s="154">
        <f t="shared" si="49"/>
        <v>9182.2938444766642</v>
      </c>
    </row>
    <row r="116" spans="6:14" ht="22.8" x14ac:dyDescent="0.2">
      <c r="F116" s="444"/>
      <c r="G116" s="42" t="str">
        <f>STRAT5_IND2</f>
        <v>Se promueven dietas saludables y estilos de vida saludables para las personas.</v>
      </c>
      <c r="H116" s="268" t="str">
        <f ca="1">OFFSET(Variables_Lu!$D$10,Basic_Setup!H59,0)</f>
        <v>Nutrition-specific</v>
      </c>
      <c r="I116" s="67">
        <f t="shared" si="49"/>
        <v>45911.469222383326</v>
      </c>
      <c r="J116" s="154">
        <f t="shared" si="49"/>
        <v>9182.2938444766642</v>
      </c>
      <c r="K116" s="154">
        <f t="shared" si="49"/>
        <v>9182.2938444766642</v>
      </c>
      <c r="L116" s="154">
        <f t="shared" si="49"/>
        <v>9182.2938444766642</v>
      </c>
      <c r="M116" s="154">
        <f t="shared" si="49"/>
        <v>9182.2938444766642</v>
      </c>
      <c r="N116" s="154">
        <f t="shared" si="49"/>
        <v>9182.2938444766642</v>
      </c>
    </row>
    <row r="117" spans="6:14" ht="22.8" x14ac:dyDescent="0.2">
      <c r="F117" s="444"/>
      <c r="G117" s="42" t="str">
        <f>STRAT5_IND3</f>
        <v>Se promueven las buenas prácticas WASH a nivel comunitario y doméstico</v>
      </c>
      <c r="H117" s="268" t="str">
        <f ca="1">OFFSET(Variables_Lu!$D$10,Basic_Setup!H60,0)</f>
        <v>Nutrition-sensitive</v>
      </c>
      <c r="I117" s="67">
        <f t="shared" si="49"/>
        <v>45911.469222383326</v>
      </c>
      <c r="J117" s="154">
        <f t="shared" si="49"/>
        <v>9182.2938444766642</v>
      </c>
      <c r="K117" s="154">
        <f t="shared" si="49"/>
        <v>9182.2938444766642</v>
      </c>
      <c r="L117" s="154">
        <f t="shared" si="49"/>
        <v>9182.2938444766642</v>
      </c>
      <c r="M117" s="154">
        <f t="shared" si="49"/>
        <v>9182.2938444766642</v>
      </c>
      <c r="N117" s="154">
        <f t="shared" si="49"/>
        <v>9182.2938444766642</v>
      </c>
    </row>
    <row r="118" spans="6:14" ht="12" x14ac:dyDescent="0.2">
      <c r="F118" s="444"/>
      <c r="G118" s="41" t="str">
        <f>STRAT5_IND4</f>
        <v>Objetivo estratégico 5 Indicador 4</v>
      </c>
      <c r="H118" s="268" t="str">
        <f ca="1">OFFSET(Variables_Lu!$D$10,Basic_Setup!H61,0)</f>
        <v>Nutrition-specific</v>
      </c>
      <c r="I118" s="67">
        <f t="shared" si="49"/>
        <v>0</v>
      </c>
      <c r="J118" s="154">
        <f t="shared" si="49"/>
        <v>0</v>
      </c>
      <c r="K118" s="154">
        <f t="shared" si="49"/>
        <v>0</v>
      </c>
      <c r="L118" s="154">
        <f t="shared" si="49"/>
        <v>0</v>
      </c>
      <c r="M118" s="154">
        <f t="shared" si="49"/>
        <v>0</v>
      </c>
      <c r="N118" s="154">
        <f t="shared" si="49"/>
        <v>0</v>
      </c>
    </row>
    <row r="119" spans="6:14" ht="12.6" thickBot="1" x14ac:dyDescent="0.25">
      <c r="F119" s="445"/>
      <c r="G119" s="275" t="str">
        <f>STRAT5_IND5</f>
        <v>Objetivo estratégico 5 Indicador 5</v>
      </c>
      <c r="H119" s="270" t="str">
        <f ca="1">OFFSET(Variables_Lu!$D$10,Basic_Setup!H62,0)</f>
        <v>Nutrition-specific</v>
      </c>
      <c r="I119" s="67">
        <f t="shared" si="49"/>
        <v>0</v>
      </c>
      <c r="J119" s="154">
        <f t="shared" si="49"/>
        <v>0</v>
      </c>
      <c r="K119" s="154">
        <f t="shared" si="49"/>
        <v>0</v>
      </c>
      <c r="L119" s="154">
        <f t="shared" si="49"/>
        <v>0</v>
      </c>
      <c r="M119" s="154">
        <f t="shared" si="49"/>
        <v>0</v>
      </c>
      <c r="N119" s="154">
        <f t="shared" si="49"/>
        <v>0</v>
      </c>
    </row>
    <row r="120" spans="6:14" ht="12.6" thickBot="1" x14ac:dyDescent="0.25">
      <c r="H120" s="152" t="s">
        <v>542</v>
      </c>
      <c r="I120" s="122">
        <f t="shared" si="49"/>
        <v>137734.40766714996</v>
      </c>
      <c r="J120" s="63">
        <f t="shared" si="49"/>
        <v>27546.881533429994</v>
      </c>
      <c r="K120" s="63">
        <f t="shared" si="49"/>
        <v>27546.881533429994</v>
      </c>
      <c r="L120" s="63">
        <f t="shared" si="49"/>
        <v>27546.881533429994</v>
      </c>
      <c r="M120" s="63">
        <f t="shared" si="49"/>
        <v>27546.881533429994</v>
      </c>
      <c r="N120" s="63">
        <f t="shared" si="49"/>
        <v>27546.881533429994</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67">
        <f t="shared" ref="I121:N130" si="50">I50/EXCHANGE_RATE</f>
        <v>0</v>
      </c>
      <c r="J121" s="154">
        <f t="shared" si="50"/>
        <v>0</v>
      </c>
      <c r="K121" s="154">
        <f t="shared" si="50"/>
        <v>0</v>
      </c>
      <c r="L121" s="154">
        <f t="shared" si="50"/>
        <v>0</v>
      </c>
      <c r="M121" s="154">
        <f t="shared" si="50"/>
        <v>0</v>
      </c>
      <c r="N121" s="154">
        <f t="shared" si="50"/>
        <v>0</v>
      </c>
    </row>
    <row r="122" spans="6:14" ht="12" x14ac:dyDescent="0.2">
      <c r="F122" s="444"/>
      <c r="G122" s="42" t="str">
        <f>STRAT6_IND2</f>
        <v>Objetivo estratégico 6 Indicador 2</v>
      </c>
      <c r="H122" s="268" t="str">
        <f ca="1">OFFSET(Variables_Lu!$D$10,Basic_Setup!H65,0)</f>
        <v>Nutrition-specific</v>
      </c>
      <c r="I122" s="67">
        <f t="shared" si="50"/>
        <v>0</v>
      </c>
      <c r="J122" s="154">
        <f t="shared" si="50"/>
        <v>0</v>
      </c>
      <c r="K122" s="154">
        <f t="shared" si="50"/>
        <v>0</v>
      </c>
      <c r="L122" s="154">
        <f t="shared" si="50"/>
        <v>0</v>
      </c>
      <c r="M122" s="154">
        <f t="shared" si="50"/>
        <v>0</v>
      </c>
      <c r="N122" s="154">
        <f t="shared" si="50"/>
        <v>0</v>
      </c>
    </row>
    <row r="123" spans="6:14" ht="12" x14ac:dyDescent="0.2">
      <c r="F123" s="444"/>
      <c r="G123" s="42" t="str">
        <f>STRAT6_IND3</f>
        <v>Objetivo estratégico 6 Indicador 3</v>
      </c>
      <c r="H123" s="268" t="str">
        <f ca="1">OFFSET(Variables_Lu!$D$10,Basic_Setup!H66,0)</f>
        <v>Nutrition-specific</v>
      </c>
      <c r="I123" s="67">
        <f t="shared" si="50"/>
        <v>0</v>
      </c>
      <c r="J123" s="154">
        <f t="shared" si="50"/>
        <v>0</v>
      </c>
      <c r="K123" s="154">
        <f t="shared" si="50"/>
        <v>0</v>
      </c>
      <c r="L123" s="154">
        <f t="shared" si="50"/>
        <v>0</v>
      </c>
      <c r="M123" s="154">
        <f t="shared" si="50"/>
        <v>0</v>
      </c>
      <c r="N123" s="154">
        <f t="shared" si="50"/>
        <v>0</v>
      </c>
    </row>
    <row r="124" spans="6:14" ht="12" x14ac:dyDescent="0.2">
      <c r="F124" s="444"/>
      <c r="G124" s="41" t="str">
        <f>STRAT6_IND4</f>
        <v>Objetivo estratégico 6 Indicador 4</v>
      </c>
      <c r="H124" s="268" t="str">
        <f ca="1">OFFSET(Variables_Lu!$D$10,Basic_Setup!H67,0)</f>
        <v>Nutrition-specific</v>
      </c>
      <c r="I124" s="67">
        <f t="shared" si="50"/>
        <v>0</v>
      </c>
      <c r="J124" s="154">
        <f t="shared" si="50"/>
        <v>0</v>
      </c>
      <c r="K124" s="154">
        <f t="shared" si="50"/>
        <v>0</v>
      </c>
      <c r="L124" s="154">
        <f t="shared" si="50"/>
        <v>0</v>
      </c>
      <c r="M124" s="154">
        <f t="shared" si="50"/>
        <v>0</v>
      </c>
      <c r="N124" s="154">
        <f t="shared" si="50"/>
        <v>0</v>
      </c>
    </row>
    <row r="125" spans="6:14" ht="12.6" thickBot="1" x14ac:dyDescent="0.25">
      <c r="F125" s="445"/>
      <c r="G125" s="275" t="str">
        <f>STRAT6_IND5</f>
        <v>Objetivo estratégico 6 Indicador 5</v>
      </c>
      <c r="H125" s="270" t="str">
        <f ca="1">OFFSET(Variables_Lu!$D$10,Basic_Setup!H68,0)</f>
        <v>Nutrition-specific</v>
      </c>
      <c r="I125" s="67">
        <f t="shared" si="50"/>
        <v>0</v>
      </c>
      <c r="J125" s="154">
        <f t="shared" si="50"/>
        <v>0</v>
      </c>
      <c r="K125" s="154">
        <f t="shared" si="50"/>
        <v>0</v>
      </c>
      <c r="L125" s="154">
        <f t="shared" si="50"/>
        <v>0</v>
      </c>
      <c r="M125" s="154">
        <f t="shared" si="50"/>
        <v>0</v>
      </c>
      <c r="N125" s="154">
        <f t="shared" si="50"/>
        <v>0</v>
      </c>
    </row>
    <row r="126" spans="6:14" ht="12.6" thickBot="1" x14ac:dyDescent="0.25">
      <c r="H126" s="152" t="s">
        <v>543</v>
      </c>
      <c r="I126" s="122">
        <f t="shared" si="50"/>
        <v>0</v>
      </c>
      <c r="J126" s="63">
        <f t="shared" si="50"/>
        <v>0</v>
      </c>
      <c r="K126" s="63">
        <f t="shared" si="50"/>
        <v>0</v>
      </c>
      <c r="L126" s="63">
        <f t="shared" si="50"/>
        <v>0</v>
      </c>
      <c r="M126" s="63">
        <f t="shared" si="50"/>
        <v>0</v>
      </c>
      <c r="N126" s="63">
        <f t="shared" si="50"/>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67">
        <f t="shared" si="50"/>
        <v>0</v>
      </c>
      <c r="J127" s="154">
        <f t="shared" si="50"/>
        <v>0</v>
      </c>
      <c r="K127" s="154">
        <f t="shared" si="50"/>
        <v>0</v>
      </c>
      <c r="L127" s="154">
        <f t="shared" si="50"/>
        <v>0</v>
      </c>
      <c r="M127" s="154">
        <f t="shared" si="50"/>
        <v>0</v>
      </c>
      <c r="N127" s="154">
        <f t="shared" si="50"/>
        <v>0</v>
      </c>
    </row>
    <row r="128" spans="6:14" ht="12" x14ac:dyDescent="0.2">
      <c r="F128" s="444"/>
      <c r="G128" s="42" t="str">
        <f>STRAT7_IND2</f>
        <v>Objetivo estratégico 7 Indicador 2</v>
      </c>
      <c r="H128" s="268" t="str">
        <f ca="1">OFFSET(Variables_Lu!$D$10,Basic_Setup!H71,0)</f>
        <v>Nutrition-specific</v>
      </c>
      <c r="I128" s="67">
        <f t="shared" si="50"/>
        <v>0</v>
      </c>
      <c r="J128" s="154">
        <f t="shared" si="50"/>
        <v>0</v>
      </c>
      <c r="K128" s="154">
        <f t="shared" si="50"/>
        <v>0</v>
      </c>
      <c r="L128" s="154">
        <f t="shared" si="50"/>
        <v>0</v>
      </c>
      <c r="M128" s="154">
        <f t="shared" si="50"/>
        <v>0</v>
      </c>
      <c r="N128" s="154">
        <f t="shared" si="50"/>
        <v>0</v>
      </c>
    </row>
    <row r="129" spans="6:14" ht="12" x14ac:dyDescent="0.2">
      <c r="F129" s="444"/>
      <c r="G129" s="42" t="str">
        <f>STRAT7_IND3</f>
        <v>Objetivo estratégico 7 Indicador 3</v>
      </c>
      <c r="H129" s="268" t="str">
        <f ca="1">OFFSET(Variables_Lu!$D$10,Basic_Setup!H72,0)</f>
        <v>Nutrition-specific</v>
      </c>
      <c r="I129" s="67">
        <f t="shared" si="50"/>
        <v>0</v>
      </c>
      <c r="J129" s="154">
        <f t="shared" si="50"/>
        <v>0</v>
      </c>
      <c r="K129" s="154">
        <f t="shared" si="50"/>
        <v>0</v>
      </c>
      <c r="L129" s="154">
        <f t="shared" si="50"/>
        <v>0</v>
      </c>
      <c r="M129" s="154">
        <f t="shared" si="50"/>
        <v>0</v>
      </c>
      <c r="N129" s="154">
        <f t="shared" si="50"/>
        <v>0</v>
      </c>
    </row>
    <row r="130" spans="6:14" ht="12" x14ac:dyDescent="0.2">
      <c r="F130" s="444"/>
      <c r="G130" s="41" t="str">
        <f>STRAT7_IND4</f>
        <v>Objetivo estratégico 7 Indicador 4</v>
      </c>
      <c r="H130" s="268" t="str">
        <f ca="1">OFFSET(Variables_Lu!$D$10,Basic_Setup!H73,0)</f>
        <v>Nutrition-specific</v>
      </c>
      <c r="I130" s="67">
        <f t="shared" si="50"/>
        <v>0</v>
      </c>
      <c r="J130" s="154">
        <f t="shared" si="50"/>
        <v>0</v>
      </c>
      <c r="K130" s="154">
        <f t="shared" si="50"/>
        <v>0</v>
      </c>
      <c r="L130" s="154">
        <f t="shared" si="50"/>
        <v>0</v>
      </c>
      <c r="M130" s="154">
        <f t="shared" si="50"/>
        <v>0</v>
      </c>
      <c r="N130" s="154">
        <f t="shared" si="50"/>
        <v>0</v>
      </c>
    </row>
    <row r="131" spans="6:14" ht="12.6" thickBot="1" x14ac:dyDescent="0.25">
      <c r="F131" s="445"/>
      <c r="G131" s="275" t="str">
        <f>STRAT7_IND5</f>
        <v>Objetivo estratégico 7 Indicador 5</v>
      </c>
      <c r="H131" s="270" t="str">
        <f ca="1">OFFSET(Variables_Lu!$D$10,Basic_Setup!H74,0)</f>
        <v>Nutrition-specific</v>
      </c>
      <c r="I131" s="67">
        <f t="shared" ref="I131:N140" si="51">I60/EXCHANGE_RATE</f>
        <v>0</v>
      </c>
      <c r="J131" s="154">
        <f t="shared" si="51"/>
        <v>0</v>
      </c>
      <c r="K131" s="154">
        <f t="shared" si="51"/>
        <v>0</v>
      </c>
      <c r="L131" s="154">
        <f t="shared" si="51"/>
        <v>0</v>
      </c>
      <c r="M131" s="154">
        <f t="shared" si="51"/>
        <v>0</v>
      </c>
      <c r="N131" s="154">
        <f t="shared" si="51"/>
        <v>0</v>
      </c>
    </row>
    <row r="132" spans="6:14" ht="12.6" thickBot="1" x14ac:dyDescent="0.25">
      <c r="H132" s="152" t="s">
        <v>544</v>
      </c>
      <c r="I132" s="122">
        <f t="shared" si="51"/>
        <v>0</v>
      </c>
      <c r="J132" s="63">
        <f t="shared" si="51"/>
        <v>0</v>
      </c>
      <c r="K132" s="63">
        <f t="shared" si="51"/>
        <v>0</v>
      </c>
      <c r="L132" s="63">
        <f t="shared" si="51"/>
        <v>0</v>
      </c>
      <c r="M132" s="63">
        <f t="shared" si="51"/>
        <v>0</v>
      </c>
      <c r="N132" s="63">
        <f t="shared" si="51"/>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67">
        <f t="shared" si="51"/>
        <v>0</v>
      </c>
      <c r="J133" s="154">
        <f t="shared" si="51"/>
        <v>0</v>
      </c>
      <c r="K133" s="154">
        <f t="shared" si="51"/>
        <v>0</v>
      </c>
      <c r="L133" s="154">
        <f t="shared" si="51"/>
        <v>0</v>
      </c>
      <c r="M133" s="154">
        <f t="shared" si="51"/>
        <v>0</v>
      </c>
      <c r="N133" s="154">
        <f t="shared" si="51"/>
        <v>0</v>
      </c>
    </row>
    <row r="134" spans="6:14" ht="12" x14ac:dyDescent="0.2">
      <c r="F134" s="444"/>
      <c r="G134" s="42" t="str">
        <f>STRAT8_IND2</f>
        <v>Objetivo estratégico 8 Indicador 2</v>
      </c>
      <c r="H134" s="268" t="str">
        <f ca="1">OFFSET(Variables_Lu!$D$10,Basic_Setup!H77,0)</f>
        <v>Nutrition-specific</v>
      </c>
      <c r="I134" s="67">
        <f t="shared" si="51"/>
        <v>0</v>
      </c>
      <c r="J134" s="154">
        <f t="shared" si="51"/>
        <v>0</v>
      </c>
      <c r="K134" s="154">
        <f t="shared" si="51"/>
        <v>0</v>
      </c>
      <c r="L134" s="154">
        <f t="shared" si="51"/>
        <v>0</v>
      </c>
      <c r="M134" s="154">
        <f t="shared" si="51"/>
        <v>0</v>
      </c>
      <c r="N134" s="154">
        <f t="shared" si="51"/>
        <v>0</v>
      </c>
    </row>
    <row r="135" spans="6:14" ht="12" x14ac:dyDescent="0.2">
      <c r="F135" s="444"/>
      <c r="G135" s="42" t="str">
        <f>STRAT8_IND3</f>
        <v>Objetivo estratégico 8 Indicador 3</v>
      </c>
      <c r="H135" s="268" t="str">
        <f ca="1">OFFSET(Variables_Lu!$D$10,Basic_Setup!H78,0)</f>
        <v>Nutrition-specific</v>
      </c>
      <c r="I135" s="67">
        <f t="shared" si="51"/>
        <v>0</v>
      </c>
      <c r="J135" s="154">
        <f t="shared" si="51"/>
        <v>0</v>
      </c>
      <c r="K135" s="154">
        <f t="shared" si="51"/>
        <v>0</v>
      </c>
      <c r="L135" s="154">
        <f t="shared" si="51"/>
        <v>0</v>
      </c>
      <c r="M135" s="154">
        <f t="shared" si="51"/>
        <v>0</v>
      </c>
      <c r="N135" s="154">
        <f t="shared" si="51"/>
        <v>0</v>
      </c>
    </row>
    <row r="136" spans="6:14" ht="12" x14ac:dyDescent="0.2">
      <c r="F136" s="444"/>
      <c r="G136" s="41" t="str">
        <f>STRAT8_IND4</f>
        <v>Objetivo estratégico 8 Indicador 4</v>
      </c>
      <c r="H136" s="268" t="str">
        <f ca="1">OFFSET(Variables_Lu!$D$10,Basic_Setup!H79,0)</f>
        <v>Nutrition-specific</v>
      </c>
      <c r="I136" s="67">
        <f t="shared" si="51"/>
        <v>0</v>
      </c>
      <c r="J136" s="154">
        <f t="shared" si="51"/>
        <v>0</v>
      </c>
      <c r="K136" s="154">
        <f t="shared" si="51"/>
        <v>0</v>
      </c>
      <c r="L136" s="154">
        <f t="shared" si="51"/>
        <v>0</v>
      </c>
      <c r="M136" s="154">
        <f t="shared" si="51"/>
        <v>0</v>
      </c>
      <c r="N136" s="154">
        <f t="shared" si="51"/>
        <v>0</v>
      </c>
    </row>
    <row r="137" spans="6:14" ht="12.6" thickBot="1" x14ac:dyDescent="0.25">
      <c r="F137" s="445"/>
      <c r="G137" s="275" t="str">
        <f>STRAT8_IND5</f>
        <v>Objetivo estratégico 8 Indicador 5</v>
      </c>
      <c r="H137" s="270" t="str">
        <f ca="1">OFFSET(Variables_Lu!$D$10,Basic_Setup!H80,0)</f>
        <v>Nutrition-specific</v>
      </c>
      <c r="I137" s="67">
        <f t="shared" si="51"/>
        <v>0</v>
      </c>
      <c r="J137" s="154">
        <f t="shared" si="51"/>
        <v>0</v>
      </c>
      <c r="K137" s="154">
        <f t="shared" si="51"/>
        <v>0</v>
      </c>
      <c r="L137" s="154">
        <f t="shared" si="51"/>
        <v>0</v>
      </c>
      <c r="M137" s="154">
        <f t="shared" si="51"/>
        <v>0</v>
      </c>
      <c r="N137" s="154">
        <f t="shared" si="51"/>
        <v>0</v>
      </c>
    </row>
    <row r="138" spans="6:14" ht="12.6" thickBot="1" x14ac:dyDescent="0.25">
      <c r="H138" s="152" t="s">
        <v>545</v>
      </c>
      <c r="I138" s="122">
        <f t="shared" si="51"/>
        <v>0</v>
      </c>
      <c r="J138" s="63">
        <f t="shared" si="51"/>
        <v>0</v>
      </c>
      <c r="K138" s="63">
        <f t="shared" si="51"/>
        <v>0</v>
      </c>
      <c r="L138" s="63">
        <f t="shared" si="51"/>
        <v>0</v>
      </c>
      <c r="M138" s="63">
        <f t="shared" si="51"/>
        <v>0</v>
      </c>
      <c r="N138" s="63">
        <f t="shared" si="51"/>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67">
        <f t="shared" si="51"/>
        <v>0</v>
      </c>
      <c r="J139" s="154">
        <f t="shared" si="51"/>
        <v>0</v>
      </c>
      <c r="K139" s="154">
        <f t="shared" si="51"/>
        <v>0</v>
      </c>
      <c r="L139" s="154">
        <f t="shared" si="51"/>
        <v>0</v>
      </c>
      <c r="M139" s="154">
        <f t="shared" si="51"/>
        <v>0</v>
      </c>
      <c r="N139" s="154">
        <f t="shared" si="51"/>
        <v>0</v>
      </c>
    </row>
    <row r="140" spans="6:14" ht="12" x14ac:dyDescent="0.2">
      <c r="F140" s="444"/>
      <c r="G140" s="42" t="str">
        <f>STRAT9_IND2</f>
        <v>Objetivo estratégico 9 Indicador 2</v>
      </c>
      <c r="H140" s="268" t="str">
        <f ca="1">OFFSET(Variables_Lu!$D$10,Basic_Setup!H83,0)</f>
        <v>Nutrition-specific</v>
      </c>
      <c r="I140" s="67">
        <f t="shared" si="51"/>
        <v>0</v>
      </c>
      <c r="J140" s="154">
        <f t="shared" si="51"/>
        <v>0</v>
      </c>
      <c r="K140" s="154">
        <f t="shared" si="51"/>
        <v>0</v>
      </c>
      <c r="L140" s="154">
        <f t="shared" si="51"/>
        <v>0</v>
      </c>
      <c r="M140" s="154">
        <f t="shared" si="51"/>
        <v>0</v>
      </c>
      <c r="N140" s="154">
        <f t="shared" si="51"/>
        <v>0</v>
      </c>
    </row>
    <row r="141" spans="6:14" ht="12" x14ac:dyDescent="0.2">
      <c r="F141" s="444"/>
      <c r="G141" s="42" t="str">
        <f>STRAT9_IND3</f>
        <v>Objetivo estratégico 9 Indicador 3</v>
      </c>
      <c r="H141" s="268" t="str">
        <f ca="1">OFFSET(Variables_Lu!$D$10,Basic_Setup!H84,0)</f>
        <v>Nutrition-specific</v>
      </c>
      <c r="I141" s="67">
        <f t="shared" ref="I141:N150" si="52">I70/EXCHANGE_RATE</f>
        <v>0</v>
      </c>
      <c r="J141" s="154">
        <f t="shared" si="52"/>
        <v>0</v>
      </c>
      <c r="K141" s="154">
        <f t="shared" si="52"/>
        <v>0</v>
      </c>
      <c r="L141" s="154">
        <f t="shared" si="52"/>
        <v>0</v>
      </c>
      <c r="M141" s="154">
        <f t="shared" si="52"/>
        <v>0</v>
      </c>
      <c r="N141" s="154">
        <f t="shared" si="52"/>
        <v>0</v>
      </c>
    </row>
    <row r="142" spans="6:14" ht="12" x14ac:dyDescent="0.2">
      <c r="F142" s="444"/>
      <c r="G142" s="41" t="str">
        <f>STRAT9_IND4</f>
        <v>Objetivo estratégico 9 Indicador 4</v>
      </c>
      <c r="H142" s="268" t="str">
        <f ca="1">OFFSET(Variables_Lu!$D$10,Basic_Setup!H85,0)</f>
        <v>Nutrition-specific</v>
      </c>
      <c r="I142" s="67">
        <f t="shared" si="52"/>
        <v>0</v>
      </c>
      <c r="J142" s="154">
        <f t="shared" si="52"/>
        <v>0</v>
      </c>
      <c r="K142" s="154">
        <f t="shared" si="52"/>
        <v>0</v>
      </c>
      <c r="L142" s="154">
        <f t="shared" si="52"/>
        <v>0</v>
      </c>
      <c r="M142" s="154">
        <f t="shared" si="52"/>
        <v>0</v>
      </c>
      <c r="N142" s="154">
        <f t="shared" si="52"/>
        <v>0</v>
      </c>
    </row>
    <row r="143" spans="6:14" ht="12.6" thickBot="1" x14ac:dyDescent="0.25">
      <c r="F143" s="445"/>
      <c r="G143" s="275" t="str">
        <f>STRAT9_IND5</f>
        <v>Objetivo estratégico 9 Indicador 5</v>
      </c>
      <c r="H143" s="270" t="str">
        <f ca="1">OFFSET(Variables_Lu!$D$10,Basic_Setup!H86,0)</f>
        <v>Nutrition-specific</v>
      </c>
      <c r="I143" s="67">
        <f t="shared" si="52"/>
        <v>0</v>
      </c>
      <c r="J143" s="154">
        <f t="shared" si="52"/>
        <v>0</v>
      </c>
      <c r="K143" s="154">
        <f t="shared" si="52"/>
        <v>0</v>
      </c>
      <c r="L143" s="154">
        <f t="shared" si="52"/>
        <v>0</v>
      </c>
      <c r="M143" s="154">
        <f t="shared" si="52"/>
        <v>0</v>
      </c>
      <c r="N143" s="154">
        <f t="shared" si="52"/>
        <v>0</v>
      </c>
    </row>
    <row r="144" spans="6:14" ht="12.6" thickBot="1" x14ac:dyDescent="0.25">
      <c r="H144" s="152" t="s">
        <v>546</v>
      </c>
      <c r="I144" s="122">
        <f t="shared" si="52"/>
        <v>0</v>
      </c>
      <c r="J144" s="63">
        <f t="shared" si="52"/>
        <v>0</v>
      </c>
      <c r="K144" s="63">
        <f t="shared" si="52"/>
        <v>0</v>
      </c>
      <c r="L144" s="63">
        <f t="shared" si="52"/>
        <v>0</v>
      </c>
      <c r="M144" s="63">
        <f t="shared" si="52"/>
        <v>0</v>
      </c>
      <c r="N144" s="63">
        <f t="shared" si="52"/>
        <v>0</v>
      </c>
    </row>
    <row r="145" spans="1:15" ht="12" x14ac:dyDescent="0.2">
      <c r="F145" s="443" t="str">
        <f>Strategy10</f>
        <v>Objetivo estratégico 10: [No está en uso]</v>
      </c>
      <c r="G145" s="274" t="str">
        <f>STRAT10_IND1</f>
        <v>Objetivo estratégico 10 Indicador 1</v>
      </c>
      <c r="H145" s="272" t="str">
        <f ca="1">OFFSET(Variables_Lu!$D$10,Basic_Setup!H88,0)</f>
        <v>Nutrition-specific</v>
      </c>
      <c r="I145" s="67">
        <f t="shared" si="52"/>
        <v>0</v>
      </c>
      <c r="J145" s="154">
        <f t="shared" si="52"/>
        <v>0</v>
      </c>
      <c r="K145" s="154">
        <f t="shared" si="52"/>
        <v>0</v>
      </c>
      <c r="L145" s="154">
        <f t="shared" si="52"/>
        <v>0</v>
      </c>
      <c r="M145" s="154">
        <f t="shared" si="52"/>
        <v>0</v>
      </c>
      <c r="N145" s="154">
        <f t="shared" si="52"/>
        <v>0</v>
      </c>
    </row>
    <row r="146" spans="1:15" ht="12" x14ac:dyDescent="0.2">
      <c r="F146" s="444"/>
      <c r="G146" s="42" t="str">
        <f>STRAT10_IND2</f>
        <v>Objetivo estratégico 10 Indicador 2</v>
      </c>
      <c r="H146" s="268" t="str">
        <f ca="1">OFFSET(Variables_Lu!$D$10,Basic_Setup!H89,0)</f>
        <v>Nutrition-specific</v>
      </c>
      <c r="I146" s="67">
        <f t="shared" si="52"/>
        <v>0</v>
      </c>
      <c r="J146" s="154">
        <f t="shared" si="52"/>
        <v>0</v>
      </c>
      <c r="K146" s="154">
        <f t="shared" si="52"/>
        <v>0</v>
      </c>
      <c r="L146" s="154">
        <f t="shared" si="52"/>
        <v>0</v>
      </c>
      <c r="M146" s="154">
        <f t="shared" si="52"/>
        <v>0</v>
      </c>
      <c r="N146" s="154">
        <f t="shared" si="52"/>
        <v>0</v>
      </c>
    </row>
    <row r="147" spans="1:15" ht="12" x14ac:dyDescent="0.2">
      <c r="F147" s="444"/>
      <c r="G147" s="42" t="str">
        <f>STRAT10_IND3</f>
        <v>Objetivo estratégico 10 Indicador 3</v>
      </c>
      <c r="H147" s="268" t="str">
        <f ca="1">OFFSET(Variables_Lu!$D$10,Basic_Setup!H90,0)</f>
        <v>Nutrition-specific</v>
      </c>
      <c r="I147" s="67">
        <f t="shared" si="52"/>
        <v>0</v>
      </c>
      <c r="J147" s="154">
        <f t="shared" si="52"/>
        <v>0</v>
      </c>
      <c r="K147" s="154">
        <f t="shared" si="52"/>
        <v>0</v>
      </c>
      <c r="L147" s="154">
        <f t="shared" si="52"/>
        <v>0</v>
      </c>
      <c r="M147" s="154">
        <f t="shared" si="52"/>
        <v>0</v>
      </c>
      <c r="N147" s="154">
        <f t="shared" si="52"/>
        <v>0</v>
      </c>
    </row>
    <row r="148" spans="1:15" ht="12" x14ac:dyDescent="0.2">
      <c r="F148" s="444"/>
      <c r="G148" s="41" t="str">
        <f>STRAT10_IND4</f>
        <v>Objetivo estratégico 10 Indicador 4</v>
      </c>
      <c r="H148" s="268" t="str">
        <f ca="1">OFFSET(Variables_Lu!$D$10,Basic_Setup!H91,0)</f>
        <v>Nutrition-specific</v>
      </c>
      <c r="I148" s="67">
        <f t="shared" si="52"/>
        <v>0</v>
      </c>
      <c r="J148" s="154">
        <f t="shared" si="52"/>
        <v>0</v>
      </c>
      <c r="K148" s="154">
        <f t="shared" si="52"/>
        <v>0</v>
      </c>
      <c r="L148" s="154">
        <f t="shared" si="52"/>
        <v>0</v>
      </c>
      <c r="M148" s="154">
        <f t="shared" si="52"/>
        <v>0</v>
      </c>
      <c r="N148" s="154">
        <f t="shared" si="52"/>
        <v>0</v>
      </c>
    </row>
    <row r="149" spans="1:15" ht="12.6" thickBot="1" x14ac:dyDescent="0.25">
      <c r="F149" s="445"/>
      <c r="G149" s="275" t="str">
        <f>STRAT10_IND5</f>
        <v>Objetivo estratégico 10 Indicador 5</v>
      </c>
      <c r="H149" s="270" t="str">
        <f ca="1">OFFSET(Variables_Lu!$D$10,Basic_Setup!H92,0)</f>
        <v>Nutrition-specific</v>
      </c>
      <c r="I149" s="67">
        <f t="shared" si="52"/>
        <v>0</v>
      </c>
      <c r="J149" s="154">
        <f t="shared" si="52"/>
        <v>0</v>
      </c>
      <c r="K149" s="154">
        <f t="shared" si="52"/>
        <v>0</v>
      </c>
      <c r="L149" s="154">
        <f t="shared" si="52"/>
        <v>0</v>
      </c>
      <c r="M149" s="154">
        <f t="shared" si="52"/>
        <v>0</v>
      </c>
      <c r="N149" s="154">
        <f t="shared" si="52"/>
        <v>0</v>
      </c>
    </row>
    <row r="150" spans="1:15" ht="12" x14ac:dyDescent="0.2">
      <c r="H150" s="152" t="s">
        <v>547</v>
      </c>
      <c r="I150" s="122">
        <f t="shared" si="52"/>
        <v>0</v>
      </c>
      <c r="J150" s="63">
        <f t="shared" si="52"/>
        <v>0</v>
      </c>
      <c r="K150" s="63">
        <f t="shared" si="52"/>
        <v>0</v>
      </c>
      <c r="L150" s="63">
        <f t="shared" si="52"/>
        <v>0</v>
      </c>
      <c r="M150" s="63">
        <f t="shared" si="52"/>
        <v>0</v>
      </c>
      <c r="N150" s="63">
        <f>N79/EXCHANGE_RATE</f>
        <v>0</v>
      </c>
    </row>
    <row r="151" spans="1:15" x14ac:dyDescent="0.2">
      <c r="I151" s="231"/>
      <c r="J151" s="231"/>
      <c r="K151" s="231"/>
      <c r="L151" s="231"/>
      <c r="M151" s="231"/>
      <c r="N151" s="231"/>
    </row>
    <row r="152" spans="1:15" ht="12.6" thickBot="1" x14ac:dyDescent="0.25">
      <c r="H152" s="149" t="str">
        <f>"TOTAL - "&amp;$F$12</f>
        <v>TOTAL - Ministerio de Agricultura y Ganadería</v>
      </c>
      <c r="I152" s="65">
        <f>I81/EXCHANGE_RATE</f>
        <v>11873655.833375001</v>
      </c>
      <c r="J152" s="65">
        <f t="shared" ref="J152:M152" si="53">J81/EXCHANGE_RATE</f>
        <v>2374731.166675</v>
      </c>
      <c r="K152" s="65">
        <f t="shared" si="53"/>
        <v>2374731.166675</v>
      </c>
      <c r="L152" s="65">
        <f t="shared" si="53"/>
        <v>2374731.166675</v>
      </c>
      <c r="M152" s="65">
        <f t="shared" si="53"/>
        <v>2374731.166675</v>
      </c>
      <c r="N152" s="65">
        <f>N81/EXCHANGE_RATE</f>
        <v>2374731.166675</v>
      </c>
    </row>
    <row r="153" spans="1:15" ht="12" x14ac:dyDescent="0.2">
      <c r="I153" s="149"/>
    </row>
    <row r="155" spans="1:15" s="38" customFormat="1" x14ac:dyDescent="0.2">
      <c r="A155" s="39" t="s">
        <v>76</v>
      </c>
      <c r="B155" s="40" t="str">
        <f>"Summary of "&amp;Government1&amp;" - by Result/Indicator Type"</f>
        <v>Summary of Ministerio de Agricultura y Ganadería - by Result/Indicator Type</v>
      </c>
      <c r="C155" s="40"/>
      <c r="D155" s="40"/>
      <c r="E155" s="40"/>
      <c r="F155" s="40"/>
      <c r="G155" s="40"/>
      <c r="H155" s="40"/>
      <c r="I155" s="40"/>
      <c r="J155" s="40"/>
      <c r="K155" s="40"/>
      <c r="L155" s="40"/>
      <c r="M155" s="40"/>
      <c r="N155" s="40"/>
    </row>
    <row r="157" spans="1:15" ht="12" x14ac:dyDescent="0.2">
      <c r="F157" s="148" t="str">
        <f>"Contributions - "&amp;CURR_LCU_ABBR</f>
        <v>Contributions - GOZ</v>
      </c>
    </row>
    <row r="158" spans="1:15" ht="12" x14ac:dyDescent="0.2">
      <c r="H158" s="136" t="s">
        <v>548</v>
      </c>
      <c r="I158" s="145" t="s">
        <v>106</v>
      </c>
      <c r="J158" s="56" t="str">
        <f>CURR_LCU_ABBR</f>
        <v>GOZ</v>
      </c>
      <c r="K158" s="56" t="str">
        <f>CURR_LCU_ABBR</f>
        <v>GOZ</v>
      </c>
      <c r="L158" s="56" t="str">
        <f>CURR_LCU_ABBR</f>
        <v>GOZ</v>
      </c>
      <c r="M158" s="56" t="str">
        <f>CURR_LCU_ABBR</f>
        <v>GOZ</v>
      </c>
      <c r="N158" s="56" t="str">
        <f>CURR_LCU_ABBR</f>
        <v>GOZ</v>
      </c>
    </row>
    <row r="159" spans="1:15" ht="12" x14ac:dyDescent="0.2">
      <c r="F159" s="38" t="str">
        <f>Lu_Nutrition_Specific</f>
        <v>Nutrition-specific</v>
      </c>
      <c r="G159" s="38"/>
      <c r="H159" s="289">
        <f ca="1">I159/$I$162</f>
        <v>0.58216666666666661</v>
      </c>
      <c r="I159" s="68">
        <f ca="1">SUM(J159:N159)</f>
        <v>12442403947.793659</v>
      </c>
      <c r="J159" s="325">
        <f ca="1">J166*EXCHANGE_RATE</f>
        <v>2488480789.558732</v>
      </c>
      <c r="K159" s="325">
        <f t="shared" ref="J159:N161" ca="1" si="54">K166*EXCHANGE_RATE</f>
        <v>2488480789.558732</v>
      </c>
      <c r="L159" s="325">
        <f t="shared" ca="1" si="54"/>
        <v>2488480789.558732</v>
      </c>
      <c r="M159" s="325">
        <f t="shared" ca="1" si="54"/>
        <v>2488480789.558732</v>
      </c>
      <c r="N159" s="325">
        <f t="shared" ca="1" si="54"/>
        <v>2488480789.558732</v>
      </c>
      <c r="O159" s="38"/>
    </row>
    <row r="160" spans="1:15" ht="12" x14ac:dyDescent="0.2">
      <c r="F160" s="38" t="str">
        <f>Lu_Nutrition_Sensitive</f>
        <v>Nutrition-sensitive</v>
      </c>
      <c r="G160" s="38"/>
      <c r="H160" s="289">
        <f t="shared" ref="H160" ca="1" si="55">I160/$I$162</f>
        <v>0.41623333333333346</v>
      </c>
      <c r="I160" s="69">
        <f ca="1">SUM(J160:N160)</f>
        <v>8895980423.4812183</v>
      </c>
      <c r="J160" s="325">
        <f t="shared" ca="1" si="54"/>
        <v>1779196084.6962435</v>
      </c>
      <c r="K160" s="325">
        <f t="shared" ca="1" si="54"/>
        <v>1779196084.6962435</v>
      </c>
      <c r="L160" s="325">
        <f t="shared" ca="1" si="54"/>
        <v>1779196084.6962435</v>
      </c>
      <c r="M160" s="325">
        <f t="shared" ca="1" si="54"/>
        <v>1779196084.6962435</v>
      </c>
      <c r="N160" s="325">
        <f t="shared" ca="1" si="54"/>
        <v>1779196084.6962435</v>
      </c>
      <c r="O160" s="38"/>
    </row>
    <row r="161" spans="6:15" ht="12" x14ac:dyDescent="0.2">
      <c r="F161" s="38" t="str">
        <f>Lu_Governance</f>
        <v>Governance</v>
      </c>
      <c r="G161" s="38"/>
      <c r="H161" s="289">
        <f ca="1">I161/$I$162</f>
        <v>1.6000000000000001E-3</v>
      </c>
      <c r="I161" s="69">
        <f ca="1">SUM(J161:N161)</f>
        <v>34196128.800119996</v>
      </c>
      <c r="J161" s="325">
        <f t="shared" ca="1" si="54"/>
        <v>6839225.760024</v>
      </c>
      <c r="K161" s="325">
        <f t="shared" ca="1" si="54"/>
        <v>6839225.760024</v>
      </c>
      <c r="L161" s="325">
        <f t="shared" ca="1" si="54"/>
        <v>6839225.760024</v>
      </c>
      <c r="M161" s="325">
        <f t="shared" ca="1" si="54"/>
        <v>6839225.760024</v>
      </c>
      <c r="N161" s="325">
        <f t="shared" ca="1" si="54"/>
        <v>6839225.760024</v>
      </c>
      <c r="O161" s="38"/>
    </row>
    <row r="162" spans="6:15" ht="12" x14ac:dyDescent="0.2">
      <c r="F162" s="324" t="str">
        <f>"TOTAL - "&amp;Summary_Govt_Contributions!$F$12&amp;" ("&amp;CURR_LCU_ABBR&amp;")"</f>
        <v>TOTAL - TODAS las contribuciones de las agencias gubernamentales (GOZ)</v>
      </c>
      <c r="G162" s="74"/>
      <c r="H162" s="291">
        <f ca="1">SUM(H159:H161)</f>
        <v>1</v>
      </c>
      <c r="I162" s="57">
        <f ca="1">SUM(J162:N162)</f>
        <v>21372580500.074997</v>
      </c>
      <c r="J162" s="55">
        <f ca="1">SUM(J159:J161)</f>
        <v>4274516100.0149994</v>
      </c>
      <c r="K162" s="55">
        <f t="shared" ref="K162:L162" ca="1" si="56">SUM(K159:K161)</f>
        <v>4274516100.0149994</v>
      </c>
      <c r="L162" s="55">
        <f t="shared" ca="1" si="56"/>
        <v>4274516100.0149994</v>
      </c>
      <c r="M162" s="55">
        <f ca="1">SUM(M159:M161)</f>
        <v>4274516100.0149994</v>
      </c>
      <c r="N162" s="55">
        <f ca="1">SUM(N159:N161)</f>
        <v>4274516100.0149994</v>
      </c>
      <c r="O162" s="38"/>
    </row>
    <row r="164" spans="6:15" ht="12" x14ac:dyDescent="0.2">
      <c r="F164" s="148" t="str">
        <f>"Contributions - "&amp;CURR_INT_ABBR</f>
        <v>Contributions - USD</v>
      </c>
    </row>
    <row r="165" spans="6:15" ht="12" x14ac:dyDescent="0.2">
      <c r="F165" s="148"/>
      <c r="H165" s="136" t="s">
        <v>548</v>
      </c>
      <c r="I165" s="145" t="s">
        <v>106</v>
      </c>
      <c r="J165" s="56" t="str">
        <f>CURR_INT_ABBR</f>
        <v>USD</v>
      </c>
      <c r="K165" s="56" t="str">
        <f>CURR_INT_ABBR</f>
        <v>USD</v>
      </c>
      <c r="L165" s="56" t="str">
        <f>CURR_INT_ABBR</f>
        <v>USD</v>
      </c>
      <c r="M165" s="56" t="str">
        <f>CURR_INT_ABBR</f>
        <v>USD</v>
      </c>
      <c r="N165" s="56" t="str">
        <f>CURR_INT_ABBR</f>
        <v>USD</v>
      </c>
    </row>
    <row r="166" spans="6:15" ht="12" x14ac:dyDescent="0.2">
      <c r="F166" t="str">
        <f>Lu_Nutrition_Specific</f>
        <v>Nutrition-specific</v>
      </c>
      <c r="H166" s="289">
        <f ca="1">I166/$I$169</f>
        <v>0.58216666666666661</v>
      </c>
      <c r="I166" s="404">
        <f ca="1">SUM(J166:N166)</f>
        <v>6912446.6376631446</v>
      </c>
      <c r="J166" s="405">
        <f ca="1">SUMIF($H$91:$H$149,Lu_Nutrition_Specific,J$91:J$149)</f>
        <v>1382489.327532629</v>
      </c>
      <c r="K166" s="405">
        <f ca="1">SUMIF($H$91:$H$149,Lu_Nutrition_Specific,K$91:K$149)</f>
        <v>1382489.327532629</v>
      </c>
      <c r="L166" s="405">
        <f ca="1">SUMIF($H$91:$H$149,Lu_Nutrition_Specific,L$91:L$149)</f>
        <v>1382489.327532629</v>
      </c>
      <c r="M166" s="405">
        <f ca="1">SUMIF($H$91:$H$149,Lu_Nutrition_Specific,M$91:M$149)</f>
        <v>1382489.327532629</v>
      </c>
      <c r="N166" s="405">
        <f ca="1">SUMIF($H$91:$H$149,Lu_Nutrition_Specific,N$91:N$149)</f>
        <v>1382489.327532629</v>
      </c>
    </row>
    <row r="167" spans="6:15" ht="12" x14ac:dyDescent="0.2">
      <c r="F167" t="str">
        <f>Lu_Nutrition_Sensitive</f>
        <v>Nutrition-sensitive</v>
      </c>
      <c r="H167" s="289">
        <f t="shared" ref="H167" ca="1" si="57">I167/$I$169</f>
        <v>0.4162333333333334</v>
      </c>
      <c r="I167" s="404">
        <f t="shared" ref="I167:I168" ca="1" si="58">SUM(J167:N167)</f>
        <v>4942211.3463784549</v>
      </c>
      <c r="J167" s="405">
        <f ca="1">SUMIF($H$91:$H$149,Lu_Nutrition_Sensitive,J$91:J$149)</f>
        <v>988442.26927569089</v>
      </c>
      <c r="K167" s="405">
        <f ca="1">SUMIF($H$91:$H$149,Lu_Nutrition_Sensitive,K$91:K$149)</f>
        <v>988442.26927569089</v>
      </c>
      <c r="L167" s="405">
        <f ca="1">SUMIF($H$91:$H$149,Lu_Nutrition_Sensitive,L$91:L$149)</f>
        <v>988442.26927569089</v>
      </c>
      <c r="M167" s="405">
        <f ca="1">SUMIF($H$91:$H$149,Lu_Nutrition_Sensitive,M$91:M$149)</f>
        <v>988442.26927569089</v>
      </c>
      <c r="N167" s="405">
        <f ca="1">SUMIF($H$91:$H$149,Lu_Nutrition_Sensitive,N$91:N$149)</f>
        <v>988442.26927569089</v>
      </c>
    </row>
    <row r="168" spans="6:15" ht="12" x14ac:dyDescent="0.2">
      <c r="F168" t="str">
        <f>Lu_Governance</f>
        <v>Governance</v>
      </c>
      <c r="H168" s="289">
        <f ca="1">I168/$I$169</f>
        <v>1.6000000000000003E-3</v>
      </c>
      <c r="I168" s="404">
        <f t="shared" ca="1" si="58"/>
        <v>18997.849333400001</v>
      </c>
      <c r="J168" s="405">
        <f ca="1">SUMIF($H$91:$H$149,Lu_Governance,J$91:J$149)</f>
        <v>3799.5698666799999</v>
      </c>
      <c r="K168" s="405">
        <f ca="1">SUMIF($H$91:$H$149,Lu_Governance,K$91:K$149)</f>
        <v>3799.5698666799999</v>
      </c>
      <c r="L168" s="405">
        <f ca="1">SUMIF($H$91:$H$149,Lu_Governance,L$91:L$149)</f>
        <v>3799.5698666799999</v>
      </c>
      <c r="M168" s="405">
        <f ca="1">SUMIF($H$91:$H$149,Lu_Governance,M$91:M$149)</f>
        <v>3799.5698666799999</v>
      </c>
      <c r="N168" s="405">
        <f ca="1">SUMIF($H$91:$H$149,Lu_Governance,N$91:N$149)</f>
        <v>3799.5698666799999</v>
      </c>
    </row>
    <row r="169" spans="6:15" ht="12" x14ac:dyDescent="0.2">
      <c r="F169" s="324" t="str">
        <f>"TOTAL - "&amp;Summary_Govt_Contributions!$F$12&amp;" ("&amp;CURR_INT_ABBR&amp;")"</f>
        <v>TOTAL - TODAS las contribuciones de las agencias gubernamentales (USD)</v>
      </c>
      <c r="G169" s="74"/>
      <c r="H169" s="291">
        <f ca="1">SUM(H166:H168)</f>
        <v>1</v>
      </c>
      <c r="I169" s="295">
        <f ca="1">SUM(J169:N169)</f>
        <v>11873655.833374999</v>
      </c>
      <c r="J169" s="55">
        <f ca="1">SUM(J166:J168)</f>
        <v>2374731.166675</v>
      </c>
      <c r="K169" s="55">
        <f t="shared" ref="K169:M169" ca="1" si="59">SUM(K166:K168)</f>
        <v>2374731.166675</v>
      </c>
      <c r="L169" s="55">
        <f t="shared" ca="1" si="59"/>
        <v>2374731.166675</v>
      </c>
      <c r="M169" s="55">
        <f t="shared" ca="1" si="59"/>
        <v>2374731.166675</v>
      </c>
      <c r="N169" s="55">
        <f ca="1">SUM(N166:N168)</f>
        <v>2374731.166675</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4 J139:N143 J127:N131 J133:N137 J115:N119 J109:N113 J103:N107 J121:N125 J91:N95 J97:N101 J145:N149 J62:N66 J32:N36 J38:N42 J26:N30 J50:N54 J44:N48 J68:N72 J56:N60 J74:N78" xr:uid="{00000000-0002-0000-0B00-000000000000}">
      <formula1>NOT(ISERROR(J20/1))</formula1>
    </dataValidation>
  </dataValidations>
  <hyperlinks>
    <hyperlink ref="A14" location="Summary_Govt_Contributions!B14" tooltip="Click to follow hyperlink." display="ð" xr:uid="{00000000-0004-0000-0B00-000000000000}"/>
    <hyperlink ref="A4" r:id="rId1" tooltip="Go to Top of Sheet" xr:uid="{00000000-0004-0000-0B00-000001000000}"/>
    <hyperlink ref="B4" location="'Financial Req'!HL_Sheet_Main_13" tooltip="Go to Previous Sheet" display="'ç" xr:uid="{00000000-0004-0000-0B00-000002000000}"/>
    <hyperlink ref="C4" location="HL_Sheet_Main_17" tooltip="Go to Next Sheet" display="è" xr:uid="{00000000-0004-0000-0B00-000003000000}"/>
    <hyperlink ref="B3" location="HL_Home" tooltip="Go to Table of Contents" display="Ir al índice" xr:uid="{00000000-0004-0000-0B00-000004000000}"/>
    <hyperlink ref="A155" location="Summary_Govt_Contributions!B14" tooltip="Click to follow hyperlink." display="ð" xr:uid="{00000000-0004-0000-0B00-000005000000}"/>
  </hyperlinks>
  <pageMargins left="0.4" right="0.4" top="0.6" bottom="1" header="0" footer="0.3"/>
  <pageSetup orientation="landscape" r:id="rId2"/>
  <headerFooter>
    <oddFooter>&amp;L&amp;F
&amp;A
Impreso: &amp;T en &amp;D&amp;C&amp;",Bold"Sheet 2.c.
Página &amp;P de &amp;N</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N169"/>
  <sheetViews>
    <sheetView showGridLines="0" workbookViewId="0">
      <pane ySplit="12" topLeftCell="A13" activePane="bottomLeft" state="frozen"/>
      <selection pane="bottomLeft" activeCell="B14" sqref="B14"/>
    </sheetView>
  </sheetViews>
  <sheetFormatPr defaultColWidth="11.75" defaultRowHeight="11.4" x14ac:dyDescent="0.2"/>
  <cols>
    <col min="1" max="5" width="3.75" customWidth="1"/>
    <col min="6" max="7" width="50.75" customWidth="1"/>
    <col min="8" max="8" width="22.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Government2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F12" s="276" t="str">
        <f>Government2</f>
        <v>Ministerio de Energía y Minas</v>
      </c>
      <c r="G12" s="60"/>
    </row>
    <row r="13" spans="1:14" s="38" customFormat="1" x14ac:dyDescent="0.2">
      <c r="G13"/>
    </row>
    <row r="14" spans="1:14" s="38" customFormat="1" x14ac:dyDescent="0.2">
      <c r="A14" s="39" t="s">
        <v>76</v>
      </c>
      <c r="B14" s="40" t="str">
        <f>"Planned Annual Contributions by "&amp;Government2&amp;" - by Strategic Objective and Result/Indicator"</f>
        <v>Planned Annual Contributions by Ministerio de Energía y Minas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253" t="s">
        <v>106</v>
      </c>
      <c r="J19" s="54" t="str">
        <f>CURR_LCU_ABBR</f>
        <v>GOZ</v>
      </c>
      <c r="K19" s="54" t="str">
        <f>CURR_LCU_ABBR</f>
        <v>GOZ</v>
      </c>
      <c r="L19" s="54" t="str">
        <f>CURR_LCU_ABBR</f>
        <v>GOZ</v>
      </c>
      <c r="M19" s="54" t="str">
        <f>CURR_LCU_ABBR</f>
        <v>GOZ</v>
      </c>
      <c r="N19" s="54" t="str">
        <f>CURR_LCU_ABBR</f>
        <v>GOZ</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262">
        <f>SUM(J20:N20)</f>
        <v>980873.07090750011</v>
      </c>
      <c r="J20" s="382">
        <f>490436535.45375*0.16%/4</f>
        <v>196174.61418150002</v>
      </c>
      <c r="K20" s="383">
        <f t="shared" ref="K20:N20" si="2">490436535.45375*0.16%/4</f>
        <v>196174.61418150002</v>
      </c>
      <c r="L20" s="383">
        <f t="shared" si="2"/>
        <v>196174.61418150002</v>
      </c>
      <c r="M20" s="383">
        <f t="shared" si="2"/>
        <v>196174.61418150002</v>
      </c>
      <c r="N20" s="383">
        <f t="shared" si="2"/>
        <v>196174.61418150002</v>
      </c>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262">
        <f t="shared" ref="I21:I24" si="3">SUM(J21:N21)</f>
        <v>980873.07090750011</v>
      </c>
      <c r="J21" s="383">
        <f t="shared" ref="J21:N23" si="4">490436535.45375*0.16%/4</f>
        <v>196174.61418150002</v>
      </c>
      <c r="K21" s="383">
        <f t="shared" si="4"/>
        <v>196174.61418150002</v>
      </c>
      <c r="L21" s="383">
        <f t="shared" si="4"/>
        <v>196174.61418150002</v>
      </c>
      <c r="M21" s="383">
        <f t="shared" si="4"/>
        <v>196174.61418150002</v>
      </c>
      <c r="N21" s="383">
        <f t="shared" si="4"/>
        <v>196174.61418150002</v>
      </c>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262">
        <f t="shared" si="3"/>
        <v>980873.07090750011</v>
      </c>
      <c r="J22" s="383">
        <f t="shared" si="4"/>
        <v>196174.61418150002</v>
      </c>
      <c r="K22" s="383">
        <f t="shared" si="4"/>
        <v>196174.61418150002</v>
      </c>
      <c r="L22" s="383">
        <f t="shared" si="4"/>
        <v>196174.61418150002</v>
      </c>
      <c r="M22" s="383">
        <f t="shared" si="4"/>
        <v>196174.61418150002</v>
      </c>
      <c r="N22" s="383">
        <f t="shared" si="4"/>
        <v>196174.61418150002</v>
      </c>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262">
        <f t="shared" si="3"/>
        <v>980873.07090750011</v>
      </c>
      <c r="J23" s="383">
        <f t="shared" si="4"/>
        <v>196174.61418150002</v>
      </c>
      <c r="K23" s="383">
        <f t="shared" si="4"/>
        <v>196174.61418150002</v>
      </c>
      <c r="L23" s="383">
        <f t="shared" si="4"/>
        <v>196174.61418150002</v>
      </c>
      <c r="M23" s="383">
        <f t="shared" si="4"/>
        <v>196174.61418150002</v>
      </c>
      <c r="N23" s="383">
        <f t="shared" si="4"/>
        <v>196174.61418150002</v>
      </c>
    </row>
    <row r="24" spans="6:14" s="38" customFormat="1" ht="12" x14ac:dyDescent="0.2">
      <c r="F24" s="448"/>
      <c r="G24" s="41" t="str">
        <f>STRAT1_IND5</f>
        <v>Objetivo estratégico 1 Indicador 5</v>
      </c>
      <c r="H24" s="260" t="str">
        <f ca="1">OFFSET(Variables_Lu!$D$10,Basic_Setup!H38,0)</f>
        <v>Governance</v>
      </c>
      <c r="I24" s="262">
        <f t="shared" si="3"/>
        <v>0</v>
      </c>
      <c r="J24" s="383">
        <v>0</v>
      </c>
      <c r="K24" s="383">
        <v>0</v>
      </c>
      <c r="L24" s="383">
        <v>0</v>
      </c>
      <c r="M24" s="383">
        <v>0</v>
      </c>
      <c r="N24" s="383">
        <v>0</v>
      </c>
    </row>
    <row r="25" spans="6:14" s="38" customFormat="1" ht="12" x14ac:dyDescent="0.2">
      <c r="H25" s="152" t="s">
        <v>107</v>
      </c>
      <c r="I25" s="265">
        <f>SUM(I20:I24)</f>
        <v>3923492.2836300004</v>
      </c>
      <c r="J25" s="265">
        <f t="shared" ref="J25:N25" si="5">SUM(J20:J24)</f>
        <v>784698.45672600006</v>
      </c>
      <c r="K25" s="265">
        <f t="shared" si="5"/>
        <v>784698.45672600006</v>
      </c>
      <c r="L25" s="265">
        <f t="shared" si="5"/>
        <v>784698.45672600006</v>
      </c>
      <c r="M25" s="265">
        <f t="shared" si="5"/>
        <v>784698.45672600006</v>
      </c>
      <c r="N25" s="265">
        <f t="shared" si="5"/>
        <v>784698.45672600006</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262">
        <f>SUM(J26:N26)</f>
        <v>51904533.335521884</v>
      </c>
      <c r="J26" s="383">
        <f>490436535.45375*6.35%/3</f>
        <v>10380906.667104376</v>
      </c>
      <c r="K26" s="383">
        <f t="shared" ref="K26:N26" si="6">490436535.45375*6.35%/3</f>
        <v>10380906.667104376</v>
      </c>
      <c r="L26" s="383">
        <f t="shared" si="6"/>
        <v>10380906.667104376</v>
      </c>
      <c r="M26" s="383">
        <f t="shared" si="6"/>
        <v>10380906.667104376</v>
      </c>
      <c r="N26" s="383">
        <f t="shared" si="6"/>
        <v>10380906.667104376</v>
      </c>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262">
        <f t="shared" ref="I27:I30" si="7">SUM(J27:N27)</f>
        <v>51904533.335521884</v>
      </c>
      <c r="J27" s="383">
        <f t="shared" ref="J27:N28" si="8">490436535.45375*6.35%/3</f>
        <v>10380906.667104376</v>
      </c>
      <c r="K27" s="383">
        <f t="shared" si="8"/>
        <v>10380906.667104376</v>
      </c>
      <c r="L27" s="383">
        <f t="shared" si="8"/>
        <v>10380906.667104376</v>
      </c>
      <c r="M27" s="383">
        <f t="shared" si="8"/>
        <v>10380906.667104376</v>
      </c>
      <c r="N27" s="383">
        <f t="shared" si="8"/>
        <v>10380906.667104376</v>
      </c>
    </row>
    <row r="28" spans="6:14" s="38" customFormat="1" ht="22.8" x14ac:dyDescent="0.2">
      <c r="F28" s="447"/>
      <c r="G28" s="42" t="str">
        <f>STRAT2_IND3</f>
        <v>Se refuerzan las intervenciones comunitarias en materia de nutrición.</v>
      </c>
      <c r="H28" s="260" t="str">
        <f ca="1">OFFSET(Variables_Lu!$D$10,Basic_Setup!H42,0)</f>
        <v>Nutrition-specific</v>
      </c>
      <c r="I28" s="262">
        <f t="shared" si="7"/>
        <v>51904533.335521884</v>
      </c>
      <c r="J28" s="383">
        <f t="shared" si="8"/>
        <v>10380906.667104376</v>
      </c>
      <c r="K28" s="383">
        <f t="shared" si="8"/>
        <v>10380906.667104376</v>
      </c>
      <c r="L28" s="383">
        <f t="shared" si="8"/>
        <v>10380906.667104376</v>
      </c>
      <c r="M28" s="383">
        <f t="shared" si="8"/>
        <v>10380906.667104376</v>
      </c>
      <c r="N28" s="383">
        <f t="shared" si="8"/>
        <v>10380906.667104376</v>
      </c>
    </row>
    <row r="29" spans="6:14" s="38" customFormat="1" ht="12" x14ac:dyDescent="0.2">
      <c r="F29" s="447"/>
      <c r="G29" s="41" t="str">
        <f>STRAT2_IND4</f>
        <v>Objetivo estratégico 2 Indicador 4</v>
      </c>
      <c r="H29" s="260" t="str">
        <f ca="1">OFFSET(Variables_Lu!$D$10,Basic_Setup!H43,0)</f>
        <v>Nutrition-specific</v>
      </c>
      <c r="I29" s="262">
        <f t="shared" si="7"/>
        <v>0</v>
      </c>
      <c r="J29" s="383">
        <v>0</v>
      </c>
      <c r="K29" s="383">
        <v>0</v>
      </c>
      <c r="L29" s="383">
        <v>0</v>
      </c>
      <c r="M29" s="383">
        <v>0</v>
      </c>
      <c r="N29" s="383">
        <v>0</v>
      </c>
    </row>
    <row r="30" spans="6:14" s="38" customFormat="1" ht="12" x14ac:dyDescent="0.2">
      <c r="F30" s="448"/>
      <c r="G30" s="41" t="str">
        <f>STRAT2_IND5</f>
        <v>Objetivo estratégico 2 Indicador 5</v>
      </c>
      <c r="H30" s="260" t="str">
        <f ca="1">OFFSET(Variables_Lu!$D$10,Basic_Setup!H44,0)</f>
        <v>Nutrition-specific</v>
      </c>
      <c r="I30" s="262">
        <f t="shared" si="7"/>
        <v>0</v>
      </c>
      <c r="J30" s="383">
        <v>0</v>
      </c>
      <c r="K30" s="383">
        <v>0</v>
      </c>
      <c r="L30" s="383">
        <v>0</v>
      </c>
      <c r="M30" s="383">
        <v>0</v>
      </c>
      <c r="N30" s="383">
        <v>0</v>
      </c>
    </row>
    <row r="31" spans="6:14" s="38" customFormat="1" ht="12" x14ac:dyDescent="0.2">
      <c r="H31" s="152" t="s">
        <v>108</v>
      </c>
      <c r="I31" s="265">
        <f>SUM(I26:I30)</f>
        <v>155713600.00656566</v>
      </c>
      <c r="J31" s="265">
        <f t="shared" ref="J31:N31" si="9">SUM(J26:J30)</f>
        <v>31142720.001313128</v>
      </c>
      <c r="K31" s="265">
        <f t="shared" si="9"/>
        <v>31142720.001313128</v>
      </c>
      <c r="L31" s="265">
        <f t="shared" si="9"/>
        <v>31142720.001313128</v>
      </c>
      <c r="M31" s="265">
        <f t="shared" si="9"/>
        <v>31142720.001313128</v>
      </c>
      <c r="N31" s="265">
        <f t="shared" si="9"/>
        <v>31142720.001313128</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262">
        <f>SUM(J32:N32)</f>
        <v>613781324.12036824</v>
      </c>
      <c r="J32" s="383">
        <f>490436535.45375*50.06%/2</f>
        <v>122756264.82407364</v>
      </c>
      <c r="K32" s="383">
        <f t="shared" ref="K32:N33" si="10">490436535.45375*50.06%/2</f>
        <v>122756264.82407364</v>
      </c>
      <c r="L32" s="383">
        <f t="shared" si="10"/>
        <v>122756264.82407364</v>
      </c>
      <c r="M32" s="383">
        <f t="shared" si="10"/>
        <v>122756264.82407364</v>
      </c>
      <c r="N32" s="383">
        <f t="shared" si="10"/>
        <v>122756264.82407364</v>
      </c>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262">
        <f t="shared" ref="I33:I36" si="11">SUM(J33:N33)</f>
        <v>613781324.12036824</v>
      </c>
      <c r="J33" s="383">
        <f>490436535.45375*50.06%/2</f>
        <v>122756264.82407364</v>
      </c>
      <c r="K33" s="383">
        <f t="shared" si="10"/>
        <v>122756264.82407364</v>
      </c>
      <c r="L33" s="383">
        <f t="shared" si="10"/>
        <v>122756264.82407364</v>
      </c>
      <c r="M33" s="383">
        <f t="shared" si="10"/>
        <v>122756264.82407364</v>
      </c>
      <c r="N33" s="383">
        <f t="shared" si="10"/>
        <v>122756264.82407364</v>
      </c>
    </row>
    <row r="34" spans="6:14" s="38" customFormat="1" ht="12" x14ac:dyDescent="0.2">
      <c r="F34" s="447"/>
      <c r="G34" s="42" t="str">
        <f>STRAT3_IND3</f>
        <v>Objetivo estratégico 3 Indicador 3</v>
      </c>
      <c r="H34" s="260" t="str">
        <f ca="1">OFFSET(Variables_Lu!$D$10,Basic_Setup!H48,0)</f>
        <v>Nutrition-specific</v>
      </c>
      <c r="I34" s="262">
        <f t="shared" si="11"/>
        <v>0</v>
      </c>
      <c r="J34" s="383">
        <v>0</v>
      </c>
      <c r="K34" s="383">
        <v>0</v>
      </c>
      <c r="L34" s="383">
        <v>0</v>
      </c>
      <c r="M34" s="383">
        <v>0</v>
      </c>
      <c r="N34" s="383">
        <v>0</v>
      </c>
    </row>
    <row r="35" spans="6:14" s="38" customFormat="1" ht="12" x14ac:dyDescent="0.2">
      <c r="F35" s="447"/>
      <c r="G35" s="41" t="str">
        <f>STRAT3_IND4</f>
        <v>Objetivo estratégico 3 Indicador 4</v>
      </c>
      <c r="H35" s="260" t="str">
        <f ca="1">OFFSET(Variables_Lu!$D$10,Basic_Setup!H49,0)</f>
        <v>Nutrition-specific</v>
      </c>
      <c r="I35" s="262">
        <f t="shared" si="11"/>
        <v>0</v>
      </c>
      <c r="J35" s="383">
        <v>0</v>
      </c>
      <c r="K35" s="383">
        <v>0</v>
      </c>
      <c r="L35" s="383">
        <v>0</v>
      </c>
      <c r="M35" s="383">
        <v>0</v>
      </c>
      <c r="N35" s="383">
        <v>0</v>
      </c>
    </row>
    <row r="36" spans="6:14" s="38" customFormat="1" ht="12" x14ac:dyDescent="0.2">
      <c r="F36" s="448"/>
      <c r="G36" s="41" t="str">
        <f>STRAT3_IND5</f>
        <v>Objetivo estratégico 3 Indicador 5</v>
      </c>
      <c r="H36" s="260" t="str">
        <f ca="1">OFFSET(Variables_Lu!$D$10,Basic_Setup!H50,0)</f>
        <v>Nutrition-specific</v>
      </c>
      <c r="I36" s="262">
        <f t="shared" si="11"/>
        <v>0</v>
      </c>
      <c r="J36" s="383">
        <v>0</v>
      </c>
      <c r="K36" s="383">
        <v>0</v>
      </c>
      <c r="L36" s="383">
        <v>0</v>
      </c>
      <c r="M36" s="383">
        <v>0</v>
      </c>
      <c r="N36" s="383">
        <v>0</v>
      </c>
    </row>
    <row r="37" spans="6:14" ht="12" x14ac:dyDescent="0.2">
      <c r="H37" s="152" t="s">
        <v>109</v>
      </c>
      <c r="I37" s="265">
        <f>SUM(I32:I36)</f>
        <v>1227562648.2407365</v>
      </c>
      <c r="J37" s="265">
        <f t="shared" ref="J37:N37" si="12">SUM(J32:J36)</f>
        <v>245512529.64814728</v>
      </c>
      <c r="K37" s="265">
        <f t="shared" si="12"/>
        <v>245512529.64814728</v>
      </c>
      <c r="L37" s="265">
        <f t="shared" si="12"/>
        <v>245512529.64814728</v>
      </c>
      <c r="M37" s="265">
        <f t="shared" si="12"/>
        <v>245512529.64814728</v>
      </c>
      <c r="N37" s="265">
        <f t="shared" si="12"/>
        <v>245512529.64814728</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262">
        <f>SUM(J38:N38)</f>
        <v>345512539.22716689</v>
      </c>
      <c r="J38" s="383">
        <f>490436535.45375*42.27%/3</f>
        <v>69102507.845433384</v>
      </c>
      <c r="K38" s="383">
        <f t="shared" ref="K38:N38" si="13">490436535.45375*42.27%/3</f>
        <v>69102507.845433384</v>
      </c>
      <c r="L38" s="383">
        <f t="shared" si="13"/>
        <v>69102507.845433384</v>
      </c>
      <c r="M38" s="383">
        <f t="shared" si="13"/>
        <v>69102507.845433384</v>
      </c>
      <c r="N38" s="383">
        <f t="shared" si="13"/>
        <v>69102507.845433384</v>
      </c>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262">
        <f t="shared" ref="I39:I42" si="14">SUM(J39:N39)</f>
        <v>345512539.22716689</v>
      </c>
      <c r="J39" s="383">
        <f t="shared" ref="J39:N40" si="15">490436535.45375*42.27%/3</f>
        <v>69102507.845433384</v>
      </c>
      <c r="K39" s="383">
        <f t="shared" si="15"/>
        <v>69102507.845433384</v>
      </c>
      <c r="L39" s="383">
        <f t="shared" si="15"/>
        <v>69102507.845433384</v>
      </c>
      <c r="M39" s="383">
        <f t="shared" si="15"/>
        <v>69102507.845433384</v>
      </c>
      <c r="N39" s="383">
        <f t="shared" si="15"/>
        <v>69102507.845433384</v>
      </c>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262">
        <f t="shared" si="14"/>
        <v>345512539.22716689</v>
      </c>
      <c r="J40" s="383">
        <f t="shared" si="15"/>
        <v>69102507.845433384</v>
      </c>
      <c r="K40" s="383">
        <f t="shared" si="15"/>
        <v>69102507.845433384</v>
      </c>
      <c r="L40" s="383">
        <f t="shared" si="15"/>
        <v>69102507.845433384</v>
      </c>
      <c r="M40" s="383">
        <f t="shared" si="15"/>
        <v>69102507.845433384</v>
      </c>
      <c r="N40" s="383">
        <f t="shared" si="15"/>
        <v>69102507.845433384</v>
      </c>
    </row>
    <row r="41" spans="6:14" ht="12" x14ac:dyDescent="0.2">
      <c r="F41" s="447"/>
      <c r="G41" s="41" t="str">
        <f>STRAT4_IND4</f>
        <v>Objetivo estratégico 4 Indicador 4</v>
      </c>
      <c r="H41" s="260" t="str">
        <f ca="1">OFFSET(Variables_Lu!$D$10,Basic_Setup!H55,0)</f>
        <v>Nutrition-specific</v>
      </c>
      <c r="I41" s="262">
        <f t="shared" si="14"/>
        <v>0</v>
      </c>
      <c r="J41" s="383">
        <v>0</v>
      </c>
      <c r="K41" s="383">
        <v>0</v>
      </c>
      <c r="L41" s="383">
        <v>0</v>
      </c>
      <c r="M41" s="383">
        <v>0</v>
      </c>
      <c r="N41" s="383">
        <v>0</v>
      </c>
    </row>
    <row r="42" spans="6:14" ht="12" x14ac:dyDescent="0.2">
      <c r="F42" s="448"/>
      <c r="G42" s="41" t="str">
        <f>STRAT4_IND5</f>
        <v>Objetivo estratégico 4 Indicador 5</v>
      </c>
      <c r="H42" s="260" t="str">
        <f ca="1">OFFSET(Variables_Lu!$D$10,Basic_Setup!H56,0)</f>
        <v>Nutrition-specific</v>
      </c>
      <c r="I42" s="262">
        <f t="shared" si="14"/>
        <v>0</v>
      </c>
      <c r="J42" s="383">
        <v>0</v>
      </c>
      <c r="K42" s="383">
        <v>0</v>
      </c>
      <c r="L42" s="383">
        <v>0</v>
      </c>
      <c r="M42" s="383">
        <v>0</v>
      </c>
      <c r="N42" s="383">
        <v>0</v>
      </c>
    </row>
    <row r="43" spans="6:14" ht="12" x14ac:dyDescent="0.2">
      <c r="H43" s="152" t="s">
        <v>110</v>
      </c>
      <c r="I43" s="265">
        <f>SUM(I38:I42)</f>
        <v>1036537617.6815007</v>
      </c>
      <c r="J43" s="265">
        <f t="shared" ref="J43:N43" si="16">SUM(J38:J42)</f>
        <v>207307523.53630015</v>
      </c>
      <c r="K43" s="265">
        <f t="shared" si="16"/>
        <v>207307523.53630015</v>
      </c>
      <c r="L43" s="265">
        <f t="shared" si="16"/>
        <v>207307523.53630015</v>
      </c>
      <c r="M43" s="265">
        <f t="shared" si="16"/>
        <v>207307523.53630015</v>
      </c>
      <c r="N43" s="265">
        <f t="shared" si="16"/>
        <v>207307523.53630015</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262">
        <f>SUM(J44:N44)</f>
        <v>9481773.0187724996</v>
      </c>
      <c r="J44" s="383">
        <f>490436535.45375*1.16%/3</f>
        <v>1896354.6037544999</v>
      </c>
      <c r="K44" s="383">
        <f t="shared" ref="K44:N44" si="17">490436535.45375*1.16%/3</f>
        <v>1896354.6037544999</v>
      </c>
      <c r="L44" s="383">
        <f t="shared" si="17"/>
        <v>1896354.6037544999</v>
      </c>
      <c r="M44" s="383">
        <f t="shared" si="17"/>
        <v>1896354.6037544999</v>
      </c>
      <c r="N44" s="383">
        <f t="shared" si="17"/>
        <v>1896354.6037544999</v>
      </c>
    </row>
    <row r="45" spans="6:14" ht="22.8" x14ac:dyDescent="0.2">
      <c r="F45" s="447"/>
      <c r="G45" s="42" t="str">
        <f>STRAT5_IND2</f>
        <v>Se promueven dietas saludables y estilos de vida saludables para las personas.</v>
      </c>
      <c r="H45" s="260" t="str">
        <f ca="1">OFFSET(Variables_Lu!$D$10,Basic_Setup!H59,0)</f>
        <v>Nutrition-specific</v>
      </c>
      <c r="I45" s="262">
        <f t="shared" ref="I45:I48" si="18">SUM(J45:N45)</f>
        <v>9481773.0187724996</v>
      </c>
      <c r="J45" s="383">
        <f t="shared" ref="J45:N46" si="19">490436535.45375*1.16%/3</f>
        <v>1896354.6037544999</v>
      </c>
      <c r="K45" s="383">
        <f t="shared" si="19"/>
        <v>1896354.6037544999</v>
      </c>
      <c r="L45" s="383">
        <f t="shared" si="19"/>
        <v>1896354.6037544999</v>
      </c>
      <c r="M45" s="383">
        <f t="shared" si="19"/>
        <v>1896354.6037544999</v>
      </c>
      <c r="N45" s="383">
        <f t="shared" si="19"/>
        <v>1896354.6037544999</v>
      </c>
    </row>
    <row r="46" spans="6:14" ht="22.8" x14ac:dyDescent="0.2">
      <c r="F46" s="447"/>
      <c r="G46" s="42" t="str">
        <f>STRAT5_IND3</f>
        <v>Se promueven las buenas prácticas WASH a nivel comunitario y doméstico</v>
      </c>
      <c r="H46" s="260" t="str">
        <f ca="1">OFFSET(Variables_Lu!$D$10,Basic_Setup!H60,0)</f>
        <v>Nutrition-sensitive</v>
      </c>
      <c r="I46" s="262">
        <f t="shared" si="18"/>
        <v>9481773.0187724996</v>
      </c>
      <c r="J46" s="383">
        <f t="shared" si="19"/>
        <v>1896354.6037544999</v>
      </c>
      <c r="K46" s="383">
        <f t="shared" si="19"/>
        <v>1896354.6037544999</v>
      </c>
      <c r="L46" s="383">
        <f t="shared" si="19"/>
        <v>1896354.6037544999</v>
      </c>
      <c r="M46" s="383">
        <f t="shared" si="19"/>
        <v>1896354.6037544999</v>
      </c>
      <c r="N46" s="383">
        <f t="shared" si="19"/>
        <v>1896354.6037544999</v>
      </c>
    </row>
    <row r="47" spans="6:14" ht="12" x14ac:dyDescent="0.2">
      <c r="F47" s="447"/>
      <c r="G47" s="41" t="str">
        <f>STRAT5_IND4</f>
        <v>Objetivo estratégico 5 Indicador 4</v>
      </c>
      <c r="H47" s="260" t="str">
        <f ca="1">OFFSET(Variables_Lu!$D$10,Basic_Setup!H61,0)</f>
        <v>Nutrition-specific</v>
      </c>
      <c r="I47" s="262">
        <f t="shared" si="18"/>
        <v>0</v>
      </c>
      <c r="J47" s="383">
        <v>0</v>
      </c>
      <c r="K47" s="383">
        <v>0</v>
      </c>
      <c r="L47" s="383">
        <v>0</v>
      </c>
      <c r="M47" s="383">
        <v>0</v>
      </c>
      <c r="N47" s="383">
        <v>0</v>
      </c>
    </row>
    <row r="48" spans="6:14" ht="12" x14ac:dyDescent="0.2">
      <c r="F48" s="448"/>
      <c r="G48" s="41" t="str">
        <f>STRAT5_IND5</f>
        <v>Objetivo estratégico 5 Indicador 5</v>
      </c>
      <c r="H48" s="260" t="str">
        <f ca="1">OFFSET(Variables_Lu!$D$10,Basic_Setup!H62,0)</f>
        <v>Nutrition-specific</v>
      </c>
      <c r="I48" s="262">
        <f t="shared" si="18"/>
        <v>0</v>
      </c>
      <c r="J48" s="383">
        <v>0</v>
      </c>
      <c r="K48" s="383">
        <v>0</v>
      </c>
      <c r="L48" s="383">
        <v>0</v>
      </c>
      <c r="M48" s="383">
        <v>0</v>
      </c>
      <c r="N48" s="383">
        <v>0</v>
      </c>
    </row>
    <row r="49" spans="6:14" ht="12" x14ac:dyDescent="0.2">
      <c r="H49" s="152" t="s">
        <v>111</v>
      </c>
      <c r="I49" s="265">
        <f>SUM(I44:I48)</f>
        <v>28445319.056317501</v>
      </c>
      <c r="J49" s="265">
        <f t="shared" ref="J49:N49" si="20">SUM(J44:J48)</f>
        <v>5689063.8112634998</v>
      </c>
      <c r="K49" s="265">
        <f t="shared" si="20"/>
        <v>5689063.8112634998</v>
      </c>
      <c r="L49" s="265">
        <f t="shared" si="20"/>
        <v>5689063.8112634998</v>
      </c>
      <c r="M49" s="265">
        <f t="shared" si="20"/>
        <v>5689063.8112634998</v>
      </c>
      <c r="N49" s="265">
        <f t="shared" si="20"/>
        <v>5689063.8112634998</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262">
        <f>SUM(J50:N50)</f>
        <v>0</v>
      </c>
      <c r="J50" s="37">
        <v>0</v>
      </c>
      <c r="K50" s="37">
        <v>0</v>
      </c>
      <c r="L50" s="37">
        <v>0</v>
      </c>
      <c r="M50" s="37">
        <v>0</v>
      </c>
      <c r="N50" s="37">
        <v>0</v>
      </c>
    </row>
    <row r="51" spans="6:14" ht="12" x14ac:dyDescent="0.2">
      <c r="F51" s="447"/>
      <c r="G51" s="42" t="str">
        <f>STRAT6_IND2</f>
        <v>Objetivo estratégico 6 Indicador 2</v>
      </c>
      <c r="H51" s="260" t="str">
        <f ca="1">OFFSET(Variables_Lu!$D$10,Basic_Setup!H65,0)</f>
        <v>Nutrition-specific</v>
      </c>
      <c r="I51" s="262">
        <f t="shared" ref="I51:I54" si="21">SUM(J51:N51)</f>
        <v>0</v>
      </c>
      <c r="J51" s="37">
        <v>0</v>
      </c>
      <c r="K51" s="37">
        <v>0</v>
      </c>
      <c r="L51" s="37">
        <v>0</v>
      </c>
      <c r="M51" s="37">
        <v>0</v>
      </c>
      <c r="N51" s="37">
        <v>0</v>
      </c>
    </row>
    <row r="52" spans="6:14" ht="12" x14ac:dyDescent="0.2">
      <c r="F52" s="447"/>
      <c r="G52" s="42" t="str">
        <f>STRAT6_IND3</f>
        <v>Objetivo estratégico 6 Indicador 3</v>
      </c>
      <c r="H52" s="260" t="str">
        <f ca="1">OFFSET(Variables_Lu!$D$10,Basic_Setup!H66,0)</f>
        <v>Nutrition-specific</v>
      </c>
      <c r="I52" s="262">
        <f t="shared" si="21"/>
        <v>0</v>
      </c>
      <c r="J52" s="37">
        <v>0</v>
      </c>
      <c r="K52" s="37">
        <v>0</v>
      </c>
      <c r="L52" s="37">
        <v>0</v>
      </c>
      <c r="M52" s="37">
        <v>0</v>
      </c>
      <c r="N52" s="37">
        <v>0</v>
      </c>
    </row>
    <row r="53" spans="6:14" ht="12" x14ac:dyDescent="0.2">
      <c r="F53" s="447"/>
      <c r="G53" s="41" t="str">
        <f>STRAT6_IND4</f>
        <v>Objetivo estratégico 6 Indicador 4</v>
      </c>
      <c r="H53" s="260" t="str">
        <f ca="1">OFFSET(Variables_Lu!$D$10,Basic_Setup!H67,0)</f>
        <v>Nutrition-specific</v>
      </c>
      <c r="I53" s="262">
        <f t="shared" si="21"/>
        <v>0</v>
      </c>
      <c r="J53" s="37">
        <v>0</v>
      </c>
      <c r="K53" s="37">
        <v>0</v>
      </c>
      <c r="L53" s="37">
        <v>0</v>
      </c>
      <c r="M53" s="37">
        <v>0</v>
      </c>
      <c r="N53" s="37">
        <v>0</v>
      </c>
    </row>
    <row r="54" spans="6:14" ht="12" x14ac:dyDescent="0.2">
      <c r="F54" s="448"/>
      <c r="G54" s="41" t="str">
        <f>STRAT6_IND5</f>
        <v>Objetivo estratégico 6 Indicador 5</v>
      </c>
      <c r="H54" s="260" t="str">
        <f ca="1">OFFSET(Variables_Lu!$D$10,Basic_Setup!H68,0)</f>
        <v>Nutrition-specific</v>
      </c>
      <c r="I54" s="262">
        <f t="shared" si="21"/>
        <v>0</v>
      </c>
      <c r="J54" s="37">
        <v>0</v>
      </c>
      <c r="K54" s="37">
        <v>0</v>
      </c>
      <c r="L54" s="37">
        <v>0</v>
      </c>
      <c r="M54" s="37">
        <v>0</v>
      </c>
      <c r="N54" s="37">
        <v>0</v>
      </c>
    </row>
    <row r="55" spans="6:14" ht="12" x14ac:dyDescent="0.2">
      <c r="H55" s="152" t="s">
        <v>159</v>
      </c>
      <c r="I55" s="265">
        <f>SUM(I50:I54)</f>
        <v>0</v>
      </c>
      <c r="J55" s="265">
        <f t="shared" ref="J55:N55" si="22">SUM(J50:J54)</f>
        <v>0</v>
      </c>
      <c r="K55" s="265">
        <f t="shared" si="22"/>
        <v>0</v>
      </c>
      <c r="L55" s="265">
        <f t="shared" si="22"/>
        <v>0</v>
      </c>
      <c r="M55" s="265">
        <f t="shared" si="22"/>
        <v>0</v>
      </c>
      <c r="N55" s="265">
        <f t="shared" si="22"/>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262">
        <f>SUM(J56:N56)</f>
        <v>0</v>
      </c>
      <c r="J56" s="37">
        <v>0</v>
      </c>
      <c r="K56" s="37">
        <v>0</v>
      </c>
      <c r="L56" s="37">
        <v>0</v>
      </c>
      <c r="M56" s="37">
        <v>0</v>
      </c>
      <c r="N56" s="37">
        <v>0</v>
      </c>
    </row>
    <row r="57" spans="6:14" ht="12" x14ac:dyDescent="0.2">
      <c r="F57" s="447"/>
      <c r="G57" s="42" t="str">
        <f>STRAT7_IND2</f>
        <v>Objetivo estratégico 7 Indicador 2</v>
      </c>
      <c r="H57" s="260" t="str">
        <f ca="1">OFFSET(Variables_Lu!$D$10,Basic_Setup!H71,0)</f>
        <v>Nutrition-specific</v>
      </c>
      <c r="I57" s="262">
        <f t="shared" ref="I57:I60" si="23">SUM(J57:N57)</f>
        <v>0</v>
      </c>
      <c r="J57" s="37">
        <v>0</v>
      </c>
      <c r="K57" s="37">
        <v>0</v>
      </c>
      <c r="L57" s="37">
        <v>0</v>
      </c>
      <c r="M57" s="37">
        <v>0</v>
      </c>
      <c r="N57" s="37">
        <v>0</v>
      </c>
    </row>
    <row r="58" spans="6:14" ht="12" x14ac:dyDescent="0.2">
      <c r="F58" s="447"/>
      <c r="G58" s="42" t="str">
        <f>STRAT7_IND3</f>
        <v>Objetivo estratégico 7 Indicador 3</v>
      </c>
      <c r="H58" s="260" t="str">
        <f ca="1">OFFSET(Variables_Lu!$D$10,Basic_Setup!H72,0)</f>
        <v>Nutrition-specific</v>
      </c>
      <c r="I58" s="262">
        <f t="shared" si="23"/>
        <v>0</v>
      </c>
      <c r="J58" s="37">
        <v>0</v>
      </c>
      <c r="K58" s="37">
        <v>0</v>
      </c>
      <c r="L58" s="37">
        <v>0</v>
      </c>
      <c r="M58" s="37">
        <v>0</v>
      </c>
      <c r="N58" s="37">
        <v>0</v>
      </c>
    </row>
    <row r="59" spans="6:14" ht="12" x14ac:dyDescent="0.2">
      <c r="F59" s="447"/>
      <c r="G59" s="41" t="str">
        <f>STRAT7_IND4</f>
        <v>Objetivo estratégico 7 Indicador 4</v>
      </c>
      <c r="H59" s="260" t="str">
        <f ca="1">OFFSET(Variables_Lu!$D$10,Basic_Setup!H73,0)</f>
        <v>Nutrition-specific</v>
      </c>
      <c r="I59" s="262">
        <f t="shared" si="23"/>
        <v>0</v>
      </c>
      <c r="J59" s="37">
        <v>0</v>
      </c>
      <c r="K59" s="37">
        <v>0</v>
      </c>
      <c r="L59" s="37">
        <v>0</v>
      </c>
      <c r="M59" s="37">
        <v>0</v>
      </c>
      <c r="N59" s="37">
        <v>0</v>
      </c>
    </row>
    <row r="60" spans="6:14" ht="12" x14ac:dyDescent="0.2">
      <c r="F60" s="448"/>
      <c r="G60" s="41" t="str">
        <f>STRAT7_IND5</f>
        <v>Objetivo estratégico 7 Indicador 5</v>
      </c>
      <c r="H60" s="260" t="str">
        <f ca="1">OFFSET(Variables_Lu!$D$10,Basic_Setup!H74,0)</f>
        <v>Nutrition-specific</v>
      </c>
      <c r="I60" s="262">
        <f t="shared" si="23"/>
        <v>0</v>
      </c>
      <c r="J60" s="37">
        <v>0</v>
      </c>
      <c r="K60" s="37">
        <v>0</v>
      </c>
      <c r="L60" s="37">
        <v>0</v>
      </c>
      <c r="M60" s="37">
        <v>0</v>
      </c>
      <c r="N60" s="37">
        <v>0</v>
      </c>
    </row>
    <row r="61" spans="6:14" ht="12" x14ac:dyDescent="0.2">
      <c r="H61" s="152" t="s">
        <v>160</v>
      </c>
      <c r="I61" s="265">
        <f>SUM(I56:I60)</f>
        <v>0</v>
      </c>
      <c r="J61" s="265">
        <f t="shared" ref="J61:N61" si="24">SUM(J56:J60)</f>
        <v>0</v>
      </c>
      <c r="K61" s="265">
        <f t="shared" si="24"/>
        <v>0</v>
      </c>
      <c r="L61" s="265">
        <f t="shared" si="24"/>
        <v>0</v>
      </c>
      <c r="M61" s="265">
        <f t="shared" si="24"/>
        <v>0</v>
      </c>
      <c r="N61" s="265">
        <f t="shared" si="24"/>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262">
        <f>SUM(J62:N62)</f>
        <v>0</v>
      </c>
      <c r="J62" s="37">
        <v>0</v>
      </c>
      <c r="K62" s="37">
        <v>0</v>
      </c>
      <c r="L62" s="37">
        <v>0</v>
      </c>
      <c r="M62" s="37">
        <v>0</v>
      </c>
      <c r="N62" s="37">
        <v>0</v>
      </c>
    </row>
    <row r="63" spans="6:14" ht="12" x14ac:dyDescent="0.2">
      <c r="F63" s="447"/>
      <c r="G63" s="42" t="str">
        <f>STRAT8_IND2</f>
        <v>Objetivo estratégico 8 Indicador 2</v>
      </c>
      <c r="H63" s="260" t="str">
        <f ca="1">OFFSET(Variables_Lu!$D$10,Basic_Setup!H77,0)</f>
        <v>Nutrition-specific</v>
      </c>
      <c r="I63" s="262">
        <f t="shared" ref="I63:I66" si="25">SUM(J63:N63)</f>
        <v>0</v>
      </c>
      <c r="J63" s="37">
        <v>0</v>
      </c>
      <c r="K63" s="37">
        <v>0</v>
      </c>
      <c r="L63" s="37">
        <v>0</v>
      </c>
      <c r="M63" s="37">
        <v>0</v>
      </c>
      <c r="N63" s="37">
        <v>0</v>
      </c>
    </row>
    <row r="64" spans="6:14" ht="12" x14ac:dyDescent="0.2">
      <c r="F64" s="447"/>
      <c r="G64" s="42" t="str">
        <f>STRAT8_IND3</f>
        <v>Objetivo estratégico 8 Indicador 3</v>
      </c>
      <c r="H64" s="260" t="str">
        <f ca="1">OFFSET(Variables_Lu!$D$10,Basic_Setup!H78,0)</f>
        <v>Nutrition-specific</v>
      </c>
      <c r="I64" s="262">
        <f t="shared" si="25"/>
        <v>0</v>
      </c>
      <c r="J64" s="37">
        <v>0</v>
      </c>
      <c r="K64" s="37">
        <v>0</v>
      </c>
      <c r="L64" s="37">
        <v>0</v>
      </c>
      <c r="M64" s="37">
        <v>0</v>
      </c>
      <c r="N64" s="37">
        <v>0</v>
      </c>
    </row>
    <row r="65" spans="6:14" ht="12" x14ac:dyDescent="0.2">
      <c r="F65" s="447"/>
      <c r="G65" s="41" t="str">
        <f>STRAT8_IND4</f>
        <v>Objetivo estratégico 8 Indicador 4</v>
      </c>
      <c r="H65" s="260" t="str">
        <f ca="1">OFFSET(Variables_Lu!$D$10,Basic_Setup!H79,0)</f>
        <v>Nutrition-specific</v>
      </c>
      <c r="I65" s="262">
        <f t="shared" si="25"/>
        <v>0</v>
      </c>
      <c r="J65" s="37">
        <v>0</v>
      </c>
      <c r="K65" s="37">
        <v>0</v>
      </c>
      <c r="L65" s="37">
        <v>0</v>
      </c>
      <c r="M65" s="37">
        <v>0</v>
      </c>
      <c r="N65" s="37">
        <v>0</v>
      </c>
    </row>
    <row r="66" spans="6:14" ht="12" x14ac:dyDescent="0.2">
      <c r="F66" s="448"/>
      <c r="G66" s="41" t="str">
        <f>STRAT8_IND5</f>
        <v>Objetivo estratégico 8 Indicador 5</v>
      </c>
      <c r="H66" s="260" t="str">
        <f ca="1">OFFSET(Variables_Lu!$D$10,Basic_Setup!H80,0)</f>
        <v>Nutrition-specific</v>
      </c>
      <c r="I66" s="262">
        <f t="shared" si="25"/>
        <v>0</v>
      </c>
      <c r="J66" s="37">
        <v>0</v>
      </c>
      <c r="K66" s="37">
        <v>0</v>
      </c>
      <c r="L66" s="37">
        <v>0</v>
      </c>
      <c r="M66" s="37">
        <v>0</v>
      </c>
      <c r="N66" s="37">
        <v>0</v>
      </c>
    </row>
    <row r="67" spans="6:14" ht="12" x14ac:dyDescent="0.2">
      <c r="H67" s="152" t="s">
        <v>161</v>
      </c>
      <c r="I67" s="265">
        <f>SUM(I62:I66)</f>
        <v>0</v>
      </c>
      <c r="J67" s="265">
        <f t="shared" ref="J67:N67" si="26">SUM(J62:J66)</f>
        <v>0</v>
      </c>
      <c r="K67" s="265">
        <f t="shared" si="26"/>
        <v>0</v>
      </c>
      <c r="L67" s="265">
        <f t="shared" si="26"/>
        <v>0</v>
      </c>
      <c r="M67" s="265">
        <f t="shared" si="26"/>
        <v>0</v>
      </c>
      <c r="N67" s="265">
        <f t="shared" si="26"/>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262">
        <f>SUM(J68:N68)</f>
        <v>0</v>
      </c>
      <c r="J68" s="37">
        <v>0</v>
      </c>
      <c r="K68" s="37">
        <v>0</v>
      </c>
      <c r="L68" s="37">
        <v>0</v>
      </c>
      <c r="M68" s="37">
        <v>0</v>
      </c>
      <c r="N68" s="37">
        <v>0</v>
      </c>
    </row>
    <row r="69" spans="6:14" ht="12" x14ac:dyDescent="0.2">
      <c r="F69" s="447"/>
      <c r="G69" s="42" t="str">
        <f>STRAT9_IND2</f>
        <v>Objetivo estratégico 9 Indicador 2</v>
      </c>
      <c r="H69" s="260" t="str">
        <f ca="1">OFFSET(Variables_Lu!$D$10,Basic_Setup!H83,0)</f>
        <v>Nutrition-specific</v>
      </c>
      <c r="I69" s="262">
        <f t="shared" ref="I69:I72" si="27">SUM(J69:N69)</f>
        <v>0</v>
      </c>
      <c r="J69" s="37">
        <v>0</v>
      </c>
      <c r="K69" s="37">
        <v>0</v>
      </c>
      <c r="L69" s="37">
        <v>0</v>
      </c>
      <c r="M69" s="37">
        <v>0</v>
      </c>
      <c r="N69" s="37">
        <v>0</v>
      </c>
    </row>
    <row r="70" spans="6:14" ht="12" x14ac:dyDescent="0.2">
      <c r="F70" s="447"/>
      <c r="G70" s="42" t="str">
        <f>STRAT9_IND3</f>
        <v>Objetivo estratégico 9 Indicador 3</v>
      </c>
      <c r="H70" s="260" t="str">
        <f ca="1">OFFSET(Variables_Lu!$D$10,Basic_Setup!H84,0)</f>
        <v>Nutrition-specific</v>
      </c>
      <c r="I70" s="262">
        <f t="shared" si="27"/>
        <v>0</v>
      </c>
      <c r="J70" s="37">
        <v>0</v>
      </c>
      <c r="K70" s="37">
        <v>0</v>
      </c>
      <c r="L70" s="37">
        <v>0</v>
      </c>
      <c r="M70" s="37">
        <v>0</v>
      </c>
      <c r="N70" s="37">
        <v>0</v>
      </c>
    </row>
    <row r="71" spans="6:14" ht="12" x14ac:dyDescent="0.2">
      <c r="F71" s="447"/>
      <c r="G71" s="41" t="str">
        <f>STRAT9_IND4</f>
        <v>Objetivo estratégico 9 Indicador 4</v>
      </c>
      <c r="H71" s="260" t="str">
        <f ca="1">OFFSET(Variables_Lu!$D$10,Basic_Setup!H85,0)</f>
        <v>Nutrition-specific</v>
      </c>
      <c r="I71" s="262">
        <f t="shared" si="27"/>
        <v>0</v>
      </c>
      <c r="J71" s="37">
        <v>0</v>
      </c>
      <c r="K71" s="37">
        <v>0</v>
      </c>
      <c r="L71" s="37">
        <v>0</v>
      </c>
      <c r="M71" s="37">
        <v>0</v>
      </c>
      <c r="N71" s="37">
        <v>0</v>
      </c>
    </row>
    <row r="72" spans="6:14" ht="12" x14ac:dyDescent="0.2">
      <c r="F72" s="448"/>
      <c r="G72" s="41" t="str">
        <f>STRAT9_IND5</f>
        <v>Objetivo estratégico 9 Indicador 5</v>
      </c>
      <c r="H72" s="260" t="str">
        <f ca="1">OFFSET(Variables_Lu!$D$10,Basic_Setup!H86,0)</f>
        <v>Nutrition-specific</v>
      </c>
      <c r="I72" s="262">
        <f t="shared" si="27"/>
        <v>0</v>
      </c>
      <c r="J72" s="37">
        <v>0</v>
      </c>
      <c r="K72" s="37">
        <v>0</v>
      </c>
      <c r="L72" s="37">
        <v>0</v>
      </c>
      <c r="M72" s="37">
        <v>0</v>
      </c>
      <c r="N72" s="37">
        <v>0</v>
      </c>
    </row>
    <row r="73" spans="6:14" ht="12" x14ac:dyDescent="0.2">
      <c r="H73" s="152" t="s">
        <v>162</v>
      </c>
      <c r="I73" s="265">
        <f>SUM(I68:I72)</f>
        <v>0</v>
      </c>
      <c r="J73" s="265">
        <f t="shared" ref="J73:N73" si="28">SUM(J68:J72)</f>
        <v>0</v>
      </c>
      <c r="K73" s="265">
        <f t="shared" si="28"/>
        <v>0</v>
      </c>
      <c r="L73" s="265">
        <f t="shared" si="28"/>
        <v>0</v>
      </c>
      <c r="M73" s="265">
        <f t="shared" si="28"/>
        <v>0</v>
      </c>
      <c r="N73" s="265">
        <f t="shared" si="28"/>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262">
        <f>SUM(J74:N74)</f>
        <v>0</v>
      </c>
      <c r="J74" s="37">
        <v>0</v>
      </c>
      <c r="K74" s="37">
        <v>0</v>
      </c>
      <c r="L74" s="37">
        <v>0</v>
      </c>
      <c r="M74" s="37">
        <v>0</v>
      </c>
      <c r="N74" s="37">
        <v>0</v>
      </c>
    </row>
    <row r="75" spans="6:14" ht="12" x14ac:dyDescent="0.2">
      <c r="F75" s="447"/>
      <c r="G75" s="42" t="str">
        <f>STRAT10_IND2</f>
        <v>Objetivo estratégico 10 Indicador 2</v>
      </c>
      <c r="H75" s="260" t="str">
        <f ca="1">OFFSET(Variables_Lu!$D$10,Basic_Setup!H89,0)</f>
        <v>Nutrition-specific</v>
      </c>
      <c r="I75" s="262">
        <f t="shared" ref="I75:I78" si="29">SUM(J75:N75)</f>
        <v>0</v>
      </c>
      <c r="J75" s="37">
        <v>0</v>
      </c>
      <c r="K75" s="37">
        <v>0</v>
      </c>
      <c r="L75" s="37">
        <v>0</v>
      </c>
      <c r="M75" s="37">
        <v>0</v>
      </c>
      <c r="N75" s="37">
        <v>0</v>
      </c>
    </row>
    <row r="76" spans="6:14" ht="12" x14ac:dyDescent="0.2">
      <c r="F76" s="447"/>
      <c r="G76" s="42" t="str">
        <f>STRAT10_IND3</f>
        <v>Objetivo estratégico 10 Indicador 3</v>
      </c>
      <c r="H76" s="260" t="str">
        <f ca="1">OFFSET(Variables_Lu!$D$10,Basic_Setup!H90,0)</f>
        <v>Nutrition-specific</v>
      </c>
      <c r="I76" s="262">
        <f t="shared" si="29"/>
        <v>0</v>
      </c>
      <c r="J76" s="37">
        <v>0</v>
      </c>
      <c r="K76" s="37">
        <v>0</v>
      </c>
      <c r="L76" s="37">
        <v>0</v>
      </c>
      <c r="M76" s="37">
        <v>0</v>
      </c>
      <c r="N76" s="37">
        <v>0</v>
      </c>
    </row>
    <row r="77" spans="6:14" ht="11.25" customHeight="1" x14ac:dyDescent="0.2">
      <c r="F77" s="447"/>
      <c r="G77" s="41" t="str">
        <f>STRAT10_IND4</f>
        <v>Objetivo estratégico 10 Indicador 4</v>
      </c>
      <c r="H77" s="260" t="str">
        <f ca="1">OFFSET(Variables_Lu!$D$10,Basic_Setup!H91,0)</f>
        <v>Nutrition-specific</v>
      </c>
      <c r="I77" s="262">
        <f t="shared" si="29"/>
        <v>0</v>
      </c>
      <c r="J77" s="37">
        <v>0</v>
      </c>
      <c r="K77" s="37">
        <v>0</v>
      </c>
      <c r="L77" s="37">
        <v>0</v>
      </c>
      <c r="M77" s="37">
        <v>0</v>
      </c>
      <c r="N77" s="37">
        <v>0</v>
      </c>
    </row>
    <row r="78" spans="6:14" ht="11.25" customHeight="1" x14ac:dyDescent="0.2">
      <c r="F78" s="448"/>
      <c r="G78" s="41" t="str">
        <f>STRAT10_IND5</f>
        <v>Objetivo estratégico 10 Indicador 5</v>
      </c>
      <c r="H78" s="260" t="str">
        <f ca="1">OFFSET(Variables_Lu!$D$10,Basic_Setup!H92,0)</f>
        <v>Nutrition-specific</v>
      </c>
      <c r="I78" s="262">
        <f t="shared" si="29"/>
        <v>0</v>
      </c>
      <c r="J78" s="37">
        <v>0</v>
      </c>
      <c r="K78" s="37">
        <v>0</v>
      </c>
      <c r="L78" s="37">
        <v>0</v>
      </c>
      <c r="M78" s="37">
        <v>0</v>
      </c>
      <c r="N78" s="37">
        <v>0</v>
      </c>
    </row>
    <row r="79" spans="6:14" ht="11.25" customHeight="1" x14ac:dyDescent="0.2">
      <c r="H79" s="152" t="s">
        <v>163</v>
      </c>
      <c r="I79" s="265">
        <f>SUM(I74:I78)</f>
        <v>0</v>
      </c>
      <c r="J79" s="265">
        <f t="shared" ref="J79:N79" si="30">SUM(J74:J78)</f>
        <v>0</v>
      </c>
      <c r="K79" s="265">
        <f t="shared" si="30"/>
        <v>0</v>
      </c>
      <c r="L79" s="265">
        <f t="shared" si="30"/>
        <v>0</v>
      </c>
      <c r="M79" s="265">
        <f t="shared" si="30"/>
        <v>0</v>
      </c>
      <c r="N79" s="265">
        <f t="shared" si="30"/>
        <v>0</v>
      </c>
    </row>
    <row r="80" spans="6:14" ht="11.25" customHeight="1" x14ac:dyDescent="0.2">
      <c r="I80" s="263"/>
    </row>
    <row r="81" spans="6:14" ht="12.6" thickBot="1" x14ac:dyDescent="0.25">
      <c r="H81" s="149" t="str">
        <f>"TOTAL - "&amp;$F$12</f>
        <v>TOTAL - Ministerio de Energía y Minas</v>
      </c>
      <c r="I81" s="264">
        <f>SUM(I25,I31,I37,I43,I49,I55,I61,I67,I73,I79)</f>
        <v>2452182677.2687502</v>
      </c>
      <c r="J81" s="264">
        <f>SUM(J25,J31,J37,J43,J49,J55,J61,J67,J73,J79)</f>
        <v>490436535.45375007</v>
      </c>
      <c r="K81" s="264">
        <f t="shared" ref="K81:N81" si="31">SUM(K25,K31,K37,K43,K49,K55,K61,K67,K73,K79)</f>
        <v>490436535.45375007</v>
      </c>
      <c r="L81" s="264">
        <f t="shared" si="31"/>
        <v>490436535.45375007</v>
      </c>
      <c r="M81" s="264">
        <f t="shared" si="31"/>
        <v>490436535.45375007</v>
      </c>
      <c r="N81" s="264">
        <f t="shared" si="31"/>
        <v>490436535.45375007</v>
      </c>
    </row>
    <row r="82" spans="6:14" ht="12" x14ac:dyDescent="0.2">
      <c r="I82" s="149"/>
    </row>
    <row r="83" spans="6:14" ht="12" x14ac:dyDescent="0.2">
      <c r="F83" s="44" t="s">
        <v>171</v>
      </c>
    </row>
    <row r="84" spans="6:14" x14ac:dyDescent="0.2">
      <c r="F84" s="49"/>
    </row>
    <row r="85" spans="6:14" x14ac:dyDescent="0.2">
      <c r="F85" s="49"/>
    </row>
    <row r="86" spans="6:14" x14ac:dyDescent="0.2">
      <c r="F86" s="49"/>
    </row>
    <row r="87" spans="6:14" x14ac:dyDescent="0.2">
      <c r="F87" s="49"/>
    </row>
    <row r="90" spans="6:14" ht="12.6" thickBot="1" x14ac:dyDescent="0.25">
      <c r="F90" s="1" t="s">
        <v>411</v>
      </c>
      <c r="G90" s="1" t="s">
        <v>412</v>
      </c>
      <c r="H90" s="406" t="s">
        <v>472</v>
      </c>
      <c r="I90" s="253" t="s">
        <v>106</v>
      </c>
      <c r="J90" s="54" t="str">
        <f>CURR_INT_ABBR</f>
        <v>USD</v>
      </c>
      <c r="K90" s="54" t="str">
        <f>CURR_INT_ABBR</f>
        <v>USD</v>
      </c>
      <c r="L90" s="54" t="str">
        <f>CURR_INT_ABBR</f>
        <v>USD</v>
      </c>
      <c r="M90" s="54" t="str">
        <f>CURR_INT_ABBR</f>
        <v>USD</v>
      </c>
      <c r="N90" s="54" t="str">
        <f>CURR_INT_ABBR</f>
        <v>USD</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67">
        <f t="shared" ref="I91:N100" si="32">I20/EXCHANGE_RATE</f>
        <v>544.92948383750002</v>
      </c>
      <c r="J91" s="154">
        <f t="shared" si="32"/>
        <v>108.98589676750001</v>
      </c>
      <c r="K91" s="154">
        <f t="shared" si="32"/>
        <v>108.98589676750001</v>
      </c>
      <c r="L91" s="154">
        <f t="shared" si="32"/>
        <v>108.98589676750001</v>
      </c>
      <c r="M91" s="154">
        <f t="shared" si="32"/>
        <v>108.98589676750001</v>
      </c>
      <c r="N91" s="154">
        <f t="shared" si="32"/>
        <v>108.98589676750001</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67">
        <f t="shared" si="32"/>
        <v>544.92948383750002</v>
      </c>
      <c r="J92" s="154">
        <f t="shared" si="32"/>
        <v>108.98589676750001</v>
      </c>
      <c r="K92" s="154">
        <f t="shared" si="32"/>
        <v>108.98589676750001</v>
      </c>
      <c r="L92" s="154">
        <f t="shared" si="32"/>
        <v>108.98589676750001</v>
      </c>
      <c r="M92" s="154">
        <f t="shared" si="32"/>
        <v>108.98589676750001</v>
      </c>
      <c r="N92" s="154">
        <f t="shared" si="32"/>
        <v>108.98589676750001</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67">
        <f t="shared" si="32"/>
        <v>544.92948383750002</v>
      </c>
      <c r="J93" s="154">
        <f t="shared" si="32"/>
        <v>108.98589676750001</v>
      </c>
      <c r="K93" s="154">
        <f t="shared" si="32"/>
        <v>108.98589676750001</v>
      </c>
      <c r="L93" s="154">
        <f t="shared" si="32"/>
        <v>108.98589676750001</v>
      </c>
      <c r="M93" s="154">
        <f t="shared" si="32"/>
        <v>108.98589676750001</v>
      </c>
      <c r="N93" s="154">
        <f t="shared" si="32"/>
        <v>108.98589676750001</v>
      </c>
    </row>
    <row r="94" spans="6:14" ht="22.8" x14ac:dyDescent="0.2">
      <c r="F94" s="444"/>
      <c r="G94" s="41" t="str">
        <f>STRAT1_IND4</f>
        <v>El marco legislativo y reglamentario de la nutrición se ha fortalecido y está en funcionamiento.</v>
      </c>
      <c r="H94" s="268" t="str">
        <f ca="1">OFFSET(Variables_Lu!$D$10,Basic_Setup!H37,0)</f>
        <v>Governance</v>
      </c>
      <c r="I94" s="67">
        <f t="shared" si="32"/>
        <v>544.92948383750002</v>
      </c>
      <c r="J94" s="154">
        <f t="shared" si="32"/>
        <v>108.98589676750001</v>
      </c>
      <c r="K94" s="154">
        <f t="shared" si="32"/>
        <v>108.98589676750001</v>
      </c>
      <c r="L94" s="154">
        <f t="shared" si="32"/>
        <v>108.98589676750001</v>
      </c>
      <c r="M94" s="154">
        <f t="shared" si="32"/>
        <v>108.98589676750001</v>
      </c>
      <c r="N94" s="154">
        <f t="shared" si="32"/>
        <v>108.98589676750001</v>
      </c>
    </row>
    <row r="95" spans="6:14" ht="12.6" thickBot="1" x14ac:dyDescent="0.25">
      <c r="F95" s="445"/>
      <c r="G95" s="275" t="str">
        <f>STRAT1_IND5</f>
        <v>Objetivo estratégico 1 Indicador 5</v>
      </c>
      <c r="H95" s="270" t="str">
        <f ca="1">OFFSET(Variables_Lu!$D$10,Basic_Setup!H38,0)</f>
        <v>Governance</v>
      </c>
      <c r="I95" s="67">
        <f t="shared" si="32"/>
        <v>0</v>
      </c>
      <c r="J95" s="154">
        <f t="shared" si="32"/>
        <v>0</v>
      </c>
      <c r="K95" s="154">
        <f t="shared" si="32"/>
        <v>0</v>
      </c>
      <c r="L95" s="154">
        <f t="shared" si="32"/>
        <v>0</v>
      </c>
      <c r="M95" s="154">
        <f t="shared" si="32"/>
        <v>0</v>
      </c>
      <c r="N95" s="154">
        <f t="shared" si="32"/>
        <v>0</v>
      </c>
    </row>
    <row r="96" spans="6:14" ht="12.6" thickBot="1" x14ac:dyDescent="0.25">
      <c r="F96" s="38"/>
      <c r="G96" s="38"/>
      <c r="H96" s="152" t="s">
        <v>107</v>
      </c>
      <c r="I96" s="122">
        <f t="shared" si="32"/>
        <v>2179.7179353500001</v>
      </c>
      <c r="J96" s="63">
        <f t="shared" si="32"/>
        <v>435.94358707000004</v>
      </c>
      <c r="K96" s="63">
        <f t="shared" si="32"/>
        <v>435.94358707000004</v>
      </c>
      <c r="L96" s="63">
        <f t="shared" si="32"/>
        <v>435.94358707000004</v>
      </c>
      <c r="M96" s="63">
        <f t="shared" si="32"/>
        <v>435.94358707000004</v>
      </c>
      <c r="N96" s="63">
        <f t="shared" si="32"/>
        <v>435.94358707000004</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67">
        <f t="shared" si="32"/>
        <v>28835.851853067714</v>
      </c>
      <c r="J97" s="154">
        <f t="shared" si="32"/>
        <v>5767.1703706135422</v>
      </c>
      <c r="K97" s="154">
        <f t="shared" si="32"/>
        <v>5767.1703706135422</v>
      </c>
      <c r="L97" s="154">
        <f t="shared" si="32"/>
        <v>5767.1703706135422</v>
      </c>
      <c r="M97" s="154">
        <f t="shared" si="32"/>
        <v>5767.1703706135422</v>
      </c>
      <c r="N97" s="154">
        <f t="shared" si="32"/>
        <v>5767.1703706135422</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67">
        <f t="shared" si="32"/>
        <v>28835.851853067714</v>
      </c>
      <c r="J98" s="154">
        <f t="shared" si="32"/>
        <v>5767.1703706135422</v>
      </c>
      <c r="K98" s="154">
        <f t="shared" si="32"/>
        <v>5767.1703706135422</v>
      </c>
      <c r="L98" s="154">
        <f t="shared" si="32"/>
        <v>5767.1703706135422</v>
      </c>
      <c r="M98" s="154">
        <f t="shared" si="32"/>
        <v>5767.1703706135422</v>
      </c>
      <c r="N98" s="154">
        <f t="shared" si="32"/>
        <v>5767.1703706135422</v>
      </c>
    </row>
    <row r="99" spans="6:14" ht="22.8" x14ac:dyDescent="0.2">
      <c r="F99" s="444"/>
      <c r="G99" s="42" t="str">
        <f>STRAT2_IND3</f>
        <v>Se refuerzan las intervenciones comunitarias en materia de nutrición.</v>
      </c>
      <c r="H99" s="268" t="str">
        <f ca="1">OFFSET(Variables_Lu!$D$10,Basic_Setup!H42,0)</f>
        <v>Nutrition-specific</v>
      </c>
      <c r="I99" s="67">
        <f t="shared" si="32"/>
        <v>28835.851853067714</v>
      </c>
      <c r="J99" s="154">
        <f t="shared" si="32"/>
        <v>5767.1703706135422</v>
      </c>
      <c r="K99" s="154">
        <f t="shared" si="32"/>
        <v>5767.1703706135422</v>
      </c>
      <c r="L99" s="154">
        <f t="shared" si="32"/>
        <v>5767.1703706135422</v>
      </c>
      <c r="M99" s="154">
        <f t="shared" si="32"/>
        <v>5767.1703706135422</v>
      </c>
      <c r="N99" s="154">
        <f t="shared" si="32"/>
        <v>5767.1703706135422</v>
      </c>
    </row>
    <row r="100" spans="6:14" ht="12" x14ac:dyDescent="0.2">
      <c r="F100" s="444"/>
      <c r="G100" s="41" t="str">
        <f>STRAT2_IND4</f>
        <v>Objetivo estratégico 2 Indicador 4</v>
      </c>
      <c r="H100" s="268" t="str">
        <f ca="1">OFFSET(Variables_Lu!$D$10,Basic_Setup!H43,0)</f>
        <v>Nutrition-specific</v>
      </c>
      <c r="I100" s="67">
        <f t="shared" si="32"/>
        <v>0</v>
      </c>
      <c r="J100" s="154">
        <f t="shared" si="32"/>
        <v>0</v>
      </c>
      <c r="K100" s="154">
        <f t="shared" si="32"/>
        <v>0</v>
      </c>
      <c r="L100" s="154">
        <f t="shared" si="32"/>
        <v>0</v>
      </c>
      <c r="M100" s="154">
        <f t="shared" si="32"/>
        <v>0</v>
      </c>
      <c r="N100" s="154">
        <f t="shared" si="32"/>
        <v>0</v>
      </c>
    </row>
    <row r="101" spans="6:14" ht="12.6" thickBot="1" x14ac:dyDescent="0.25">
      <c r="F101" s="445"/>
      <c r="G101" s="275" t="str">
        <f>STRAT2_IND5</f>
        <v>Objetivo estratégico 2 Indicador 5</v>
      </c>
      <c r="H101" s="270" t="str">
        <f ca="1">OFFSET(Variables_Lu!$D$10,Basic_Setup!H44,0)</f>
        <v>Nutrition-specific</v>
      </c>
      <c r="I101" s="67">
        <f t="shared" ref="I101:N110" si="33">I30/EXCHANGE_RATE</f>
        <v>0</v>
      </c>
      <c r="J101" s="154">
        <f t="shared" si="33"/>
        <v>0</v>
      </c>
      <c r="K101" s="154">
        <f t="shared" si="33"/>
        <v>0</v>
      </c>
      <c r="L101" s="154">
        <f t="shared" si="33"/>
        <v>0</v>
      </c>
      <c r="M101" s="154">
        <f t="shared" si="33"/>
        <v>0</v>
      </c>
      <c r="N101" s="154">
        <f t="shared" si="33"/>
        <v>0</v>
      </c>
    </row>
    <row r="102" spans="6:14" ht="12.6" thickBot="1" x14ac:dyDescent="0.25">
      <c r="F102" s="38"/>
      <c r="G102" s="38"/>
      <c r="H102" s="152" t="s">
        <v>108</v>
      </c>
      <c r="I102" s="122">
        <f t="shared" si="33"/>
        <v>86507.555559203145</v>
      </c>
      <c r="J102" s="63">
        <f t="shared" si="33"/>
        <v>17301.511111840628</v>
      </c>
      <c r="K102" s="63">
        <f t="shared" si="33"/>
        <v>17301.511111840628</v>
      </c>
      <c r="L102" s="63">
        <f t="shared" si="33"/>
        <v>17301.511111840628</v>
      </c>
      <c r="M102" s="63">
        <f t="shared" si="33"/>
        <v>17301.511111840628</v>
      </c>
      <c r="N102" s="63">
        <f t="shared" si="33"/>
        <v>17301.511111840628</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67">
        <f t="shared" si="33"/>
        <v>340989.62451131566</v>
      </c>
      <c r="J103" s="154">
        <f t="shared" si="33"/>
        <v>68197.924902263141</v>
      </c>
      <c r="K103" s="154">
        <f t="shared" si="33"/>
        <v>68197.924902263141</v>
      </c>
      <c r="L103" s="154">
        <f t="shared" si="33"/>
        <v>68197.924902263141</v>
      </c>
      <c r="M103" s="154">
        <f t="shared" si="33"/>
        <v>68197.924902263141</v>
      </c>
      <c r="N103" s="154">
        <f t="shared" si="33"/>
        <v>68197.924902263141</v>
      </c>
    </row>
    <row r="104" spans="6:14" ht="22.8" x14ac:dyDescent="0.2">
      <c r="F104" s="444"/>
      <c r="G104" s="42" t="str">
        <f>STRAT3_IND2</f>
        <v xml:space="preserve"> La seguridad alimentaria está garantizada para toda la nación.</v>
      </c>
      <c r="H104" s="268" t="str">
        <f ca="1">OFFSET(Variables_Lu!$D$10,Basic_Setup!H47,0)</f>
        <v>Nutrition-sensitive</v>
      </c>
      <c r="I104" s="67">
        <f t="shared" si="33"/>
        <v>340989.62451131566</v>
      </c>
      <c r="J104" s="154">
        <f t="shared" si="33"/>
        <v>68197.924902263141</v>
      </c>
      <c r="K104" s="154">
        <f t="shared" si="33"/>
        <v>68197.924902263141</v>
      </c>
      <c r="L104" s="154">
        <f t="shared" si="33"/>
        <v>68197.924902263141</v>
      </c>
      <c r="M104" s="154">
        <f t="shared" si="33"/>
        <v>68197.924902263141</v>
      </c>
      <c r="N104" s="154">
        <f t="shared" si="33"/>
        <v>68197.924902263141</v>
      </c>
    </row>
    <row r="105" spans="6:14" ht="12" x14ac:dyDescent="0.2">
      <c r="F105" s="444"/>
      <c r="G105" s="42" t="str">
        <f>STRAT3_IND3</f>
        <v>Objetivo estratégico 3 Indicador 3</v>
      </c>
      <c r="H105" s="268" t="str">
        <f ca="1">OFFSET(Variables_Lu!$D$10,Basic_Setup!H48,0)</f>
        <v>Nutrition-specific</v>
      </c>
      <c r="I105" s="67">
        <f t="shared" si="33"/>
        <v>0</v>
      </c>
      <c r="J105" s="154">
        <f t="shared" si="33"/>
        <v>0</v>
      </c>
      <c r="K105" s="154">
        <f t="shared" si="33"/>
        <v>0</v>
      </c>
      <c r="L105" s="154">
        <f t="shared" si="33"/>
        <v>0</v>
      </c>
      <c r="M105" s="154">
        <f t="shared" si="33"/>
        <v>0</v>
      </c>
      <c r="N105" s="154">
        <f t="shared" si="33"/>
        <v>0</v>
      </c>
    </row>
    <row r="106" spans="6:14" ht="12" x14ac:dyDescent="0.2">
      <c r="F106" s="444"/>
      <c r="G106" s="41" t="str">
        <f>STRAT3_IND4</f>
        <v>Objetivo estratégico 3 Indicador 4</v>
      </c>
      <c r="H106" s="268" t="str">
        <f ca="1">OFFSET(Variables_Lu!$D$10,Basic_Setup!H49,0)</f>
        <v>Nutrition-specific</v>
      </c>
      <c r="I106" s="67">
        <f t="shared" si="33"/>
        <v>0</v>
      </c>
      <c r="J106" s="154">
        <f t="shared" si="33"/>
        <v>0</v>
      </c>
      <c r="K106" s="154">
        <f t="shared" si="33"/>
        <v>0</v>
      </c>
      <c r="L106" s="154">
        <f t="shared" si="33"/>
        <v>0</v>
      </c>
      <c r="M106" s="154">
        <f t="shared" si="33"/>
        <v>0</v>
      </c>
      <c r="N106" s="154">
        <f t="shared" si="33"/>
        <v>0</v>
      </c>
    </row>
    <row r="107" spans="6:14" ht="12.6" thickBot="1" x14ac:dyDescent="0.25">
      <c r="F107" s="445"/>
      <c r="G107" s="275" t="str">
        <f>STRAT3_IND5</f>
        <v>Objetivo estratégico 3 Indicador 5</v>
      </c>
      <c r="H107" s="270" t="str">
        <f ca="1">OFFSET(Variables_Lu!$D$10,Basic_Setup!H50,0)</f>
        <v>Nutrition-specific</v>
      </c>
      <c r="I107" s="67">
        <f t="shared" si="33"/>
        <v>0</v>
      </c>
      <c r="J107" s="154">
        <f t="shared" si="33"/>
        <v>0</v>
      </c>
      <c r="K107" s="154">
        <f t="shared" si="33"/>
        <v>0</v>
      </c>
      <c r="L107" s="154">
        <f t="shared" si="33"/>
        <v>0</v>
      </c>
      <c r="M107" s="154">
        <f t="shared" si="33"/>
        <v>0</v>
      </c>
      <c r="N107" s="154">
        <f t="shared" si="33"/>
        <v>0</v>
      </c>
    </row>
    <row r="108" spans="6:14" ht="12.6" thickBot="1" x14ac:dyDescent="0.25">
      <c r="H108" s="152" t="s">
        <v>109</v>
      </c>
      <c r="I108" s="122">
        <f t="shared" si="33"/>
        <v>681979.24902263132</v>
      </c>
      <c r="J108" s="63">
        <f t="shared" si="33"/>
        <v>136395.84980452628</v>
      </c>
      <c r="K108" s="63">
        <f t="shared" si="33"/>
        <v>136395.84980452628</v>
      </c>
      <c r="L108" s="63">
        <f t="shared" si="33"/>
        <v>136395.84980452628</v>
      </c>
      <c r="M108" s="63">
        <f t="shared" si="33"/>
        <v>136395.84980452628</v>
      </c>
      <c r="N108" s="63">
        <f t="shared" si="33"/>
        <v>136395.84980452628</v>
      </c>
    </row>
    <row r="109" spans="6:14" ht="24"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67">
        <f t="shared" si="33"/>
        <v>191951.41068175939</v>
      </c>
      <c r="J109" s="154">
        <f t="shared" si="33"/>
        <v>38390.282136351881</v>
      </c>
      <c r="K109" s="154">
        <f t="shared" si="33"/>
        <v>38390.282136351881</v>
      </c>
      <c r="L109" s="154">
        <f t="shared" si="33"/>
        <v>38390.282136351881</v>
      </c>
      <c r="M109" s="154">
        <f t="shared" si="33"/>
        <v>38390.282136351881</v>
      </c>
      <c r="N109" s="154">
        <f t="shared" si="33"/>
        <v>38390.282136351881</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67">
        <f t="shared" si="33"/>
        <v>191951.41068175939</v>
      </c>
      <c r="J110" s="154">
        <f t="shared" si="33"/>
        <v>38390.282136351881</v>
      </c>
      <c r="K110" s="154">
        <f t="shared" si="33"/>
        <v>38390.282136351881</v>
      </c>
      <c r="L110" s="154">
        <f t="shared" si="33"/>
        <v>38390.282136351881</v>
      </c>
      <c r="M110" s="154">
        <f t="shared" si="33"/>
        <v>38390.282136351881</v>
      </c>
      <c r="N110" s="154">
        <f t="shared" si="33"/>
        <v>38390.282136351881</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67">
        <f t="shared" ref="I111:N120" si="34">I40/EXCHANGE_RATE</f>
        <v>191951.41068175939</v>
      </c>
      <c r="J111" s="154">
        <f t="shared" si="34"/>
        <v>38390.282136351881</v>
      </c>
      <c r="K111" s="154">
        <f t="shared" si="34"/>
        <v>38390.282136351881</v>
      </c>
      <c r="L111" s="154">
        <f t="shared" si="34"/>
        <v>38390.282136351881</v>
      </c>
      <c r="M111" s="154">
        <f t="shared" si="34"/>
        <v>38390.282136351881</v>
      </c>
      <c r="N111" s="154">
        <f t="shared" si="34"/>
        <v>38390.282136351881</v>
      </c>
    </row>
    <row r="112" spans="6:14" ht="12" x14ac:dyDescent="0.2">
      <c r="F112" s="444"/>
      <c r="G112" s="41" t="str">
        <f>STRAT4_IND4</f>
        <v>Objetivo estratégico 4 Indicador 4</v>
      </c>
      <c r="H112" s="268" t="str">
        <f ca="1">OFFSET(Variables_Lu!$D$10,Basic_Setup!H55,0)</f>
        <v>Nutrition-specific</v>
      </c>
      <c r="I112" s="67">
        <f t="shared" si="34"/>
        <v>0</v>
      </c>
      <c r="J112" s="154">
        <f t="shared" si="34"/>
        <v>0</v>
      </c>
      <c r="K112" s="154">
        <f t="shared" si="34"/>
        <v>0</v>
      </c>
      <c r="L112" s="154">
        <f t="shared" si="34"/>
        <v>0</v>
      </c>
      <c r="M112" s="154">
        <f t="shared" si="34"/>
        <v>0</v>
      </c>
      <c r="N112" s="154">
        <f t="shared" si="34"/>
        <v>0</v>
      </c>
    </row>
    <row r="113" spans="6:14" ht="12.6" thickBot="1" x14ac:dyDescent="0.25">
      <c r="F113" s="445"/>
      <c r="G113" s="275" t="str">
        <f>STRAT4_IND5</f>
        <v>Objetivo estratégico 4 Indicador 5</v>
      </c>
      <c r="H113" s="270" t="str">
        <f ca="1">OFFSET(Variables_Lu!$D$10,Basic_Setup!H56,0)</f>
        <v>Nutrition-specific</v>
      </c>
      <c r="I113" s="67">
        <f t="shared" si="34"/>
        <v>0</v>
      </c>
      <c r="J113" s="154">
        <f t="shared" si="34"/>
        <v>0</v>
      </c>
      <c r="K113" s="154">
        <f t="shared" si="34"/>
        <v>0</v>
      </c>
      <c r="L113" s="154">
        <f t="shared" si="34"/>
        <v>0</v>
      </c>
      <c r="M113" s="154">
        <f t="shared" si="34"/>
        <v>0</v>
      </c>
      <c r="N113" s="154">
        <f t="shared" si="34"/>
        <v>0</v>
      </c>
    </row>
    <row r="114" spans="6:14" ht="12.6" thickBot="1" x14ac:dyDescent="0.25">
      <c r="H114" s="152" t="s">
        <v>110</v>
      </c>
      <c r="I114" s="122">
        <f t="shared" si="34"/>
        <v>575854.23204527819</v>
      </c>
      <c r="J114" s="63">
        <f t="shared" si="34"/>
        <v>115170.84640905564</v>
      </c>
      <c r="K114" s="63">
        <f t="shared" si="34"/>
        <v>115170.84640905564</v>
      </c>
      <c r="L114" s="63">
        <f t="shared" si="34"/>
        <v>115170.84640905564</v>
      </c>
      <c r="M114" s="63">
        <f t="shared" si="34"/>
        <v>115170.84640905564</v>
      </c>
      <c r="N114" s="63">
        <f t="shared" si="34"/>
        <v>115170.84640905564</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67">
        <f t="shared" si="34"/>
        <v>5267.6516770958333</v>
      </c>
      <c r="J115" s="154">
        <f t="shared" si="34"/>
        <v>1053.5303354191667</v>
      </c>
      <c r="K115" s="154">
        <f t="shared" si="34"/>
        <v>1053.5303354191667</v>
      </c>
      <c r="L115" s="154">
        <f t="shared" si="34"/>
        <v>1053.5303354191667</v>
      </c>
      <c r="M115" s="154">
        <f t="shared" si="34"/>
        <v>1053.5303354191667</v>
      </c>
      <c r="N115" s="154">
        <f t="shared" si="34"/>
        <v>1053.5303354191667</v>
      </c>
    </row>
    <row r="116" spans="6:14" ht="22.8" x14ac:dyDescent="0.2">
      <c r="F116" s="444"/>
      <c r="G116" s="42" t="str">
        <f>STRAT5_IND2</f>
        <v>Se promueven dietas saludables y estilos de vida saludables para las personas.</v>
      </c>
      <c r="H116" s="268" t="str">
        <f ca="1">OFFSET(Variables_Lu!$D$10,Basic_Setup!H59,0)</f>
        <v>Nutrition-specific</v>
      </c>
      <c r="I116" s="67">
        <f t="shared" si="34"/>
        <v>5267.6516770958333</v>
      </c>
      <c r="J116" s="154">
        <f t="shared" si="34"/>
        <v>1053.5303354191667</v>
      </c>
      <c r="K116" s="154">
        <f t="shared" si="34"/>
        <v>1053.5303354191667</v>
      </c>
      <c r="L116" s="154">
        <f t="shared" si="34"/>
        <v>1053.5303354191667</v>
      </c>
      <c r="M116" s="154">
        <f t="shared" si="34"/>
        <v>1053.5303354191667</v>
      </c>
      <c r="N116" s="154">
        <f t="shared" si="34"/>
        <v>1053.5303354191667</v>
      </c>
    </row>
    <row r="117" spans="6:14" ht="22.8" x14ac:dyDescent="0.2">
      <c r="F117" s="444"/>
      <c r="G117" s="42" t="str">
        <f>STRAT5_IND3</f>
        <v>Se promueven las buenas prácticas WASH a nivel comunitario y doméstico</v>
      </c>
      <c r="H117" s="268" t="str">
        <f ca="1">OFFSET(Variables_Lu!$D$10,Basic_Setup!H60,0)</f>
        <v>Nutrition-sensitive</v>
      </c>
      <c r="I117" s="67">
        <f t="shared" si="34"/>
        <v>5267.6516770958333</v>
      </c>
      <c r="J117" s="154">
        <f t="shared" si="34"/>
        <v>1053.5303354191667</v>
      </c>
      <c r="K117" s="154">
        <f t="shared" si="34"/>
        <v>1053.5303354191667</v>
      </c>
      <c r="L117" s="154">
        <f t="shared" si="34"/>
        <v>1053.5303354191667</v>
      </c>
      <c r="M117" s="154">
        <f t="shared" si="34"/>
        <v>1053.5303354191667</v>
      </c>
      <c r="N117" s="154">
        <f t="shared" si="34"/>
        <v>1053.5303354191667</v>
      </c>
    </row>
    <row r="118" spans="6:14" ht="12" x14ac:dyDescent="0.2">
      <c r="F118" s="444"/>
      <c r="G118" s="41" t="str">
        <f>STRAT5_IND4</f>
        <v>Objetivo estratégico 5 Indicador 4</v>
      </c>
      <c r="H118" s="268" t="str">
        <f ca="1">OFFSET(Variables_Lu!$D$10,Basic_Setup!H61,0)</f>
        <v>Nutrition-specific</v>
      </c>
      <c r="I118" s="67">
        <f t="shared" si="34"/>
        <v>0</v>
      </c>
      <c r="J118" s="154">
        <f t="shared" si="34"/>
        <v>0</v>
      </c>
      <c r="K118" s="154">
        <f t="shared" si="34"/>
        <v>0</v>
      </c>
      <c r="L118" s="154">
        <f t="shared" si="34"/>
        <v>0</v>
      </c>
      <c r="M118" s="154">
        <f t="shared" si="34"/>
        <v>0</v>
      </c>
      <c r="N118" s="154">
        <f t="shared" si="34"/>
        <v>0</v>
      </c>
    </row>
    <row r="119" spans="6:14" ht="12.6" thickBot="1" x14ac:dyDescent="0.25">
      <c r="F119" s="445"/>
      <c r="G119" s="275" t="str">
        <f>STRAT5_IND5</f>
        <v>Objetivo estratégico 5 Indicador 5</v>
      </c>
      <c r="H119" s="270" t="str">
        <f ca="1">OFFSET(Variables_Lu!$D$10,Basic_Setup!H62,0)</f>
        <v>Nutrition-specific</v>
      </c>
      <c r="I119" s="67">
        <f t="shared" si="34"/>
        <v>0</v>
      </c>
      <c r="J119" s="154">
        <f t="shared" si="34"/>
        <v>0</v>
      </c>
      <c r="K119" s="154">
        <f t="shared" si="34"/>
        <v>0</v>
      </c>
      <c r="L119" s="154">
        <f t="shared" si="34"/>
        <v>0</v>
      </c>
      <c r="M119" s="154">
        <f t="shared" si="34"/>
        <v>0</v>
      </c>
      <c r="N119" s="154">
        <f t="shared" si="34"/>
        <v>0</v>
      </c>
    </row>
    <row r="120" spans="6:14" ht="12.6" thickBot="1" x14ac:dyDescent="0.25">
      <c r="H120" s="152" t="s">
        <v>111</v>
      </c>
      <c r="I120" s="122">
        <f t="shared" si="34"/>
        <v>15802.9550312875</v>
      </c>
      <c r="J120" s="63">
        <f t="shared" si="34"/>
        <v>3160.5910062574999</v>
      </c>
      <c r="K120" s="63">
        <f t="shared" si="34"/>
        <v>3160.5910062574999</v>
      </c>
      <c r="L120" s="63">
        <f t="shared" si="34"/>
        <v>3160.5910062574999</v>
      </c>
      <c r="M120" s="63">
        <f t="shared" si="34"/>
        <v>3160.5910062574999</v>
      </c>
      <c r="N120" s="63">
        <f t="shared" si="34"/>
        <v>3160.5910062574999</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67">
        <f t="shared" ref="I121:N130" si="35">I50/EXCHANGE_RATE</f>
        <v>0</v>
      </c>
      <c r="J121" s="154">
        <f t="shared" si="35"/>
        <v>0</v>
      </c>
      <c r="K121" s="154">
        <f t="shared" si="35"/>
        <v>0</v>
      </c>
      <c r="L121" s="154">
        <f t="shared" si="35"/>
        <v>0</v>
      </c>
      <c r="M121" s="154">
        <f t="shared" si="35"/>
        <v>0</v>
      </c>
      <c r="N121" s="154">
        <f t="shared" si="35"/>
        <v>0</v>
      </c>
    </row>
    <row r="122" spans="6:14" ht="12" x14ac:dyDescent="0.2">
      <c r="F122" s="444"/>
      <c r="G122" s="42" t="str">
        <f>STRAT6_IND2</f>
        <v>Objetivo estratégico 6 Indicador 2</v>
      </c>
      <c r="H122" s="268" t="str">
        <f ca="1">OFFSET(Variables_Lu!$D$10,Basic_Setup!H65,0)</f>
        <v>Nutrition-specific</v>
      </c>
      <c r="I122" s="67">
        <f t="shared" si="35"/>
        <v>0</v>
      </c>
      <c r="J122" s="154">
        <f t="shared" si="35"/>
        <v>0</v>
      </c>
      <c r="K122" s="154">
        <f t="shared" si="35"/>
        <v>0</v>
      </c>
      <c r="L122" s="154">
        <f t="shared" si="35"/>
        <v>0</v>
      </c>
      <c r="M122" s="154">
        <f t="shared" si="35"/>
        <v>0</v>
      </c>
      <c r="N122" s="154">
        <f t="shared" si="35"/>
        <v>0</v>
      </c>
    </row>
    <row r="123" spans="6:14" ht="12" x14ac:dyDescent="0.2">
      <c r="F123" s="444"/>
      <c r="G123" s="42" t="str">
        <f>STRAT6_IND3</f>
        <v>Objetivo estratégico 6 Indicador 3</v>
      </c>
      <c r="H123" s="268" t="str">
        <f ca="1">OFFSET(Variables_Lu!$D$10,Basic_Setup!H66,0)</f>
        <v>Nutrition-specific</v>
      </c>
      <c r="I123" s="67">
        <f t="shared" si="35"/>
        <v>0</v>
      </c>
      <c r="J123" s="154">
        <f t="shared" si="35"/>
        <v>0</v>
      </c>
      <c r="K123" s="154">
        <f t="shared" si="35"/>
        <v>0</v>
      </c>
      <c r="L123" s="154">
        <f t="shared" si="35"/>
        <v>0</v>
      </c>
      <c r="M123" s="154">
        <f t="shared" si="35"/>
        <v>0</v>
      </c>
      <c r="N123" s="154">
        <f t="shared" si="35"/>
        <v>0</v>
      </c>
    </row>
    <row r="124" spans="6:14" ht="12" x14ac:dyDescent="0.2">
      <c r="F124" s="444"/>
      <c r="G124" s="41" t="str">
        <f>STRAT6_IND4</f>
        <v>Objetivo estratégico 6 Indicador 4</v>
      </c>
      <c r="H124" s="268" t="str">
        <f ca="1">OFFSET(Variables_Lu!$D$10,Basic_Setup!H67,0)</f>
        <v>Nutrition-specific</v>
      </c>
      <c r="I124" s="67">
        <f t="shared" si="35"/>
        <v>0</v>
      </c>
      <c r="J124" s="154">
        <f t="shared" si="35"/>
        <v>0</v>
      </c>
      <c r="K124" s="154">
        <f t="shared" si="35"/>
        <v>0</v>
      </c>
      <c r="L124" s="154">
        <f t="shared" si="35"/>
        <v>0</v>
      </c>
      <c r="M124" s="154">
        <f t="shared" si="35"/>
        <v>0</v>
      </c>
      <c r="N124" s="154">
        <f t="shared" si="35"/>
        <v>0</v>
      </c>
    </row>
    <row r="125" spans="6:14" ht="12.6" thickBot="1" x14ac:dyDescent="0.25">
      <c r="F125" s="445"/>
      <c r="G125" s="275" t="str">
        <f>STRAT6_IND5</f>
        <v>Objetivo estratégico 6 Indicador 5</v>
      </c>
      <c r="H125" s="270" t="str">
        <f ca="1">OFFSET(Variables_Lu!$D$10,Basic_Setup!H68,0)</f>
        <v>Nutrition-specific</v>
      </c>
      <c r="I125" s="67">
        <f t="shared" si="35"/>
        <v>0</v>
      </c>
      <c r="J125" s="154">
        <f t="shared" si="35"/>
        <v>0</v>
      </c>
      <c r="K125" s="154">
        <f t="shared" si="35"/>
        <v>0</v>
      </c>
      <c r="L125" s="154">
        <f t="shared" si="35"/>
        <v>0</v>
      </c>
      <c r="M125" s="154">
        <f t="shared" si="35"/>
        <v>0</v>
      </c>
      <c r="N125" s="154">
        <f t="shared" si="35"/>
        <v>0</v>
      </c>
    </row>
    <row r="126" spans="6:14" ht="12.6" thickBot="1" x14ac:dyDescent="0.25">
      <c r="H126" s="152" t="s">
        <v>159</v>
      </c>
      <c r="I126" s="122">
        <f t="shared" si="35"/>
        <v>0</v>
      </c>
      <c r="J126" s="63">
        <f t="shared" si="35"/>
        <v>0</v>
      </c>
      <c r="K126" s="63">
        <f t="shared" si="35"/>
        <v>0</v>
      </c>
      <c r="L126" s="63">
        <f t="shared" si="35"/>
        <v>0</v>
      </c>
      <c r="M126" s="63">
        <f t="shared" si="35"/>
        <v>0</v>
      </c>
      <c r="N126" s="63">
        <f t="shared" si="35"/>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67">
        <f t="shared" si="35"/>
        <v>0</v>
      </c>
      <c r="J127" s="154">
        <f t="shared" si="35"/>
        <v>0</v>
      </c>
      <c r="K127" s="154">
        <f t="shared" si="35"/>
        <v>0</v>
      </c>
      <c r="L127" s="154">
        <f t="shared" si="35"/>
        <v>0</v>
      </c>
      <c r="M127" s="154">
        <f t="shared" si="35"/>
        <v>0</v>
      </c>
      <c r="N127" s="154">
        <f t="shared" si="35"/>
        <v>0</v>
      </c>
    </row>
    <row r="128" spans="6:14" ht="12" x14ac:dyDescent="0.2">
      <c r="F128" s="444"/>
      <c r="G128" s="42" t="str">
        <f>STRAT7_IND2</f>
        <v>Objetivo estratégico 7 Indicador 2</v>
      </c>
      <c r="H128" s="268" t="str">
        <f ca="1">OFFSET(Variables_Lu!$D$10,Basic_Setup!H71,0)</f>
        <v>Nutrition-specific</v>
      </c>
      <c r="I128" s="67">
        <f t="shared" si="35"/>
        <v>0</v>
      </c>
      <c r="J128" s="154">
        <f t="shared" si="35"/>
        <v>0</v>
      </c>
      <c r="K128" s="154">
        <f t="shared" si="35"/>
        <v>0</v>
      </c>
      <c r="L128" s="154">
        <f t="shared" si="35"/>
        <v>0</v>
      </c>
      <c r="M128" s="154">
        <f t="shared" si="35"/>
        <v>0</v>
      </c>
      <c r="N128" s="154">
        <f t="shared" si="35"/>
        <v>0</v>
      </c>
    </row>
    <row r="129" spans="6:14" ht="12" x14ac:dyDescent="0.2">
      <c r="F129" s="444"/>
      <c r="G129" s="42" t="str">
        <f>STRAT7_IND3</f>
        <v>Objetivo estratégico 7 Indicador 3</v>
      </c>
      <c r="H129" s="268" t="str">
        <f ca="1">OFFSET(Variables_Lu!$D$10,Basic_Setup!H72,0)</f>
        <v>Nutrition-specific</v>
      </c>
      <c r="I129" s="67">
        <f t="shared" si="35"/>
        <v>0</v>
      </c>
      <c r="J129" s="154">
        <f t="shared" si="35"/>
        <v>0</v>
      </c>
      <c r="K129" s="154">
        <f t="shared" si="35"/>
        <v>0</v>
      </c>
      <c r="L129" s="154">
        <f t="shared" si="35"/>
        <v>0</v>
      </c>
      <c r="M129" s="154">
        <f t="shared" si="35"/>
        <v>0</v>
      </c>
      <c r="N129" s="154">
        <f t="shared" si="35"/>
        <v>0</v>
      </c>
    </row>
    <row r="130" spans="6:14" ht="12" x14ac:dyDescent="0.2">
      <c r="F130" s="444"/>
      <c r="G130" s="41" t="str">
        <f>STRAT7_IND4</f>
        <v>Objetivo estratégico 7 Indicador 4</v>
      </c>
      <c r="H130" s="268" t="str">
        <f ca="1">OFFSET(Variables_Lu!$D$10,Basic_Setup!H73,0)</f>
        <v>Nutrition-specific</v>
      </c>
      <c r="I130" s="67">
        <f t="shared" si="35"/>
        <v>0</v>
      </c>
      <c r="J130" s="154">
        <f t="shared" si="35"/>
        <v>0</v>
      </c>
      <c r="K130" s="154">
        <f t="shared" si="35"/>
        <v>0</v>
      </c>
      <c r="L130" s="154">
        <f t="shared" si="35"/>
        <v>0</v>
      </c>
      <c r="M130" s="154">
        <f t="shared" si="35"/>
        <v>0</v>
      </c>
      <c r="N130" s="154">
        <f t="shared" si="35"/>
        <v>0</v>
      </c>
    </row>
    <row r="131" spans="6:14" ht="12.6" thickBot="1" x14ac:dyDescent="0.25">
      <c r="F131" s="445"/>
      <c r="G131" s="275" t="str">
        <f>STRAT7_IND5</f>
        <v>Objetivo estratégico 7 Indicador 5</v>
      </c>
      <c r="H131" s="270" t="str">
        <f ca="1">OFFSET(Variables_Lu!$D$10,Basic_Setup!H74,0)</f>
        <v>Nutrition-specific</v>
      </c>
      <c r="I131" s="67">
        <f t="shared" ref="I131:N140" si="36">I60/EXCHANGE_RATE</f>
        <v>0</v>
      </c>
      <c r="J131" s="154">
        <f t="shared" si="36"/>
        <v>0</v>
      </c>
      <c r="K131" s="154">
        <f t="shared" si="36"/>
        <v>0</v>
      </c>
      <c r="L131" s="154">
        <f t="shared" si="36"/>
        <v>0</v>
      </c>
      <c r="M131" s="154">
        <f t="shared" si="36"/>
        <v>0</v>
      </c>
      <c r="N131" s="154">
        <f t="shared" si="36"/>
        <v>0</v>
      </c>
    </row>
    <row r="132" spans="6:14" ht="12.6" thickBot="1" x14ac:dyDescent="0.25">
      <c r="H132" s="152" t="s">
        <v>160</v>
      </c>
      <c r="I132" s="122">
        <f t="shared" si="36"/>
        <v>0</v>
      </c>
      <c r="J132" s="63">
        <f t="shared" si="36"/>
        <v>0</v>
      </c>
      <c r="K132" s="63">
        <f t="shared" si="36"/>
        <v>0</v>
      </c>
      <c r="L132" s="63">
        <f t="shared" si="36"/>
        <v>0</v>
      </c>
      <c r="M132" s="63">
        <f t="shared" si="36"/>
        <v>0</v>
      </c>
      <c r="N132" s="63">
        <f t="shared" si="36"/>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67">
        <f t="shared" si="36"/>
        <v>0</v>
      </c>
      <c r="J133" s="154">
        <f t="shared" si="36"/>
        <v>0</v>
      </c>
      <c r="K133" s="154">
        <f t="shared" si="36"/>
        <v>0</v>
      </c>
      <c r="L133" s="154">
        <f t="shared" si="36"/>
        <v>0</v>
      </c>
      <c r="M133" s="154">
        <f t="shared" si="36"/>
        <v>0</v>
      </c>
      <c r="N133" s="154">
        <f t="shared" si="36"/>
        <v>0</v>
      </c>
    </row>
    <row r="134" spans="6:14" ht="12" x14ac:dyDescent="0.2">
      <c r="F134" s="444"/>
      <c r="G134" s="42" t="str">
        <f>STRAT8_IND2</f>
        <v>Objetivo estratégico 8 Indicador 2</v>
      </c>
      <c r="H134" s="268" t="str">
        <f ca="1">OFFSET(Variables_Lu!$D$10,Basic_Setup!H77,0)</f>
        <v>Nutrition-specific</v>
      </c>
      <c r="I134" s="67">
        <f t="shared" si="36"/>
        <v>0</v>
      </c>
      <c r="J134" s="154">
        <f t="shared" si="36"/>
        <v>0</v>
      </c>
      <c r="K134" s="154">
        <f t="shared" si="36"/>
        <v>0</v>
      </c>
      <c r="L134" s="154">
        <f t="shared" si="36"/>
        <v>0</v>
      </c>
      <c r="M134" s="154">
        <f t="shared" si="36"/>
        <v>0</v>
      </c>
      <c r="N134" s="154">
        <f t="shared" si="36"/>
        <v>0</v>
      </c>
    </row>
    <row r="135" spans="6:14" ht="12" x14ac:dyDescent="0.2">
      <c r="F135" s="444"/>
      <c r="G135" s="42" t="str">
        <f>STRAT8_IND3</f>
        <v>Objetivo estratégico 8 Indicador 3</v>
      </c>
      <c r="H135" s="268" t="str">
        <f ca="1">OFFSET(Variables_Lu!$D$10,Basic_Setup!H78,0)</f>
        <v>Nutrition-specific</v>
      </c>
      <c r="I135" s="67">
        <f t="shared" si="36"/>
        <v>0</v>
      </c>
      <c r="J135" s="154">
        <f t="shared" si="36"/>
        <v>0</v>
      </c>
      <c r="K135" s="154">
        <f t="shared" si="36"/>
        <v>0</v>
      </c>
      <c r="L135" s="154">
        <f t="shared" si="36"/>
        <v>0</v>
      </c>
      <c r="M135" s="154">
        <f t="shared" si="36"/>
        <v>0</v>
      </c>
      <c r="N135" s="154">
        <f t="shared" si="36"/>
        <v>0</v>
      </c>
    </row>
    <row r="136" spans="6:14" ht="12" x14ac:dyDescent="0.2">
      <c r="F136" s="444"/>
      <c r="G136" s="41" t="str">
        <f>STRAT8_IND4</f>
        <v>Objetivo estratégico 8 Indicador 4</v>
      </c>
      <c r="H136" s="268" t="str">
        <f ca="1">OFFSET(Variables_Lu!$D$10,Basic_Setup!H79,0)</f>
        <v>Nutrition-specific</v>
      </c>
      <c r="I136" s="67">
        <f t="shared" si="36"/>
        <v>0</v>
      </c>
      <c r="J136" s="154">
        <f t="shared" si="36"/>
        <v>0</v>
      </c>
      <c r="K136" s="154">
        <f t="shared" si="36"/>
        <v>0</v>
      </c>
      <c r="L136" s="154">
        <f t="shared" si="36"/>
        <v>0</v>
      </c>
      <c r="M136" s="154">
        <f t="shared" si="36"/>
        <v>0</v>
      </c>
      <c r="N136" s="154">
        <f t="shared" si="36"/>
        <v>0</v>
      </c>
    </row>
    <row r="137" spans="6:14" ht="12.6" thickBot="1" x14ac:dyDescent="0.25">
      <c r="F137" s="445"/>
      <c r="G137" s="275" t="str">
        <f>STRAT8_IND5</f>
        <v>Objetivo estratégico 8 Indicador 5</v>
      </c>
      <c r="H137" s="270" t="str">
        <f ca="1">OFFSET(Variables_Lu!$D$10,Basic_Setup!H80,0)</f>
        <v>Nutrition-specific</v>
      </c>
      <c r="I137" s="67">
        <f t="shared" si="36"/>
        <v>0</v>
      </c>
      <c r="J137" s="154">
        <f t="shared" si="36"/>
        <v>0</v>
      </c>
      <c r="K137" s="154">
        <f t="shared" si="36"/>
        <v>0</v>
      </c>
      <c r="L137" s="154">
        <f t="shared" si="36"/>
        <v>0</v>
      </c>
      <c r="M137" s="154">
        <f t="shared" si="36"/>
        <v>0</v>
      </c>
      <c r="N137" s="154">
        <f t="shared" si="36"/>
        <v>0</v>
      </c>
    </row>
    <row r="138" spans="6:14" ht="12.6" thickBot="1" x14ac:dyDescent="0.25">
      <c r="H138" s="152" t="s">
        <v>161</v>
      </c>
      <c r="I138" s="122">
        <f t="shared" si="36"/>
        <v>0</v>
      </c>
      <c r="J138" s="63">
        <f t="shared" si="36"/>
        <v>0</v>
      </c>
      <c r="K138" s="63">
        <f t="shared" si="36"/>
        <v>0</v>
      </c>
      <c r="L138" s="63">
        <f t="shared" si="36"/>
        <v>0</v>
      </c>
      <c r="M138" s="63">
        <f t="shared" si="36"/>
        <v>0</v>
      </c>
      <c r="N138" s="63">
        <f t="shared" si="36"/>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67">
        <f t="shared" si="36"/>
        <v>0</v>
      </c>
      <c r="J139" s="154">
        <f t="shared" si="36"/>
        <v>0</v>
      </c>
      <c r="K139" s="154">
        <f t="shared" si="36"/>
        <v>0</v>
      </c>
      <c r="L139" s="154">
        <f t="shared" si="36"/>
        <v>0</v>
      </c>
      <c r="M139" s="154">
        <f t="shared" si="36"/>
        <v>0</v>
      </c>
      <c r="N139" s="154">
        <f t="shared" si="36"/>
        <v>0</v>
      </c>
    </row>
    <row r="140" spans="6:14" ht="12" x14ac:dyDescent="0.2">
      <c r="F140" s="444"/>
      <c r="G140" s="42" t="str">
        <f>STRAT9_IND2</f>
        <v>Objetivo estratégico 9 Indicador 2</v>
      </c>
      <c r="H140" s="268" t="str">
        <f ca="1">OFFSET(Variables_Lu!$D$10,Basic_Setup!H83,0)</f>
        <v>Nutrition-specific</v>
      </c>
      <c r="I140" s="67">
        <f t="shared" si="36"/>
        <v>0</v>
      </c>
      <c r="J140" s="154">
        <f t="shared" si="36"/>
        <v>0</v>
      </c>
      <c r="K140" s="154">
        <f t="shared" si="36"/>
        <v>0</v>
      </c>
      <c r="L140" s="154">
        <f t="shared" si="36"/>
        <v>0</v>
      </c>
      <c r="M140" s="154">
        <f t="shared" si="36"/>
        <v>0</v>
      </c>
      <c r="N140" s="154">
        <f t="shared" si="36"/>
        <v>0</v>
      </c>
    </row>
    <row r="141" spans="6:14" ht="12" x14ac:dyDescent="0.2">
      <c r="F141" s="444"/>
      <c r="G141" s="42" t="str">
        <f>STRAT9_IND3</f>
        <v>Objetivo estratégico 9 Indicador 3</v>
      </c>
      <c r="H141" s="268" t="str">
        <f ca="1">OFFSET(Variables_Lu!$D$10,Basic_Setup!H84,0)</f>
        <v>Nutrition-specific</v>
      </c>
      <c r="I141" s="67">
        <f t="shared" ref="I141:N150" si="37">I70/EXCHANGE_RATE</f>
        <v>0</v>
      </c>
      <c r="J141" s="154">
        <f t="shared" si="37"/>
        <v>0</v>
      </c>
      <c r="K141" s="154">
        <f t="shared" si="37"/>
        <v>0</v>
      </c>
      <c r="L141" s="154">
        <f t="shared" si="37"/>
        <v>0</v>
      </c>
      <c r="M141" s="154">
        <f t="shared" si="37"/>
        <v>0</v>
      </c>
      <c r="N141" s="154">
        <f t="shared" si="37"/>
        <v>0</v>
      </c>
    </row>
    <row r="142" spans="6:14" ht="12" x14ac:dyDescent="0.2">
      <c r="F142" s="444"/>
      <c r="G142" s="41" t="str">
        <f>STRAT9_IND4</f>
        <v>Objetivo estratégico 9 Indicador 4</v>
      </c>
      <c r="H142" s="268" t="str">
        <f ca="1">OFFSET(Variables_Lu!$D$10,Basic_Setup!H85,0)</f>
        <v>Nutrition-specific</v>
      </c>
      <c r="I142" s="67">
        <f t="shared" si="37"/>
        <v>0</v>
      </c>
      <c r="J142" s="154">
        <f t="shared" si="37"/>
        <v>0</v>
      </c>
      <c r="K142" s="154">
        <f t="shared" si="37"/>
        <v>0</v>
      </c>
      <c r="L142" s="154">
        <f t="shared" si="37"/>
        <v>0</v>
      </c>
      <c r="M142" s="154">
        <f t="shared" si="37"/>
        <v>0</v>
      </c>
      <c r="N142" s="154">
        <f t="shared" si="37"/>
        <v>0</v>
      </c>
    </row>
    <row r="143" spans="6:14" ht="12.6" thickBot="1" x14ac:dyDescent="0.25">
      <c r="F143" s="445"/>
      <c r="G143" s="275" t="str">
        <f>STRAT9_IND5</f>
        <v>Objetivo estratégico 9 Indicador 5</v>
      </c>
      <c r="H143" s="270" t="str">
        <f ca="1">OFFSET(Variables_Lu!$D$10,Basic_Setup!H86,0)</f>
        <v>Nutrition-specific</v>
      </c>
      <c r="I143" s="67">
        <f t="shared" si="37"/>
        <v>0</v>
      </c>
      <c r="J143" s="154">
        <f t="shared" si="37"/>
        <v>0</v>
      </c>
      <c r="K143" s="154">
        <f t="shared" si="37"/>
        <v>0</v>
      </c>
      <c r="L143" s="154">
        <f t="shared" si="37"/>
        <v>0</v>
      </c>
      <c r="M143" s="154">
        <f t="shared" si="37"/>
        <v>0</v>
      </c>
      <c r="N143" s="154">
        <f t="shared" si="37"/>
        <v>0</v>
      </c>
    </row>
    <row r="144" spans="6:14" ht="12.6" thickBot="1" x14ac:dyDescent="0.25">
      <c r="H144" s="152" t="s">
        <v>162</v>
      </c>
      <c r="I144" s="122">
        <f t="shared" si="37"/>
        <v>0</v>
      </c>
      <c r="J144" s="63">
        <f t="shared" si="37"/>
        <v>0</v>
      </c>
      <c r="K144" s="63">
        <f t="shared" si="37"/>
        <v>0</v>
      </c>
      <c r="L144" s="63">
        <f t="shared" si="37"/>
        <v>0</v>
      </c>
      <c r="M144" s="63">
        <f t="shared" si="37"/>
        <v>0</v>
      </c>
      <c r="N144" s="63">
        <f t="shared" si="37"/>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67">
        <f t="shared" si="37"/>
        <v>0</v>
      </c>
      <c r="J145" s="154">
        <f t="shared" si="37"/>
        <v>0</v>
      </c>
      <c r="K145" s="154">
        <f t="shared" si="37"/>
        <v>0</v>
      </c>
      <c r="L145" s="154">
        <f t="shared" si="37"/>
        <v>0</v>
      </c>
      <c r="M145" s="154">
        <f t="shared" si="37"/>
        <v>0</v>
      </c>
      <c r="N145" s="154">
        <f t="shared" si="37"/>
        <v>0</v>
      </c>
    </row>
    <row r="146" spans="1:14" ht="12" x14ac:dyDescent="0.2">
      <c r="F146" s="444"/>
      <c r="G146" s="42" t="str">
        <f>STRAT10_IND2</f>
        <v>Objetivo estratégico 10 Indicador 2</v>
      </c>
      <c r="H146" s="268" t="str">
        <f ca="1">OFFSET(Variables_Lu!$D$10,Basic_Setup!H89,0)</f>
        <v>Nutrition-specific</v>
      </c>
      <c r="I146" s="67">
        <f t="shared" si="37"/>
        <v>0</v>
      </c>
      <c r="J146" s="154">
        <f t="shared" si="37"/>
        <v>0</v>
      </c>
      <c r="K146" s="154">
        <f t="shared" si="37"/>
        <v>0</v>
      </c>
      <c r="L146" s="154">
        <f t="shared" si="37"/>
        <v>0</v>
      </c>
      <c r="M146" s="154">
        <f t="shared" si="37"/>
        <v>0</v>
      </c>
      <c r="N146" s="154">
        <f t="shared" si="37"/>
        <v>0</v>
      </c>
    </row>
    <row r="147" spans="1:14" ht="12" x14ac:dyDescent="0.2">
      <c r="F147" s="444"/>
      <c r="G147" s="42" t="str">
        <f>STRAT10_IND3</f>
        <v>Objetivo estratégico 10 Indicador 3</v>
      </c>
      <c r="H147" s="268" t="str">
        <f ca="1">OFFSET(Variables_Lu!$D$10,Basic_Setup!H90,0)</f>
        <v>Nutrition-specific</v>
      </c>
      <c r="I147" s="67">
        <f t="shared" si="37"/>
        <v>0</v>
      </c>
      <c r="J147" s="154">
        <f t="shared" si="37"/>
        <v>0</v>
      </c>
      <c r="K147" s="154">
        <f t="shared" si="37"/>
        <v>0</v>
      </c>
      <c r="L147" s="154">
        <f t="shared" si="37"/>
        <v>0</v>
      </c>
      <c r="M147" s="154">
        <f t="shared" si="37"/>
        <v>0</v>
      </c>
      <c r="N147" s="154">
        <f t="shared" si="37"/>
        <v>0</v>
      </c>
    </row>
    <row r="148" spans="1:14" ht="12" x14ac:dyDescent="0.2">
      <c r="F148" s="444"/>
      <c r="G148" s="41" t="str">
        <f>STRAT10_IND4</f>
        <v>Objetivo estratégico 10 Indicador 4</v>
      </c>
      <c r="H148" s="268" t="str">
        <f ca="1">OFFSET(Variables_Lu!$D$10,Basic_Setup!H91,0)</f>
        <v>Nutrition-specific</v>
      </c>
      <c r="I148" s="67">
        <f t="shared" si="37"/>
        <v>0</v>
      </c>
      <c r="J148" s="154">
        <f t="shared" si="37"/>
        <v>0</v>
      </c>
      <c r="K148" s="154">
        <f t="shared" si="37"/>
        <v>0</v>
      </c>
      <c r="L148" s="154">
        <f t="shared" si="37"/>
        <v>0</v>
      </c>
      <c r="M148" s="154">
        <f t="shared" si="37"/>
        <v>0</v>
      </c>
      <c r="N148" s="154">
        <f t="shared" si="37"/>
        <v>0</v>
      </c>
    </row>
    <row r="149" spans="1:14" ht="12.6" thickBot="1" x14ac:dyDescent="0.25">
      <c r="F149" s="445"/>
      <c r="G149" s="275" t="str">
        <f>STRAT10_IND5</f>
        <v>Objetivo estratégico 10 Indicador 5</v>
      </c>
      <c r="H149" s="270" t="str">
        <f ca="1">OFFSET(Variables_Lu!$D$10,Basic_Setup!H92,0)</f>
        <v>Nutrition-specific</v>
      </c>
      <c r="I149" s="67">
        <f t="shared" si="37"/>
        <v>0</v>
      </c>
      <c r="J149" s="154">
        <f t="shared" si="37"/>
        <v>0</v>
      </c>
      <c r="K149" s="154">
        <f t="shared" si="37"/>
        <v>0</v>
      </c>
      <c r="L149" s="154">
        <f t="shared" si="37"/>
        <v>0</v>
      </c>
      <c r="M149" s="154">
        <f t="shared" si="37"/>
        <v>0</v>
      </c>
      <c r="N149" s="154">
        <f t="shared" si="37"/>
        <v>0</v>
      </c>
    </row>
    <row r="150" spans="1:14" ht="12" x14ac:dyDescent="0.2">
      <c r="H150" s="152" t="s">
        <v>163</v>
      </c>
      <c r="I150" s="122">
        <f t="shared" si="37"/>
        <v>0</v>
      </c>
      <c r="J150" s="63">
        <f t="shared" si="37"/>
        <v>0</v>
      </c>
      <c r="K150" s="63">
        <f t="shared" si="37"/>
        <v>0</v>
      </c>
      <c r="L150" s="63">
        <f t="shared" si="37"/>
        <v>0</v>
      </c>
      <c r="M150" s="63">
        <f t="shared" si="37"/>
        <v>0</v>
      </c>
      <c r="N150" s="63">
        <f t="shared" si="37"/>
        <v>0</v>
      </c>
    </row>
    <row r="151" spans="1:14" x14ac:dyDescent="0.2">
      <c r="I151" s="231"/>
      <c r="J151" s="231"/>
      <c r="K151" s="231"/>
      <c r="L151" s="231"/>
      <c r="M151" s="231"/>
      <c r="N151" s="231"/>
    </row>
    <row r="152" spans="1:14" ht="12.6" thickBot="1" x14ac:dyDescent="0.25">
      <c r="H152" s="149" t="str">
        <f>"TOTAL - "&amp;$F$12</f>
        <v>TOTAL - Ministerio de Energía y Minas</v>
      </c>
      <c r="I152" s="65">
        <f t="shared" ref="I152:N152" si="38">I81/EXCHANGE_RATE</f>
        <v>1362323.7095937501</v>
      </c>
      <c r="J152" s="65">
        <f t="shared" si="38"/>
        <v>272464.74191875005</v>
      </c>
      <c r="K152" s="65">
        <f t="shared" si="38"/>
        <v>272464.74191875005</v>
      </c>
      <c r="L152" s="65">
        <f t="shared" si="38"/>
        <v>272464.74191875005</v>
      </c>
      <c r="M152" s="65">
        <f t="shared" si="38"/>
        <v>272464.74191875005</v>
      </c>
      <c r="N152" s="65">
        <f t="shared" si="38"/>
        <v>272464.74191875005</v>
      </c>
    </row>
    <row r="153" spans="1:14" ht="12" x14ac:dyDescent="0.2">
      <c r="I153" s="149"/>
    </row>
    <row r="155" spans="1:14" x14ac:dyDescent="0.2">
      <c r="A155" s="39" t="s">
        <v>76</v>
      </c>
      <c r="B155" s="40" t="str">
        <f>"Summary of "&amp;Government2&amp;" - by Result/Indicator Type"</f>
        <v>Summary of Ministerio de Energía y Minas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f ca="1">I159/$I$162</f>
        <v>0.58216666666666672</v>
      </c>
      <c r="I159" s="68">
        <f ca="1">SUM(J159:N159)</f>
        <v>1427579015.2832911</v>
      </c>
      <c r="J159" s="325">
        <f t="shared" ref="J159:N161" ca="1" si="39">J166*EXCHANGE_RATE</f>
        <v>285515803.05665821</v>
      </c>
      <c r="K159" s="325">
        <f t="shared" ca="1" si="39"/>
        <v>285515803.05665821</v>
      </c>
      <c r="L159" s="325">
        <f t="shared" ca="1" si="39"/>
        <v>285515803.05665821</v>
      </c>
      <c r="M159" s="325">
        <f t="shared" ca="1" si="39"/>
        <v>285515803.05665821</v>
      </c>
      <c r="N159" s="325">
        <f t="shared" ca="1" si="39"/>
        <v>285515803.05665821</v>
      </c>
    </row>
    <row r="160" spans="1:14" ht="12" x14ac:dyDescent="0.2">
      <c r="F160" s="38" t="str">
        <f>Lu_Nutrition_Sensitive</f>
        <v>Nutrition-sensitive</v>
      </c>
      <c r="G160" s="38"/>
      <c r="H160" s="289">
        <f t="shared" ref="H160:H161" ca="1" si="40">I160/$I$162</f>
        <v>0.41623333333333329</v>
      </c>
      <c r="I160" s="69">
        <f ca="1">SUM(J160:N160)</f>
        <v>1020680169.7018296</v>
      </c>
      <c r="J160" s="325">
        <f t="shared" ca="1" si="39"/>
        <v>204136033.94036591</v>
      </c>
      <c r="K160" s="325">
        <f t="shared" ca="1" si="39"/>
        <v>204136033.94036591</v>
      </c>
      <c r="L160" s="325">
        <f t="shared" ca="1" si="39"/>
        <v>204136033.94036591</v>
      </c>
      <c r="M160" s="325">
        <f t="shared" ca="1" si="39"/>
        <v>204136033.94036591</v>
      </c>
      <c r="N160" s="325">
        <f t="shared" ca="1" si="39"/>
        <v>204136033.94036591</v>
      </c>
    </row>
    <row r="161" spans="6:14" ht="12" x14ac:dyDescent="0.2">
      <c r="F161" s="38" t="str">
        <f>Lu_Governance</f>
        <v>Governance</v>
      </c>
      <c r="G161" s="38"/>
      <c r="H161" s="289">
        <f t="shared" ca="1" si="40"/>
        <v>1.5999999999999996E-3</v>
      </c>
      <c r="I161" s="69">
        <f ca="1">SUM(J161:N161)</f>
        <v>3923492.2836300004</v>
      </c>
      <c r="J161" s="325">
        <f t="shared" ca="1" si="39"/>
        <v>784698.45672600006</v>
      </c>
      <c r="K161" s="325">
        <f t="shared" ca="1" si="39"/>
        <v>784698.45672600006</v>
      </c>
      <c r="L161" s="325">
        <f t="shared" ca="1" si="39"/>
        <v>784698.45672600006</v>
      </c>
      <c r="M161" s="325">
        <f t="shared" ca="1" si="39"/>
        <v>784698.45672600006</v>
      </c>
      <c r="N161" s="325">
        <f t="shared" ca="1" si="39"/>
        <v>784698.45672600006</v>
      </c>
    </row>
    <row r="162" spans="6:14" ht="12" x14ac:dyDescent="0.2">
      <c r="F162" s="324" t="str">
        <f>"TOTAL - "&amp;Summary_Govt_Contributions!$F$12&amp;" ("&amp;CURR_LCU_ABBR&amp;")"</f>
        <v>TOTAL - TODAS las contribuciones de las agencias gubernamentales (GOZ)</v>
      </c>
      <c r="G162" s="74"/>
      <c r="H162" s="291">
        <f ca="1">SUM(H159:H161)</f>
        <v>1</v>
      </c>
      <c r="I162" s="57">
        <f ca="1">SUM(J162:N162)</f>
        <v>2452182677.2687507</v>
      </c>
      <c r="J162" s="55">
        <f ca="1">SUM(J159:J161)</f>
        <v>490436535.45375013</v>
      </c>
      <c r="K162" s="55">
        <f t="shared" ref="K162:N162" ca="1" si="41">SUM(K159:K161)</f>
        <v>490436535.45375013</v>
      </c>
      <c r="L162" s="55">
        <f t="shared" ca="1" si="41"/>
        <v>490436535.45375013</v>
      </c>
      <c r="M162" s="55">
        <f t="shared" ca="1" si="41"/>
        <v>490436535.45375013</v>
      </c>
      <c r="N162" s="55">
        <f t="shared" ca="1" si="41"/>
        <v>490436535.45375013</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f ca="1">I166/$I$169</f>
        <v>0.58216666666666672</v>
      </c>
      <c r="I166" s="404">
        <f ca="1">SUM(J166:N166)</f>
        <v>793099.45293516165</v>
      </c>
      <c r="J166" s="405">
        <f ca="1">SUMIF($H$91:$H$149,Lu_Nutrition_Specific,J$91:J$149)</f>
        <v>158619.89058703234</v>
      </c>
      <c r="K166" s="405">
        <f ca="1">SUMIF($H$91:$H$149,Lu_Nutrition_Specific,K$91:K$149)</f>
        <v>158619.89058703234</v>
      </c>
      <c r="L166" s="405">
        <f ca="1">SUMIF($H$91:$H$149,Lu_Nutrition_Specific,L$91:L$149)</f>
        <v>158619.89058703234</v>
      </c>
      <c r="M166" s="405">
        <f ca="1">SUMIF($H$91:$H$149,Lu_Nutrition_Specific,M$91:M$149)</f>
        <v>158619.89058703234</v>
      </c>
      <c r="N166" s="405">
        <f ca="1">SUMIF($H$91:$H$149,Lu_Nutrition_Specific,N$91:N$149)</f>
        <v>158619.89058703234</v>
      </c>
    </row>
    <row r="167" spans="6:14" ht="12" x14ac:dyDescent="0.2">
      <c r="F167" t="str">
        <f>Lu_Nutrition_Sensitive</f>
        <v>Nutrition-sensitive</v>
      </c>
      <c r="H167" s="289">
        <f t="shared" ref="H167:H168" ca="1" si="42">I167/$I$169</f>
        <v>0.41623333333333329</v>
      </c>
      <c r="I167" s="404">
        <f t="shared" ref="I167:I168" ca="1" si="43">SUM(J167:N167)</f>
        <v>567044.53872323863</v>
      </c>
      <c r="J167" s="405">
        <f ca="1">SUMIF($H$91:$H$149,Lu_Nutrition_Sensitive,J$91:J$149)</f>
        <v>113408.90774464773</v>
      </c>
      <c r="K167" s="405">
        <f ca="1">SUMIF($H$91:$H$149,Lu_Nutrition_Sensitive,K$91:K$149)</f>
        <v>113408.90774464773</v>
      </c>
      <c r="L167" s="405">
        <f ca="1">SUMIF($H$91:$H$149,Lu_Nutrition_Sensitive,L$91:L$149)</f>
        <v>113408.90774464773</v>
      </c>
      <c r="M167" s="405">
        <f ca="1">SUMIF($H$91:$H$149,Lu_Nutrition_Sensitive,M$91:M$149)</f>
        <v>113408.90774464773</v>
      </c>
      <c r="N167" s="405">
        <f ca="1">SUMIF($H$91:$H$149,Lu_Nutrition_Sensitive,N$91:N$149)</f>
        <v>113408.90774464773</v>
      </c>
    </row>
    <row r="168" spans="6:14" ht="12" x14ac:dyDescent="0.2">
      <c r="F168" t="str">
        <f>Lu_Governance</f>
        <v>Governance</v>
      </c>
      <c r="H168" s="289">
        <f t="shared" ca="1" si="42"/>
        <v>1.5999999999999996E-3</v>
      </c>
      <c r="I168" s="404">
        <f t="shared" ca="1" si="43"/>
        <v>2179.7179353500001</v>
      </c>
      <c r="J168" s="405">
        <f ca="1">SUMIF($H$91:$H$149,Lu_Governance,J$91:J$149)</f>
        <v>435.94358707000004</v>
      </c>
      <c r="K168" s="405">
        <f ca="1">SUMIF($H$91:$H$149,Lu_Governance,K$91:K$149)</f>
        <v>435.94358707000004</v>
      </c>
      <c r="L168" s="405">
        <f ca="1">SUMIF($H$91:$H$149,Lu_Governance,L$91:L$149)</f>
        <v>435.94358707000004</v>
      </c>
      <c r="M168" s="405">
        <f ca="1">SUMIF($H$91:$H$149,Lu_Governance,M$91:M$149)</f>
        <v>435.94358707000004</v>
      </c>
      <c r="N168" s="405">
        <f ca="1">SUMIF($H$91:$H$149,Lu_Governance,N$91:N$149)</f>
        <v>435.94358707000004</v>
      </c>
    </row>
    <row r="169" spans="6:14" ht="12" x14ac:dyDescent="0.2">
      <c r="F169" s="324" t="str">
        <f>"TOTAL - "&amp;Summary_Govt_Contributions!$F$12&amp;" ("&amp;CURR_INT_ABBR&amp;")"</f>
        <v>TOTAL - TODAS las contribuciones de las agencias gubernamentales (USD)</v>
      </c>
      <c r="G169" s="74"/>
      <c r="H169" s="291">
        <f ca="1">SUM(H166:H168)</f>
        <v>1</v>
      </c>
      <c r="I169" s="295">
        <f ca="1">SUM(J169:N169)</f>
        <v>1362323.7095937503</v>
      </c>
      <c r="J169" s="55">
        <f ca="1">SUM(J166:J168)</f>
        <v>272464.74191875005</v>
      </c>
      <c r="K169" s="55">
        <f t="shared" ref="K169:N169" ca="1" si="44">SUM(K166:K168)</f>
        <v>272464.74191875005</v>
      </c>
      <c r="L169" s="55">
        <f t="shared" ca="1" si="44"/>
        <v>272464.74191875005</v>
      </c>
      <c r="M169" s="55">
        <f t="shared" ca="1" si="44"/>
        <v>272464.74191875005</v>
      </c>
      <c r="N169" s="55">
        <f t="shared" ca="1" si="44"/>
        <v>272464.74191875005</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4 J74:N78 J26:N30 J32:N36 J38:N42 J50:N54 J56:N60 J62:N66 J68:N72 J145:N149 J139:N143 J127:N131 J133:N137 J115:N119 J109:N113 J103:N107 J121:N125 J91:N95 J97:N101 J44:N48" xr:uid="{00000000-0002-0000-0C00-000000000000}">
      <formula1>NOT(ISERROR(J20/1))</formula1>
    </dataValidation>
  </dataValidations>
  <hyperlinks>
    <hyperlink ref="A4" r:id="rId1" tooltip="Go to Top of Sheet" xr:uid="{00000000-0004-0000-0C00-000000000000}"/>
    <hyperlink ref="B4" location="Government1!HL_Sheet_Main_13" tooltip="Go to Previous Sheet" display="ç" xr:uid="{00000000-0004-0000-0C00-000001000000}"/>
    <hyperlink ref="C4" location="HL_Sheet_Main_22" tooltip="Go to Next Sheet" display="è" xr:uid="{00000000-0004-0000-0C00-000002000000}"/>
    <hyperlink ref="B3" location="HL_Home" tooltip="Go to Table of Contents" display="Go to Table of Contents" xr:uid="{00000000-0004-0000-0C00-000003000000}"/>
    <hyperlink ref="A14" location="Summary_Govt_Contributions!B14" tooltip="Click to follow hyperlink." display="ð" xr:uid="{00000000-0004-0000-0C00-000004000000}"/>
    <hyperlink ref="A155" location="Summary_Govt_Contributions!B14" tooltip="Click to follow hyperlink." display="ð" xr:uid="{00000000-0004-0000-0C00-000005000000}"/>
  </hyperlinks>
  <pageMargins left="0.4" right="0.4" top="0.6" bottom="1" header="0" footer="0.3"/>
  <pageSetup orientation="landscape" r:id="rId2"/>
  <headerFooter>
    <oddFooter>&amp;L&amp;F
&amp;A
Printed: &amp;T on &amp;D&amp;C&amp;",Bold"Sheet 2.d.
Page &amp;P of &amp;N</oddFooter>
  </headerFooter>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N169"/>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2.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Government3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F12" s="276" t="str">
        <f>Government3</f>
        <v>Ministerio de Educación Nacional, de Educación Superior e Investigación Científica</v>
      </c>
      <c r="G12" s="60"/>
    </row>
    <row r="13" spans="1:14" s="38" customFormat="1" x14ac:dyDescent="0.2">
      <c r="G13"/>
    </row>
    <row r="14" spans="1:14" s="38" customFormat="1" x14ac:dyDescent="0.2">
      <c r="A14" s="39" t="s">
        <v>76</v>
      </c>
      <c r="B14" s="40" t="str">
        <f>"Planned Annual Contributions by "&amp;Government3&amp;" - by Strategic Objective and Result/Indicator"</f>
        <v>Planned Annual Contributions by Ministerio de Educación Nacional, de Educación Superior e Investigación Científica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253" t="s">
        <v>106</v>
      </c>
      <c r="J19" s="54" t="str">
        <f>CURR_LCU_ABBR</f>
        <v>GOZ</v>
      </c>
      <c r="K19" s="54" t="str">
        <f>CURR_LCU_ABBR</f>
        <v>GOZ</v>
      </c>
      <c r="L19" s="54" t="str">
        <f>CURR_LCU_ABBR</f>
        <v>GOZ</v>
      </c>
      <c r="M19" s="54" t="str">
        <f>CURR_LCU_ABBR</f>
        <v>GOZ</v>
      </c>
      <c r="N19" s="54" t="str">
        <f>CURR_LCU_ABBR</f>
        <v>GOZ</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262">
        <f>SUM(J20:N20)</f>
        <v>2574000</v>
      </c>
      <c r="J20" s="37">
        <f>1287000000*0.16%/4</f>
        <v>514800</v>
      </c>
      <c r="K20" s="383">
        <f t="shared" ref="K20:N20" si="2">1287000000*0.16%/4</f>
        <v>514800</v>
      </c>
      <c r="L20" s="383">
        <f t="shared" si="2"/>
        <v>514800</v>
      </c>
      <c r="M20" s="383">
        <f t="shared" si="2"/>
        <v>514800</v>
      </c>
      <c r="N20" s="383">
        <f t="shared" si="2"/>
        <v>514800</v>
      </c>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262">
        <f t="shared" ref="I21:I24" si="3">SUM(J21:N21)</f>
        <v>2574000</v>
      </c>
      <c r="J21" s="383">
        <f t="shared" ref="J21:N23" si="4">1287000000*0.16%/4</f>
        <v>514800</v>
      </c>
      <c r="K21" s="383">
        <f t="shared" si="4"/>
        <v>514800</v>
      </c>
      <c r="L21" s="383">
        <f t="shared" si="4"/>
        <v>514800</v>
      </c>
      <c r="M21" s="383">
        <f t="shared" si="4"/>
        <v>514800</v>
      </c>
      <c r="N21" s="383">
        <f t="shared" si="4"/>
        <v>514800</v>
      </c>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262">
        <f t="shared" si="3"/>
        <v>2574000</v>
      </c>
      <c r="J22" s="383">
        <f t="shared" si="4"/>
        <v>514800</v>
      </c>
      <c r="K22" s="383">
        <f t="shared" si="4"/>
        <v>514800</v>
      </c>
      <c r="L22" s="383">
        <f t="shared" si="4"/>
        <v>514800</v>
      </c>
      <c r="M22" s="383">
        <f t="shared" si="4"/>
        <v>514800</v>
      </c>
      <c r="N22" s="383">
        <f t="shared" si="4"/>
        <v>514800</v>
      </c>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262">
        <f t="shared" si="3"/>
        <v>2574000</v>
      </c>
      <c r="J23" s="383">
        <f t="shared" si="4"/>
        <v>514800</v>
      </c>
      <c r="K23" s="383">
        <f t="shared" si="4"/>
        <v>514800</v>
      </c>
      <c r="L23" s="383">
        <f t="shared" si="4"/>
        <v>514800</v>
      </c>
      <c r="M23" s="383">
        <f t="shared" si="4"/>
        <v>514800</v>
      </c>
      <c r="N23" s="383">
        <f t="shared" si="4"/>
        <v>514800</v>
      </c>
    </row>
    <row r="24" spans="6:14" s="38" customFormat="1" ht="12" x14ac:dyDescent="0.2">
      <c r="F24" s="448"/>
      <c r="G24" s="41" t="str">
        <f>STRAT1_IND5</f>
        <v>Objetivo estratégico 1 Indicador 5</v>
      </c>
      <c r="H24" s="260" t="str">
        <f ca="1">OFFSET(Variables_Lu!$D$10,Basic_Setup!H38,0)</f>
        <v>Governance</v>
      </c>
      <c r="I24" s="262">
        <f t="shared" si="3"/>
        <v>0</v>
      </c>
      <c r="J24" s="383">
        <v>0</v>
      </c>
      <c r="K24" s="383">
        <v>0</v>
      </c>
      <c r="L24" s="383">
        <v>0</v>
      </c>
      <c r="M24" s="383">
        <v>0</v>
      </c>
      <c r="N24" s="383">
        <v>0</v>
      </c>
    </row>
    <row r="25" spans="6:14" s="38" customFormat="1" ht="12" x14ac:dyDescent="0.2">
      <c r="H25" s="152" t="s">
        <v>107</v>
      </c>
      <c r="I25" s="265">
        <f>SUM(I20:I24)</f>
        <v>10296000</v>
      </c>
      <c r="J25" s="265">
        <f t="shared" ref="J25:N25" si="5">SUM(J20:J24)</f>
        <v>2059200</v>
      </c>
      <c r="K25" s="265">
        <f t="shared" si="5"/>
        <v>2059200</v>
      </c>
      <c r="L25" s="265">
        <f t="shared" si="5"/>
        <v>2059200</v>
      </c>
      <c r="M25" s="265">
        <f t="shared" si="5"/>
        <v>2059200</v>
      </c>
      <c r="N25" s="265">
        <f t="shared" si="5"/>
        <v>2059200</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262">
        <f>SUM(J26:N26)</f>
        <v>136207500</v>
      </c>
      <c r="J26" s="382">
        <f>1287000000*6.35%/3</f>
        <v>27241500</v>
      </c>
      <c r="K26" s="383">
        <f t="shared" ref="K26:N26" si="6">1287000000*6.35%/3</f>
        <v>27241500</v>
      </c>
      <c r="L26" s="383">
        <f t="shared" si="6"/>
        <v>27241500</v>
      </c>
      <c r="M26" s="383">
        <f t="shared" si="6"/>
        <v>27241500</v>
      </c>
      <c r="N26" s="383">
        <f t="shared" si="6"/>
        <v>27241500</v>
      </c>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262">
        <f t="shared" ref="I27:I30" si="7">SUM(J27:N27)</f>
        <v>136207500</v>
      </c>
      <c r="J27" s="383">
        <f t="shared" ref="J27:N28" si="8">1287000000*6.35%/3</f>
        <v>27241500</v>
      </c>
      <c r="K27" s="383">
        <f t="shared" si="8"/>
        <v>27241500</v>
      </c>
      <c r="L27" s="383">
        <f t="shared" si="8"/>
        <v>27241500</v>
      </c>
      <c r="M27" s="383">
        <f t="shared" si="8"/>
        <v>27241500</v>
      </c>
      <c r="N27" s="383">
        <f t="shared" si="8"/>
        <v>27241500</v>
      </c>
    </row>
    <row r="28" spans="6:14" s="38" customFormat="1" ht="22.8" x14ac:dyDescent="0.2">
      <c r="F28" s="447"/>
      <c r="G28" s="42" t="str">
        <f>STRAT2_IND3</f>
        <v>Se refuerzan las intervenciones comunitarias en materia de nutrición.</v>
      </c>
      <c r="H28" s="260" t="str">
        <f ca="1">OFFSET(Variables_Lu!$D$10,Basic_Setup!H42,0)</f>
        <v>Nutrition-specific</v>
      </c>
      <c r="I28" s="262">
        <f t="shared" si="7"/>
        <v>136207500</v>
      </c>
      <c r="J28" s="383">
        <f t="shared" si="8"/>
        <v>27241500</v>
      </c>
      <c r="K28" s="383">
        <f t="shared" si="8"/>
        <v>27241500</v>
      </c>
      <c r="L28" s="383">
        <f t="shared" si="8"/>
        <v>27241500</v>
      </c>
      <c r="M28" s="383">
        <f t="shared" si="8"/>
        <v>27241500</v>
      </c>
      <c r="N28" s="383">
        <f t="shared" si="8"/>
        <v>27241500</v>
      </c>
    </row>
    <row r="29" spans="6:14" s="38" customFormat="1" ht="12" x14ac:dyDescent="0.2">
      <c r="F29" s="447"/>
      <c r="G29" s="41" t="str">
        <f>STRAT2_IND4</f>
        <v>Objetivo estratégico 2 Indicador 4</v>
      </c>
      <c r="H29" s="260" t="str">
        <f ca="1">OFFSET(Variables_Lu!$D$10,Basic_Setup!H43,0)</f>
        <v>Nutrition-specific</v>
      </c>
      <c r="I29" s="262">
        <f t="shared" si="7"/>
        <v>0</v>
      </c>
      <c r="J29" s="383">
        <v>0</v>
      </c>
      <c r="K29" s="383">
        <v>0</v>
      </c>
      <c r="L29" s="383">
        <v>0</v>
      </c>
      <c r="M29" s="383">
        <v>0</v>
      </c>
      <c r="N29" s="383">
        <v>0</v>
      </c>
    </row>
    <row r="30" spans="6:14" s="38" customFormat="1" ht="12" x14ac:dyDescent="0.2">
      <c r="F30" s="448"/>
      <c r="G30" s="41" t="str">
        <f>STRAT2_IND5</f>
        <v>Objetivo estratégico 2 Indicador 5</v>
      </c>
      <c r="H30" s="260" t="str">
        <f ca="1">OFFSET(Variables_Lu!$D$10,Basic_Setup!H44,0)</f>
        <v>Nutrition-specific</v>
      </c>
      <c r="I30" s="262">
        <f t="shared" si="7"/>
        <v>0</v>
      </c>
      <c r="J30" s="383">
        <v>0</v>
      </c>
      <c r="K30" s="383">
        <v>0</v>
      </c>
      <c r="L30" s="383">
        <v>0</v>
      </c>
      <c r="M30" s="383">
        <v>0</v>
      </c>
      <c r="N30" s="383">
        <v>0</v>
      </c>
    </row>
    <row r="31" spans="6:14" s="38" customFormat="1" ht="12" x14ac:dyDescent="0.2">
      <c r="H31" s="152" t="s">
        <v>108</v>
      </c>
      <c r="I31" s="265">
        <f>SUM(I26:I30)</f>
        <v>408622500</v>
      </c>
      <c r="J31" s="265">
        <f t="shared" ref="J31:N31" si="9">SUM(J26:J30)</f>
        <v>81724500</v>
      </c>
      <c r="K31" s="265">
        <f t="shared" si="9"/>
        <v>81724500</v>
      </c>
      <c r="L31" s="265">
        <f t="shared" si="9"/>
        <v>81724500</v>
      </c>
      <c r="M31" s="265">
        <f t="shared" si="9"/>
        <v>81724500</v>
      </c>
      <c r="N31" s="265">
        <f t="shared" si="9"/>
        <v>81724500</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262">
        <f>SUM(J32:N32)</f>
        <v>1610680500</v>
      </c>
      <c r="J32" s="382">
        <f>1287000000*50.06%/2</f>
        <v>322136100</v>
      </c>
      <c r="K32" s="383">
        <f t="shared" ref="K32:N33" si="10">1287000000*50.06%/2</f>
        <v>322136100</v>
      </c>
      <c r="L32" s="383">
        <f t="shared" si="10"/>
        <v>322136100</v>
      </c>
      <c r="M32" s="383">
        <f t="shared" si="10"/>
        <v>322136100</v>
      </c>
      <c r="N32" s="383">
        <f t="shared" si="10"/>
        <v>322136100</v>
      </c>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262">
        <f t="shared" ref="I33:I36" si="11">SUM(J33:N33)</f>
        <v>1610680500</v>
      </c>
      <c r="J33" s="383">
        <f>1287000000*50.06%/2</f>
        <v>322136100</v>
      </c>
      <c r="K33" s="383">
        <f t="shared" si="10"/>
        <v>322136100</v>
      </c>
      <c r="L33" s="383">
        <f t="shared" si="10"/>
        <v>322136100</v>
      </c>
      <c r="M33" s="383">
        <f t="shared" si="10"/>
        <v>322136100</v>
      </c>
      <c r="N33" s="383">
        <f t="shared" si="10"/>
        <v>322136100</v>
      </c>
    </row>
    <row r="34" spans="6:14" s="38" customFormat="1" ht="12" x14ac:dyDescent="0.2">
      <c r="F34" s="447"/>
      <c r="G34" s="42" t="str">
        <f>STRAT3_IND3</f>
        <v>Objetivo estratégico 3 Indicador 3</v>
      </c>
      <c r="H34" s="260" t="str">
        <f ca="1">OFFSET(Variables_Lu!$D$10,Basic_Setup!H48,0)</f>
        <v>Nutrition-specific</v>
      </c>
      <c r="I34" s="262">
        <f t="shared" si="11"/>
        <v>0</v>
      </c>
      <c r="J34" s="383">
        <v>0</v>
      </c>
      <c r="K34" s="383">
        <v>0</v>
      </c>
      <c r="L34" s="383">
        <v>0</v>
      </c>
      <c r="M34" s="383">
        <v>0</v>
      </c>
      <c r="N34" s="383">
        <v>0</v>
      </c>
    </row>
    <row r="35" spans="6:14" s="38" customFormat="1" ht="12" x14ac:dyDescent="0.2">
      <c r="F35" s="447"/>
      <c r="G35" s="41" t="str">
        <f>STRAT3_IND4</f>
        <v>Objetivo estratégico 3 Indicador 4</v>
      </c>
      <c r="H35" s="260" t="str">
        <f ca="1">OFFSET(Variables_Lu!$D$10,Basic_Setup!H49,0)</f>
        <v>Nutrition-specific</v>
      </c>
      <c r="I35" s="262">
        <f t="shared" si="11"/>
        <v>0</v>
      </c>
      <c r="J35" s="383">
        <v>0</v>
      </c>
      <c r="K35" s="383">
        <v>0</v>
      </c>
      <c r="L35" s="383">
        <v>0</v>
      </c>
      <c r="M35" s="383">
        <v>0</v>
      </c>
      <c r="N35" s="383">
        <v>0</v>
      </c>
    </row>
    <row r="36" spans="6:14" s="38" customFormat="1" ht="12" x14ac:dyDescent="0.2">
      <c r="F36" s="448"/>
      <c r="G36" s="41" t="str">
        <f>STRAT3_IND5</f>
        <v>Objetivo estratégico 3 Indicador 5</v>
      </c>
      <c r="H36" s="260" t="str">
        <f ca="1">OFFSET(Variables_Lu!$D$10,Basic_Setup!H50,0)</f>
        <v>Nutrition-specific</v>
      </c>
      <c r="I36" s="262">
        <f t="shared" si="11"/>
        <v>0</v>
      </c>
      <c r="J36" s="383">
        <v>0</v>
      </c>
      <c r="K36" s="383">
        <v>0</v>
      </c>
      <c r="L36" s="383">
        <v>0</v>
      </c>
      <c r="M36" s="383">
        <v>0</v>
      </c>
      <c r="N36" s="383">
        <v>0</v>
      </c>
    </row>
    <row r="37" spans="6:14" ht="12" x14ac:dyDescent="0.2">
      <c r="H37" s="152" t="s">
        <v>109</v>
      </c>
      <c r="I37" s="265">
        <f>SUM(I32:I36)</f>
        <v>3221361000</v>
      </c>
      <c r="J37" s="265">
        <f t="shared" ref="J37:N37" si="12">SUM(J32:J36)</f>
        <v>644272200</v>
      </c>
      <c r="K37" s="265">
        <f t="shared" si="12"/>
        <v>644272200</v>
      </c>
      <c r="L37" s="265">
        <f t="shared" si="12"/>
        <v>644272200</v>
      </c>
      <c r="M37" s="265">
        <f t="shared" si="12"/>
        <v>644272200</v>
      </c>
      <c r="N37" s="265">
        <f t="shared" si="12"/>
        <v>644272200</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262">
        <f>SUM(J38:N38)</f>
        <v>906691500</v>
      </c>
      <c r="J38" s="382">
        <f>1287000000*42.27%/3</f>
        <v>181338300</v>
      </c>
      <c r="K38" s="383">
        <f t="shared" ref="K38:N38" si="13">1287000000*42.27%/3</f>
        <v>181338300</v>
      </c>
      <c r="L38" s="383">
        <f t="shared" si="13"/>
        <v>181338300</v>
      </c>
      <c r="M38" s="383">
        <f t="shared" si="13"/>
        <v>181338300</v>
      </c>
      <c r="N38" s="383">
        <f t="shared" si="13"/>
        <v>181338300</v>
      </c>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262">
        <f t="shared" ref="I39:I42" si="14">SUM(J39:N39)</f>
        <v>906691500</v>
      </c>
      <c r="J39" s="383">
        <f t="shared" ref="J39:N40" si="15">1287000000*42.27%/3</f>
        <v>181338300</v>
      </c>
      <c r="K39" s="383">
        <f t="shared" si="15"/>
        <v>181338300</v>
      </c>
      <c r="L39" s="383">
        <f t="shared" si="15"/>
        <v>181338300</v>
      </c>
      <c r="M39" s="383">
        <f t="shared" si="15"/>
        <v>181338300</v>
      </c>
      <c r="N39" s="383">
        <f t="shared" si="15"/>
        <v>181338300</v>
      </c>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262">
        <f t="shared" si="14"/>
        <v>906691500</v>
      </c>
      <c r="J40" s="383">
        <f t="shared" si="15"/>
        <v>181338300</v>
      </c>
      <c r="K40" s="383">
        <f t="shared" si="15"/>
        <v>181338300</v>
      </c>
      <c r="L40" s="383">
        <f t="shared" si="15"/>
        <v>181338300</v>
      </c>
      <c r="M40" s="383">
        <f t="shared" si="15"/>
        <v>181338300</v>
      </c>
      <c r="N40" s="383">
        <f t="shared" si="15"/>
        <v>181338300</v>
      </c>
    </row>
    <row r="41" spans="6:14" ht="12" x14ac:dyDescent="0.2">
      <c r="F41" s="447"/>
      <c r="G41" s="41" t="str">
        <f>STRAT4_IND4</f>
        <v>Objetivo estratégico 4 Indicador 4</v>
      </c>
      <c r="H41" s="260" t="str">
        <f ca="1">OFFSET(Variables_Lu!$D$10,Basic_Setup!H55,0)</f>
        <v>Nutrition-specific</v>
      </c>
      <c r="I41" s="262">
        <f t="shared" si="14"/>
        <v>0</v>
      </c>
      <c r="J41" s="383">
        <v>0</v>
      </c>
      <c r="K41" s="383">
        <v>0</v>
      </c>
      <c r="L41" s="383">
        <v>0</v>
      </c>
      <c r="M41" s="383">
        <v>0</v>
      </c>
      <c r="N41" s="383">
        <v>0</v>
      </c>
    </row>
    <row r="42" spans="6:14" ht="12" x14ac:dyDescent="0.2">
      <c r="F42" s="448"/>
      <c r="G42" s="41" t="str">
        <f>STRAT4_IND5</f>
        <v>Objetivo estratégico 4 Indicador 5</v>
      </c>
      <c r="H42" s="260" t="str">
        <f ca="1">OFFSET(Variables_Lu!$D$10,Basic_Setup!H56,0)</f>
        <v>Nutrition-specific</v>
      </c>
      <c r="I42" s="262">
        <f t="shared" si="14"/>
        <v>0</v>
      </c>
      <c r="J42" s="383">
        <v>0</v>
      </c>
      <c r="K42" s="383">
        <v>0</v>
      </c>
      <c r="L42" s="383">
        <v>0</v>
      </c>
      <c r="M42" s="383">
        <v>0</v>
      </c>
      <c r="N42" s="383">
        <v>0</v>
      </c>
    </row>
    <row r="43" spans="6:14" ht="12" x14ac:dyDescent="0.2">
      <c r="H43" s="152" t="s">
        <v>110</v>
      </c>
      <c r="I43" s="265">
        <f>SUM(I38:I42)</f>
        <v>2720074500</v>
      </c>
      <c r="J43" s="265">
        <f t="shared" ref="J43:N43" si="16">SUM(J38:J42)</f>
        <v>544014900</v>
      </c>
      <c r="K43" s="265">
        <f t="shared" si="16"/>
        <v>544014900</v>
      </c>
      <c r="L43" s="265">
        <f t="shared" si="16"/>
        <v>544014900</v>
      </c>
      <c r="M43" s="265">
        <f t="shared" si="16"/>
        <v>544014900</v>
      </c>
      <c r="N43" s="265">
        <f t="shared" si="16"/>
        <v>544014900</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262">
        <f>SUM(J44:N44)</f>
        <v>24881999.999999996</v>
      </c>
      <c r="J44" s="382">
        <f>1287000000*1.16%/3</f>
        <v>4976399.9999999991</v>
      </c>
      <c r="K44" s="383">
        <f t="shared" ref="K44:N44" si="17">1287000000*1.16%/3</f>
        <v>4976399.9999999991</v>
      </c>
      <c r="L44" s="383">
        <f t="shared" si="17"/>
        <v>4976399.9999999991</v>
      </c>
      <c r="M44" s="383">
        <f t="shared" si="17"/>
        <v>4976399.9999999991</v>
      </c>
      <c r="N44" s="383">
        <f t="shared" si="17"/>
        <v>4976399.9999999991</v>
      </c>
    </row>
    <row r="45" spans="6:14" ht="22.8" x14ac:dyDescent="0.2">
      <c r="F45" s="447"/>
      <c r="G45" s="42" t="str">
        <f>STRAT5_IND2</f>
        <v>Se promueven dietas saludables y estilos de vida saludables para las personas.</v>
      </c>
      <c r="H45" s="260" t="str">
        <f ca="1">OFFSET(Variables_Lu!$D$10,Basic_Setup!H59,0)</f>
        <v>Nutrition-specific</v>
      </c>
      <c r="I45" s="262">
        <f t="shared" ref="I45:I48" si="18">SUM(J45:N45)</f>
        <v>24881999.999999996</v>
      </c>
      <c r="J45" s="383">
        <f t="shared" ref="J45:N46" si="19">1287000000*1.16%/3</f>
        <v>4976399.9999999991</v>
      </c>
      <c r="K45" s="383">
        <f t="shared" si="19"/>
        <v>4976399.9999999991</v>
      </c>
      <c r="L45" s="383">
        <f t="shared" si="19"/>
        <v>4976399.9999999991</v>
      </c>
      <c r="M45" s="383">
        <f t="shared" si="19"/>
        <v>4976399.9999999991</v>
      </c>
      <c r="N45" s="383">
        <f t="shared" si="19"/>
        <v>4976399.9999999991</v>
      </c>
    </row>
    <row r="46" spans="6:14" ht="22.8" x14ac:dyDescent="0.2">
      <c r="F46" s="447"/>
      <c r="G46" s="42" t="str">
        <f>STRAT5_IND3</f>
        <v>Se promueven las buenas prácticas WASH a nivel comunitario y doméstico</v>
      </c>
      <c r="H46" s="260" t="str">
        <f ca="1">OFFSET(Variables_Lu!$D$10,Basic_Setup!H60,0)</f>
        <v>Nutrition-sensitive</v>
      </c>
      <c r="I46" s="262">
        <f t="shared" si="18"/>
        <v>24881999.999999996</v>
      </c>
      <c r="J46" s="383">
        <f t="shared" si="19"/>
        <v>4976399.9999999991</v>
      </c>
      <c r="K46" s="383">
        <f t="shared" si="19"/>
        <v>4976399.9999999991</v>
      </c>
      <c r="L46" s="383">
        <f t="shared" si="19"/>
        <v>4976399.9999999991</v>
      </c>
      <c r="M46" s="383">
        <f t="shared" si="19"/>
        <v>4976399.9999999991</v>
      </c>
      <c r="N46" s="383">
        <f t="shared" si="19"/>
        <v>4976399.9999999991</v>
      </c>
    </row>
    <row r="47" spans="6:14" ht="12" x14ac:dyDescent="0.2">
      <c r="F47" s="447"/>
      <c r="G47" s="41" t="str">
        <f>STRAT5_IND4</f>
        <v>Objetivo estratégico 5 Indicador 4</v>
      </c>
      <c r="H47" s="260" t="str">
        <f ca="1">OFFSET(Variables_Lu!$D$10,Basic_Setup!H61,0)</f>
        <v>Nutrition-specific</v>
      </c>
      <c r="I47" s="262">
        <f t="shared" si="18"/>
        <v>0</v>
      </c>
      <c r="J47" s="383">
        <v>0</v>
      </c>
      <c r="K47" s="383">
        <v>0</v>
      </c>
      <c r="L47" s="383">
        <v>0</v>
      </c>
      <c r="M47" s="383">
        <v>0</v>
      </c>
      <c r="N47" s="383">
        <v>0</v>
      </c>
    </row>
    <row r="48" spans="6:14" ht="12" x14ac:dyDescent="0.2">
      <c r="F48" s="448"/>
      <c r="G48" s="41" t="str">
        <f>STRAT5_IND5</f>
        <v>Objetivo estratégico 5 Indicador 5</v>
      </c>
      <c r="H48" s="260" t="str">
        <f ca="1">OFFSET(Variables_Lu!$D$10,Basic_Setup!H62,0)</f>
        <v>Nutrition-specific</v>
      </c>
      <c r="I48" s="262">
        <f t="shared" si="18"/>
        <v>0</v>
      </c>
      <c r="J48" s="383">
        <v>0</v>
      </c>
      <c r="K48" s="383">
        <v>0</v>
      </c>
      <c r="L48" s="383">
        <v>0</v>
      </c>
      <c r="M48" s="383">
        <v>0</v>
      </c>
      <c r="N48" s="383">
        <v>0</v>
      </c>
    </row>
    <row r="49" spans="6:14" ht="12" x14ac:dyDescent="0.2">
      <c r="H49" s="152" t="s">
        <v>111</v>
      </c>
      <c r="I49" s="265">
        <f>SUM(I44:I48)</f>
        <v>74645999.999999985</v>
      </c>
      <c r="J49" s="265">
        <f t="shared" ref="J49:N49" si="20">SUM(J44:J48)</f>
        <v>14929199.999999996</v>
      </c>
      <c r="K49" s="265">
        <f t="shared" si="20"/>
        <v>14929199.999999996</v>
      </c>
      <c r="L49" s="265">
        <f t="shared" si="20"/>
        <v>14929199.999999996</v>
      </c>
      <c r="M49" s="265">
        <f t="shared" si="20"/>
        <v>14929199.999999996</v>
      </c>
      <c r="N49" s="265">
        <f t="shared" si="20"/>
        <v>14929199.999999996</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262">
        <f>SUM(J50:N50)</f>
        <v>0</v>
      </c>
      <c r="J50" s="37">
        <v>0</v>
      </c>
      <c r="K50" s="37">
        <v>0</v>
      </c>
      <c r="L50" s="37">
        <v>0</v>
      </c>
      <c r="M50" s="37">
        <v>0</v>
      </c>
      <c r="N50" s="37">
        <v>0</v>
      </c>
    </row>
    <row r="51" spans="6:14" ht="12" x14ac:dyDescent="0.2">
      <c r="F51" s="447"/>
      <c r="G51" s="42" t="str">
        <f>STRAT6_IND2</f>
        <v>Objetivo estratégico 6 Indicador 2</v>
      </c>
      <c r="H51" s="260" t="str">
        <f ca="1">OFFSET(Variables_Lu!$D$10,Basic_Setup!H65,0)</f>
        <v>Nutrition-specific</v>
      </c>
      <c r="I51" s="262">
        <f t="shared" ref="I51:I54" si="21">SUM(J51:N51)</f>
        <v>0</v>
      </c>
      <c r="J51" s="37">
        <v>0</v>
      </c>
      <c r="K51" s="37">
        <v>0</v>
      </c>
      <c r="L51" s="37">
        <v>0</v>
      </c>
      <c r="M51" s="37">
        <v>0</v>
      </c>
      <c r="N51" s="37">
        <v>0</v>
      </c>
    </row>
    <row r="52" spans="6:14" ht="12" x14ac:dyDescent="0.2">
      <c r="F52" s="447"/>
      <c r="G52" s="42" t="str">
        <f>STRAT6_IND3</f>
        <v>Objetivo estratégico 6 Indicador 3</v>
      </c>
      <c r="H52" s="260" t="str">
        <f ca="1">OFFSET(Variables_Lu!$D$10,Basic_Setup!H66,0)</f>
        <v>Nutrition-specific</v>
      </c>
      <c r="I52" s="262">
        <f t="shared" si="21"/>
        <v>0</v>
      </c>
      <c r="J52" s="37">
        <v>0</v>
      </c>
      <c r="K52" s="37">
        <v>0</v>
      </c>
      <c r="L52" s="37">
        <v>0</v>
      </c>
      <c r="M52" s="37">
        <v>0</v>
      </c>
      <c r="N52" s="37">
        <v>0</v>
      </c>
    </row>
    <row r="53" spans="6:14" ht="12" x14ac:dyDescent="0.2">
      <c r="F53" s="447"/>
      <c r="G53" s="41" t="str">
        <f>STRAT6_IND4</f>
        <v>Objetivo estratégico 6 Indicador 4</v>
      </c>
      <c r="H53" s="260" t="str">
        <f ca="1">OFFSET(Variables_Lu!$D$10,Basic_Setup!H67,0)</f>
        <v>Nutrition-specific</v>
      </c>
      <c r="I53" s="262">
        <f t="shared" si="21"/>
        <v>0</v>
      </c>
      <c r="J53" s="37">
        <v>0</v>
      </c>
      <c r="K53" s="37">
        <v>0</v>
      </c>
      <c r="L53" s="37">
        <v>0</v>
      </c>
      <c r="M53" s="37">
        <v>0</v>
      </c>
      <c r="N53" s="37">
        <v>0</v>
      </c>
    </row>
    <row r="54" spans="6:14" ht="12" x14ac:dyDescent="0.2">
      <c r="F54" s="448"/>
      <c r="G54" s="41" t="str">
        <f>STRAT6_IND5</f>
        <v>Objetivo estratégico 6 Indicador 5</v>
      </c>
      <c r="H54" s="260" t="str">
        <f ca="1">OFFSET(Variables_Lu!$D$10,Basic_Setup!H68,0)</f>
        <v>Nutrition-specific</v>
      </c>
      <c r="I54" s="262">
        <f t="shared" si="21"/>
        <v>0</v>
      </c>
      <c r="J54" s="37">
        <v>0</v>
      </c>
      <c r="K54" s="37">
        <v>0</v>
      </c>
      <c r="L54" s="37">
        <v>0</v>
      </c>
      <c r="M54" s="37">
        <v>0</v>
      </c>
      <c r="N54" s="37">
        <v>0</v>
      </c>
    </row>
    <row r="55" spans="6:14" ht="12" x14ac:dyDescent="0.2">
      <c r="H55" s="152" t="s">
        <v>159</v>
      </c>
      <c r="I55" s="265">
        <f>SUM(I50:I54)</f>
        <v>0</v>
      </c>
      <c r="J55" s="265">
        <f t="shared" ref="J55:N55" si="22">SUM(J50:J54)</f>
        <v>0</v>
      </c>
      <c r="K55" s="265">
        <f t="shared" si="22"/>
        <v>0</v>
      </c>
      <c r="L55" s="265">
        <f t="shared" si="22"/>
        <v>0</v>
      </c>
      <c r="M55" s="265">
        <f t="shared" si="22"/>
        <v>0</v>
      </c>
      <c r="N55" s="265">
        <f t="shared" si="22"/>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262">
        <f>SUM(J56:N56)</f>
        <v>0</v>
      </c>
      <c r="J56" s="37">
        <v>0</v>
      </c>
      <c r="K56" s="37">
        <v>0</v>
      </c>
      <c r="L56" s="37">
        <v>0</v>
      </c>
      <c r="M56" s="37">
        <v>0</v>
      </c>
      <c r="N56" s="37">
        <v>0</v>
      </c>
    </row>
    <row r="57" spans="6:14" ht="12" x14ac:dyDescent="0.2">
      <c r="F57" s="447"/>
      <c r="G57" s="42" t="str">
        <f>STRAT7_IND2</f>
        <v>Objetivo estratégico 7 Indicador 2</v>
      </c>
      <c r="H57" s="260" t="str">
        <f ca="1">OFFSET(Variables_Lu!$D$10,Basic_Setup!H71,0)</f>
        <v>Nutrition-specific</v>
      </c>
      <c r="I57" s="262">
        <f t="shared" ref="I57:I60" si="23">SUM(J57:N57)</f>
        <v>0</v>
      </c>
      <c r="J57" s="37">
        <v>0</v>
      </c>
      <c r="K57" s="37">
        <v>0</v>
      </c>
      <c r="L57" s="37">
        <v>0</v>
      </c>
      <c r="M57" s="37">
        <v>0</v>
      </c>
      <c r="N57" s="37">
        <v>0</v>
      </c>
    </row>
    <row r="58" spans="6:14" ht="12" x14ac:dyDescent="0.2">
      <c r="F58" s="447"/>
      <c r="G58" s="42" t="str">
        <f>STRAT7_IND3</f>
        <v>Objetivo estratégico 7 Indicador 3</v>
      </c>
      <c r="H58" s="260" t="str">
        <f ca="1">OFFSET(Variables_Lu!$D$10,Basic_Setup!H72,0)</f>
        <v>Nutrition-specific</v>
      </c>
      <c r="I58" s="262">
        <f t="shared" si="23"/>
        <v>0</v>
      </c>
      <c r="J58" s="37">
        <v>0</v>
      </c>
      <c r="K58" s="37">
        <v>0</v>
      </c>
      <c r="L58" s="37">
        <v>0</v>
      </c>
      <c r="M58" s="37">
        <v>0</v>
      </c>
      <c r="N58" s="37">
        <v>0</v>
      </c>
    </row>
    <row r="59" spans="6:14" ht="12" x14ac:dyDescent="0.2">
      <c r="F59" s="447"/>
      <c r="G59" s="41" t="str">
        <f>STRAT7_IND4</f>
        <v>Objetivo estratégico 7 Indicador 4</v>
      </c>
      <c r="H59" s="260" t="str">
        <f ca="1">OFFSET(Variables_Lu!$D$10,Basic_Setup!H73,0)</f>
        <v>Nutrition-specific</v>
      </c>
      <c r="I59" s="262">
        <f t="shared" si="23"/>
        <v>0</v>
      </c>
      <c r="J59" s="37">
        <v>0</v>
      </c>
      <c r="K59" s="37">
        <v>0</v>
      </c>
      <c r="L59" s="37">
        <v>0</v>
      </c>
      <c r="M59" s="37">
        <v>0</v>
      </c>
      <c r="N59" s="37">
        <v>0</v>
      </c>
    </row>
    <row r="60" spans="6:14" ht="12" x14ac:dyDescent="0.2">
      <c r="F60" s="448"/>
      <c r="G60" s="41" t="str">
        <f>STRAT7_IND5</f>
        <v>Objetivo estratégico 7 Indicador 5</v>
      </c>
      <c r="H60" s="260" t="str">
        <f ca="1">OFFSET(Variables_Lu!$D$10,Basic_Setup!H74,0)</f>
        <v>Nutrition-specific</v>
      </c>
      <c r="I60" s="262">
        <f t="shared" si="23"/>
        <v>0</v>
      </c>
      <c r="J60" s="37">
        <v>0</v>
      </c>
      <c r="K60" s="37">
        <v>0</v>
      </c>
      <c r="L60" s="37">
        <v>0</v>
      </c>
      <c r="M60" s="37">
        <v>0</v>
      </c>
      <c r="N60" s="37">
        <v>0</v>
      </c>
    </row>
    <row r="61" spans="6:14" ht="12" x14ac:dyDescent="0.2">
      <c r="H61" s="152" t="s">
        <v>160</v>
      </c>
      <c r="I61" s="265">
        <f>SUM(I56:I60)</f>
        <v>0</v>
      </c>
      <c r="J61" s="265">
        <f t="shared" ref="J61:N61" si="24">SUM(J56:J60)</f>
        <v>0</v>
      </c>
      <c r="K61" s="265">
        <f t="shared" si="24"/>
        <v>0</v>
      </c>
      <c r="L61" s="265">
        <f t="shared" si="24"/>
        <v>0</v>
      </c>
      <c r="M61" s="265">
        <f t="shared" si="24"/>
        <v>0</v>
      </c>
      <c r="N61" s="265">
        <f t="shared" si="24"/>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262">
        <f>SUM(J62:N62)</f>
        <v>0</v>
      </c>
      <c r="J62" s="37">
        <v>0</v>
      </c>
      <c r="K62" s="37">
        <v>0</v>
      </c>
      <c r="L62" s="37">
        <v>0</v>
      </c>
      <c r="M62" s="37">
        <v>0</v>
      </c>
      <c r="N62" s="37">
        <v>0</v>
      </c>
    </row>
    <row r="63" spans="6:14" ht="12" x14ac:dyDescent="0.2">
      <c r="F63" s="447"/>
      <c r="G63" s="42" t="str">
        <f>STRAT8_IND2</f>
        <v>Objetivo estratégico 8 Indicador 2</v>
      </c>
      <c r="H63" s="260" t="str">
        <f ca="1">OFFSET(Variables_Lu!$D$10,Basic_Setup!H77,0)</f>
        <v>Nutrition-specific</v>
      </c>
      <c r="I63" s="262">
        <f t="shared" ref="I63:I66" si="25">SUM(J63:N63)</f>
        <v>0</v>
      </c>
      <c r="J63" s="37">
        <v>0</v>
      </c>
      <c r="K63" s="37">
        <v>0</v>
      </c>
      <c r="L63" s="37">
        <v>0</v>
      </c>
      <c r="M63" s="37">
        <v>0</v>
      </c>
      <c r="N63" s="37">
        <v>0</v>
      </c>
    </row>
    <row r="64" spans="6:14" ht="12" x14ac:dyDescent="0.2">
      <c r="F64" s="447"/>
      <c r="G64" s="42" t="str">
        <f>STRAT8_IND3</f>
        <v>Objetivo estratégico 8 Indicador 3</v>
      </c>
      <c r="H64" s="260" t="str">
        <f ca="1">OFFSET(Variables_Lu!$D$10,Basic_Setup!H78,0)</f>
        <v>Nutrition-specific</v>
      </c>
      <c r="I64" s="262">
        <f t="shared" si="25"/>
        <v>0</v>
      </c>
      <c r="J64" s="37">
        <v>0</v>
      </c>
      <c r="K64" s="37">
        <v>0</v>
      </c>
      <c r="L64" s="37">
        <v>0</v>
      </c>
      <c r="M64" s="37">
        <v>0</v>
      </c>
      <c r="N64" s="37">
        <v>0</v>
      </c>
    </row>
    <row r="65" spans="6:14" ht="12" x14ac:dyDescent="0.2">
      <c r="F65" s="447"/>
      <c r="G65" s="41" t="str">
        <f>STRAT8_IND4</f>
        <v>Objetivo estratégico 8 Indicador 4</v>
      </c>
      <c r="H65" s="260" t="str">
        <f ca="1">OFFSET(Variables_Lu!$D$10,Basic_Setup!H79,0)</f>
        <v>Nutrition-specific</v>
      </c>
      <c r="I65" s="262">
        <f t="shared" si="25"/>
        <v>0</v>
      </c>
      <c r="J65" s="37">
        <v>0</v>
      </c>
      <c r="K65" s="37">
        <v>0</v>
      </c>
      <c r="L65" s="37">
        <v>0</v>
      </c>
      <c r="M65" s="37">
        <v>0</v>
      </c>
      <c r="N65" s="37">
        <v>0</v>
      </c>
    </row>
    <row r="66" spans="6:14" ht="12" x14ac:dyDescent="0.2">
      <c r="F66" s="448"/>
      <c r="G66" s="41" t="str">
        <f>STRAT8_IND5</f>
        <v>Objetivo estratégico 8 Indicador 5</v>
      </c>
      <c r="H66" s="260" t="str">
        <f ca="1">OFFSET(Variables_Lu!$D$10,Basic_Setup!H80,0)</f>
        <v>Nutrition-specific</v>
      </c>
      <c r="I66" s="262">
        <f t="shared" si="25"/>
        <v>0</v>
      </c>
      <c r="J66" s="37">
        <v>0</v>
      </c>
      <c r="K66" s="37">
        <v>0</v>
      </c>
      <c r="L66" s="37">
        <v>0</v>
      </c>
      <c r="M66" s="37">
        <v>0</v>
      </c>
      <c r="N66" s="37">
        <v>0</v>
      </c>
    </row>
    <row r="67" spans="6:14" ht="12" x14ac:dyDescent="0.2">
      <c r="H67" s="152" t="s">
        <v>161</v>
      </c>
      <c r="I67" s="265">
        <f>SUM(I62:I66)</f>
        <v>0</v>
      </c>
      <c r="J67" s="265">
        <f t="shared" ref="J67:N67" si="26">SUM(J62:J66)</f>
        <v>0</v>
      </c>
      <c r="K67" s="265">
        <f t="shared" si="26"/>
        <v>0</v>
      </c>
      <c r="L67" s="265">
        <f t="shared" si="26"/>
        <v>0</v>
      </c>
      <c r="M67" s="265">
        <f t="shared" si="26"/>
        <v>0</v>
      </c>
      <c r="N67" s="265">
        <f t="shared" si="26"/>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262">
        <f>SUM(J68:N68)</f>
        <v>0</v>
      </c>
      <c r="J68" s="37">
        <v>0</v>
      </c>
      <c r="K68" s="37">
        <v>0</v>
      </c>
      <c r="L68" s="37">
        <v>0</v>
      </c>
      <c r="M68" s="37">
        <v>0</v>
      </c>
      <c r="N68" s="37">
        <v>0</v>
      </c>
    </row>
    <row r="69" spans="6:14" ht="12" x14ac:dyDescent="0.2">
      <c r="F69" s="447"/>
      <c r="G69" s="42" t="str">
        <f>STRAT9_IND2</f>
        <v>Objetivo estratégico 9 Indicador 2</v>
      </c>
      <c r="H69" s="260" t="str">
        <f ca="1">OFFSET(Variables_Lu!$D$10,Basic_Setup!H83,0)</f>
        <v>Nutrition-specific</v>
      </c>
      <c r="I69" s="262">
        <f t="shared" ref="I69:I72" si="27">SUM(J69:N69)</f>
        <v>0</v>
      </c>
      <c r="J69" s="37">
        <v>0</v>
      </c>
      <c r="K69" s="37">
        <v>0</v>
      </c>
      <c r="L69" s="37">
        <v>0</v>
      </c>
      <c r="M69" s="37">
        <v>0</v>
      </c>
      <c r="N69" s="37">
        <v>0</v>
      </c>
    </row>
    <row r="70" spans="6:14" ht="12" x14ac:dyDescent="0.2">
      <c r="F70" s="447"/>
      <c r="G70" s="42" t="str">
        <f>STRAT9_IND3</f>
        <v>Objetivo estratégico 9 Indicador 3</v>
      </c>
      <c r="H70" s="260" t="str">
        <f ca="1">OFFSET(Variables_Lu!$D$10,Basic_Setup!H84,0)</f>
        <v>Nutrition-specific</v>
      </c>
      <c r="I70" s="262">
        <f t="shared" si="27"/>
        <v>0</v>
      </c>
      <c r="J70" s="37">
        <v>0</v>
      </c>
      <c r="K70" s="37">
        <v>0</v>
      </c>
      <c r="L70" s="37">
        <v>0</v>
      </c>
      <c r="M70" s="37">
        <v>0</v>
      </c>
      <c r="N70" s="37">
        <v>0</v>
      </c>
    </row>
    <row r="71" spans="6:14" ht="12" x14ac:dyDescent="0.2">
      <c r="F71" s="447"/>
      <c r="G71" s="41" t="str">
        <f>STRAT9_IND4</f>
        <v>Objetivo estratégico 9 Indicador 4</v>
      </c>
      <c r="H71" s="260" t="str">
        <f ca="1">OFFSET(Variables_Lu!$D$10,Basic_Setup!H85,0)</f>
        <v>Nutrition-specific</v>
      </c>
      <c r="I71" s="262">
        <f t="shared" si="27"/>
        <v>0</v>
      </c>
      <c r="J71" s="37">
        <v>0</v>
      </c>
      <c r="K71" s="37">
        <v>0</v>
      </c>
      <c r="L71" s="37">
        <v>0</v>
      </c>
      <c r="M71" s="37">
        <v>0</v>
      </c>
      <c r="N71" s="37">
        <v>0</v>
      </c>
    </row>
    <row r="72" spans="6:14" ht="12" x14ac:dyDescent="0.2">
      <c r="F72" s="448"/>
      <c r="G72" s="41" t="str">
        <f>STRAT9_IND5</f>
        <v>Objetivo estratégico 9 Indicador 5</v>
      </c>
      <c r="H72" s="260" t="str">
        <f ca="1">OFFSET(Variables_Lu!$D$10,Basic_Setup!H86,0)</f>
        <v>Nutrition-specific</v>
      </c>
      <c r="I72" s="262">
        <f t="shared" si="27"/>
        <v>0</v>
      </c>
      <c r="J72" s="37">
        <v>0</v>
      </c>
      <c r="K72" s="37">
        <v>0</v>
      </c>
      <c r="L72" s="37">
        <v>0</v>
      </c>
      <c r="M72" s="37">
        <v>0</v>
      </c>
      <c r="N72" s="37">
        <v>0</v>
      </c>
    </row>
    <row r="73" spans="6:14" ht="12" x14ac:dyDescent="0.2">
      <c r="H73" s="152" t="s">
        <v>162</v>
      </c>
      <c r="I73" s="265">
        <f>SUM(I68:I72)</f>
        <v>0</v>
      </c>
      <c r="J73" s="265">
        <f t="shared" ref="J73:N73" si="28">SUM(J68:J72)</f>
        <v>0</v>
      </c>
      <c r="K73" s="265">
        <f t="shared" si="28"/>
        <v>0</v>
      </c>
      <c r="L73" s="265">
        <f t="shared" si="28"/>
        <v>0</v>
      </c>
      <c r="M73" s="265">
        <f t="shared" si="28"/>
        <v>0</v>
      </c>
      <c r="N73" s="265">
        <f t="shared" si="28"/>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262">
        <f>SUM(J74:N74)</f>
        <v>0</v>
      </c>
      <c r="J74" s="37">
        <v>0</v>
      </c>
      <c r="K74" s="37">
        <v>0</v>
      </c>
      <c r="L74" s="37">
        <v>0</v>
      </c>
      <c r="M74" s="37">
        <v>0</v>
      </c>
      <c r="N74" s="37">
        <v>0</v>
      </c>
    </row>
    <row r="75" spans="6:14" ht="12" x14ac:dyDescent="0.2">
      <c r="F75" s="447"/>
      <c r="G75" s="42" t="str">
        <f>STRAT10_IND2</f>
        <v>Objetivo estratégico 10 Indicador 2</v>
      </c>
      <c r="H75" s="260" t="str">
        <f ca="1">OFFSET(Variables_Lu!$D$10,Basic_Setup!H89,0)</f>
        <v>Nutrition-specific</v>
      </c>
      <c r="I75" s="262">
        <f t="shared" ref="I75:I78" si="29">SUM(J75:N75)</f>
        <v>0</v>
      </c>
      <c r="J75" s="37">
        <v>0</v>
      </c>
      <c r="K75" s="37">
        <v>0</v>
      </c>
      <c r="L75" s="37">
        <v>0</v>
      </c>
      <c r="M75" s="37">
        <v>0</v>
      </c>
      <c r="N75" s="37">
        <v>0</v>
      </c>
    </row>
    <row r="76" spans="6:14" ht="12" x14ac:dyDescent="0.2">
      <c r="F76" s="447"/>
      <c r="G76" s="42" t="str">
        <f>STRAT10_IND3</f>
        <v>Objetivo estratégico 10 Indicador 3</v>
      </c>
      <c r="H76" s="260" t="str">
        <f ca="1">OFFSET(Variables_Lu!$D$10,Basic_Setup!H90,0)</f>
        <v>Nutrition-specific</v>
      </c>
      <c r="I76" s="262">
        <f t="shared" si="29"/>
        <v>0</v>
      </c>
      <c r="J76" s="37">
        <v>0</v>
      </c>
      <c r="K76" s="37">
        <v>0</v>
      </c>
      <c r="L76" s="37">
        <v>0</v>
      </c>
      <c r="M76" s="37">
        <v>0</v>
      </c>
      <c r="N76" s="37">
        <v>0</v>
      </c>
    </row>
    <row r="77" spans="6:14" ht="11.25" customHeight="1" x14ac:dyDescent="0.2">
      <c r="F77" s="447"/>
      <c r="G77" s="41" t="str">
        <f>STRAT10_IND4</f>
        <v>Objetivo estratégico 10 Indicador 4</v>
      </c>
      <c r="H77" s="260" t="str">
        <f ca="1">OFFSET(Variables_Lu!$D$10,Basic_Setup!H91,0)</f>
        <v>Nutrition-specific</v>
      </c>
      <c r="I77" s="262">
        <f t="shared" si="29"/>
        <v>0</v>
      </c>
      <c r="J77" s="37">
        <v>0</v>
      </c>
      <c r="K77" s="37">
        <v>0</v>
      </c>
      <c r="L77" s="37">
        <v>0</v>
      </c>
      <c r="M77" s="37">
        <v>0</v>
      </c>
      <c r="N77" s="37">
        <v>0</v>
      </c>
    </row>
    <row r="78" spans="6:14" ht="11.25" customHeight="1" x14ac:dyDescent="0.2">
      <c r="F78" s="448"/>
      <c r="G78" s="41" t="str">
        <f>STRAT10_IND5</f>
        <v>Objetivo estratégico 10 Indicador 5</v>
      </c>
      <c r="H78" s="260" t="str">
        <f ca="1">OFFSET(Variables_Lu!$D$10,Basic_Setup!H92,0)</f>
        <v>Nutrition-specific</v>
      </c>
      <c r="I78" s="262">
        <f t="shared" si="29"/>
        <v>0</v>
      </c>
      <c r="J78" s="37">
        <v>0</v>
      </c>
      <c r="K78" s="37">
        <v>0</v>
      </c>
      <c r="L78" s="37">
        <v>0</v>
      </c>
      <c r="M78" s="37">
        <v>0</v>
      </c>
      <c r="N78" s="37">
        <v>0</v>
      </c>
    </row>
    <row r="79" spans="6:14" ht="11.25" customHeight="1" x14ac:dyDescent="0.2">
      <c r="H79" s="152" t="s">
        <v>163</v>
      </c>
      <c r="I79" s="265">
        <f>SUM(I74:I78)</f>
        <v>0</v>
      </c>
      <c r="J79" s="265">
        <f t="shared" ref="J79:N79" si="30">SUM(J74:J78)</f>
        <v>0</v>
      </c>
      <c r="K79" s="265">
        <f t="shared" si="30"/>
        <v>0</v>
      </c>
      <c r="L79" s="265">
        <f t="shared" si="30"/>
        <v>0</v>
      </c>
      <c r="M79" s="265">
        <f t="shared" si="30"/>
        <v>0</v>
      </c>
      <c r="N79" s="265">
        <f t="shared" si="30"/>
        <v>0</v>
      </c>
    </row>
    <row r="80" spans="6:14" ht="11.25" customHeight="1" x14ac:dyDescent="0.2">
      <c r="I80" s="263"/>
    </row>
    <row r="81" spans="6:14" ht="12.6" thickBot="1" x14ac:dyDescent="0.25">
      <c r="H81" s="149" t="str">
        <f>"TOTAL - "&amp;$F$12</f>
        <v>TOTAL - Ministerio de Educación Nacional, de Educación Superior e Investigación Científica</v>
      </c>
      <c r="I81" s="264">
        <f>SUM(I25,I31,I37,I43,I49,I55,I61,I67,I73,I79)</f>
        <v>6435000000</v>
      </c>
      <c r="J81" s="264">
        <f>SUM(J25,J31,J37,J43,J49,J55,J61,J67,J73,J79)</f>
        <v>1287000000</v>
      </c>
      <c r="K81" s="264">
        <f t="shared" ref="K81:N81" si="31">SUM(K25,K31,K37,K43,K49,K55,K61,K67,K73,K79)</f>
        <v>1287000000</v>
      </c>
      <c r="L81" s="264">
        <f t="shared" si="31"/>
        <v>1287000000</v>
      </c>
      <c r="M81" s="264">
        <f t="shared" si="31"/>
        <v>1287000000</v>
      </c>
      <c r="N81" s="264">
        <f t="shared" si="31"/>
        <v>1287000000</v>
      </c>
    </row>
    <row r="83" spans="6:14" ht="12" x14ac:dyDescent="0.2">
      <c r="F83" s="44" t="s">
        <v>171</v>
      </c>
    </row>
    <row r="84" spans="6:14" x14ac:dyDescent="0.2">
      <c r="F84" s="49"/>
    </row>
    <row r="85" spans="6:14" x14ac:dyDescent="0.2">
      <c r="F85" s="49"/>
    </row>
    <row r="86" spans="6:14" x14ac:dyDescent="0.2">
      <c r="F86" s="49"/>
    </row>
    <row r="87" spans="6:14" x14ac:dyDescent="0.2">
      <c r="F87" s="49"/>
    </row>
    <row r="90" spans="6:14" ht="12.6" thickBot="1" x14ac:dyDescent="0.25">
      <c r="F90" s="1" t="s">
        <v>411</v>
      </c>
      <c r="G90" s="1" t="s">
        <v>412</v>
      </c>
      <c r="H90" s="406" t="s">
        <v>472</v>
      </c>
      <c r="I90" s="253" t="s">
        <v>106</v>
      </c>
      <c r="J90" s="54" t="str">
        <f>CURR_INT_ABBR</f>
        <v>USD</v>
      </c>
      <c r="K90" s="54" t="str">
        <f>CURR_INT_ABBR</f>
        <v>USD</v>
      </c>
      <c r="L90" s="54" t="str">
        <f>CURR_INT_ABBR</f>
        <v>USD</v>
      </c>
      <c r="M90" s="54" t="str">
        <f>CURR_INT_ABBR</f>
        <v>USD</v>
      </c>
      <c r="N90" s="54" t="str">
        <f>CURR_INT_ABBR</f>
        <v>USD</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67">
        <f t="shared" ref="I91:N100" si="32">I20/EXCHANGE_RATE</f>
        <v>1430</v>
      </c>
      <c r="J91" s="154">
        <f t="shared" si="32"/>
        <v>286</v>
      </c>
      <c r="K91" s="154">
        <f t="shared" si="32"/>
        <v>286</v>
      </c>
      <c r="L91" s="154">
        <f t="shared" si="32"/>
        <v>286</v>
      </c>
      <c r="M91" s="154">
        <f t="shared" si="32"/>
        <v>286</v>
      </c>
      <c r="N91" s="154">
        <f t="shared" si="32"/>
        <v>286</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67">
        <f t="shared" si="32"/>
        <v>1430</v>
      </c>
      <c r="J92" s="154">
        <f t="shared" si="32"/>
        <v>286</v>
      </c>
      <c r="K92" s="154">
        <f t="shared" si="32"/>
        <v>286</v>
      </c>
      <c r="L92" s="154">
        <f t="shared" si="32"/>
        <v>286</v>
      </c>
      <c r="M92" s="154">
        <f t="shared" si="32"/>
        <v>286</v>
      </c>
      <c r="N92" s="154">
        <f t="shared" si="32"/>
        <v>286</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67">
        <f t="shared" si="32"/>
        <v>1430</v>
      </c>
      <c r="J93" s="154">
        <f t="shared" si="32"/>
        <v>286</v>
      </c>
      <c r="K93" s="154">
        <f t="shared" si="32"/>
        <v>286</v>
      </c>
      <c r="L93" s="154">
        <f t="shared" si="32"/>
        <v>286</v>
      </c>
      <c r="M93" s="154">
        <f t="shared" si="32"/>
        <v>286</v>
      </c>
      <c r="N93" s="154">
        <f t="shared" si="32"/>
        <v>286</v>
      </c>
    </row>
    <row r="94" spans="6:14" ht="22.8" x14ac:dyDescent="0.2">
      <c r="F94" s="444"/>
      <c r="G94" s="41" t="str">
        <f>STRAT1_IND4</f>
        <v>El marco legislativo y reglamentario de la nutrición se ha fortalecido y está en funcionamiento.</v>
      </c>
      <c r="H94" s="268" t="str">
        <f ca="1">OFFSET(Variables_Lu!$D$10,Basic_Setup!H37,0)</f>
        <v>Governance</v>
      </c>
      <c r="I94" s="67">
        <f t="shared" si="32"/>
        <v>1430</v>
      </c>
      <c r="J94" s="154">
        <f t="shared" si="32"/>
        <v>286</v>
      </c>
      <c r="K94" s="154">
        <f t="shared" si="32"/>
        <v>286</v>
      </c>
      <c r="L94" s="154">
        <f t="shared" si="32"/>
        <v>286</v>
      </c>
      <c r="M94" s="154">
        <f t="shared" si="32"/>
        <v>286</v>
      </c>
      <c r="N94" s="154">
        <f t="shared" si="32"/>
        <v>286</v>
      </c>
    </row>
    <row r="95" spans="6:14" ht="12.6" thickBot="1" x14ac:dyDescent="0.25">
      <c r="F95" s="445"/>
      <c r="G95" s="275" t="str">
        <f>STRAT1_IND5</f>
        <v>Objetivo estratégico 1 Indicador 5</v>
      </c>
      <c r="H95" s="270" t="str">
        <f ca="1">OFFSET(Variables_Lu!$D$10,Basic_Setup!H38,0)</f>
        <v>Governance</v>
      </c>
      <c r="I95" s="67">
        <f t="shared" si="32"/>
        <v>0</v>
      </c>
      <c r="J95" s="154">
        <f t="shared" si="32"/>
        <v>0</v>
      </c>
      <c r="K95" s="154">
        <f t="shared" si="32"/>
        <v>0</v>
      </c>
      <c r="L95" s="154">
        <f t="shared" si="32"/>
        <v>0</v>
      </c>
      <c r="M95" s="154">
        <f t="shared" si="32"/>
        <v>0</v>
      </c>
      <c r="N95" s="154">
        <f t="shared" si="32"/>
        <v>0</v>
      </c>
    </row>
    <row r="96" spans="6:14" ht="12.6" thickBot="1" x14ac:dyDescent="0.25">
      <c r="F96" s="38"/>
      <c r="G96" s="38"/>
      <c r="H96" s="152" t="s">
        <v>107</v>
      </c>
      <c r="I96" s="122">
        <f t="shared" si="32"/>
        <v>5720</v>
      </c>
      <c r="J96" s="63">
        <f t="shared" si="32"/>
        <v>1144</v>
      </c>
      <c r="K96" s="63">
        <f t="shared" si="32"/>
        <v>1144</v>
      </c>
      <c r="L96" s="63">
        <f t="shared" si="32"/>
        <v>1144</v>
      </c>
      <c r="M96" s="63">
        <f t="shared" si="32"/>
        <v>1144</v>
      </c>
      <c r="N96" s="63">
        <f t="shared" si="32"/>
        <v>1144</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67">
        <f t="shared" si="32"/>
        <v>75670.833333333328</v>
      </c>
      <c r="J97" s="154">
        <f t="shared" si="32"/>
        <v>15134.166666666666</v>
      </c>
      <c r="K97" s="154">
        <f t="shared" si="32"/>
        <v>15134.166666666666</v>
      </c>
      <c r="L97" s="154">
        <f t="shared" si="32"/>
        <v>15134.166666666666</v>
      </c>
      <c r="M97" s="154">
        <f t="shared" si="32"/>
        <v>15134.166666666666</v>
      </c>
      <c r="N97" s="154">
        <f t="shared" si="32"/>
        <v>15134.166666666666</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67">
        <f t="shared" si="32"/>
        <v>75670.833333333328</v>
      </c>
      <c r="J98" s="154">
        <f t="shared" si="32"/>
        <v>15134.166666666666</v>
      </c>
      <c r="K98" s="154">
        <f t="shared" si="32"/>
        <v>15134.166666666666</v>
      </c>
      <c r="L98" s="154">
        <f t="shared" si="32"/>
        <v>15134.166666666666</v>
      </c>
      <c r="M98" s="154">
        <f t="shared" si="32"/>
        <v>15134.166666666666</v>
      </c>
      <c r="N98" s="154">
        <f t="shared" si="32"/>
        <v>15134.166666666666</v>
      </c>
    </row>
    <row r="99" spans="6:14" ht="22.8" x14ac:dyDescent="0.2">
      <c r="F99" s="444"/>
      <c r="G99" s="42" t="str">
        <f>STRAT2_IND3</f>
        <v>Se refuerzan las intervenciones comunitarias en materia de nutrición.</v>
      </c>
      <c r="H99" s="268" t="str">
        <f ca="1">OFFSET(Variables_Lu!$D$10,Basic_Setup!H42,0)</f>
        <v>Nutrition-specific</v>
      </c>
      <c r="I99" s="67">
        <f t="shared" si="32"/>
        <v>75670.833333333328</v>
      </c>
      <c r="J99" s="154">
        <f t="shared" si="32"/>
        <v>15134.166666666666</v>
      </c>
      <c r="K99" s="154">
        <f t="shared" si="32"/>
        <v>15134.166666666666</v>
      </c>
      <c r="L99" s="154">
        <f t="shared" si="32"/>
        <v>15134.166666666666</v>
      </c>
      <c r="M99" s="154">
        <f t="shared" si="32"/>
        <v>15134.166666666666</v>
      </c>
      <c r="N99" s="154">
        <f t="shared" si="32"/>
        <v>15134.166666666666</v>
      </c>
    </row>
    <row r="100" spans="6:14" ht="12" x14ac:dyDescent="0.2">
      <c r="F100" s="444"/>
      <c r="G100" s="41" t="str">
        <f>STRAT2_IND4</f>
        <v>Objetivo estratégico 2 Indicador 4</v>
      </c>
      <c r="H100" s="268" t="str">
        <f ca="1">OFFSET(Variables_Lu!$D$10,Basic_Setup!H43,0)</f>
        <v>Nutrition-specific</v>
      </c>
      <c r="I100" s="67">
        <f t="shared" si="32"/>
        <v>0</v>
      </c>
      <c r="J100" s="154">
        <f t="shared" si="32"/>
        <v>0</v>
      </c>
      <c r="K100" s="154">
        <f t="shared" si="32"/>
        <v>0</v>
      </c>
      <c r="L100" s="154">
        <f t="shared" si="32"/>
        <v>0</v>
      </c>
      <c r="M100" s="154">
        <f t="shared" si="32"/>
        <v>0</v>
      </c>
      <c r="N100" s="154">
        <f t="shared" si="32"/>
        <v>0</v>
      </c>
    </row>
    <row r="101" spans="6:14" ht="12.6" thickBot="1" x14ac:dyDescent="0.25">
      <c r="F101" s="445"/>
      <c r="G101" s="275" t="str">
        <f>STRAT2_IND5</f>
        <v>Objetivo estratégico 2 Indicador 5</v>
      </c>
      <c r="H101" s="270" t="str">
        <f ca="1">OFFSET(Variables_Lu!$D$10,Basic_Setup!H44,0)</f>
        <v>Nutrition-specific</v>
      </c>
      <c r="I101" s="67">
        <f t="shared" ref="I101:N110" si="33">I30/EXCHANGE_RATE</f>
        <v>0</v>
      </c>
      <c r="J101" s="154">
        <f t="shared" si="33"/>
        <v>0</v>
      </c>
      <c r="K101" s="154">
        <f t="shared" si="33"/>
        <v>0</v>
      </c>
      <c r="L101" s="154">
        <f t="shared" si="33"/>
        <v>0</v>
      </c>
      <c r="M101" s="154">
        <f t="shared" si="33"/>
        <v>0</v>
      </c>
      <c r="N101" s="154">
        <f t="shared" si="33"/>
        <v>0</v>
      </c>
    </row>
    <row r="102" spans="6:14" ht="12.6" thickBot="1" x14ac:dyDescent="0.25">
      <c r="F102" s="38"/>
      <c r="G102" s="38"/>
      <c r="H102" s="152" t="s">
        <v>108</v>
      </c>
      <c r="I102" s="122">
        <f t="shared" si="33"/>
        <v>227012.5</v>
      </c>
      <c r="J102" s="63">
        <f t="shared" si="33"/>
        <v>45402.5</v>
      </c>
      <c r="K102" s="63">
        <f t="shared" si="33"/>
        <v>45402.5</v>
      </c>
      <c r="L102" s="63">
        <f t="shared" si="33"/>
        <v>45402.5</v>
      </c>
      <c r="M102" s="63">
        <f t="shared" si="33"/>
        <v>45402.5</v>
      </c>
      <c r="N102" s="63">
        <f t="shared" si="33"/>
        <v>45402.5</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67">
        <f t="shared" si="33"/>
        <v>894822.5</v>
      </c>
      <c r="J103" s="154">
        <f t="shared" si="33"/>
        <v>178964.5</v>
      </c>
      <c r="K103" s="154">
        <f t="shared" si="33"/>
        <v>178964.5</v>
      </c>
      <c r="L103" s="154">
        <f t="shared" si="33"/>
        <v>178964.5</v>
      </c>
      <c r="M103" s="154">
        <f t="shared" si="33"/>
        <v>178964.5</v>
      </c>
      <c r="N103" s="154">
        <f t="shared" si="33"/>
        <v>178964.5</v>
      </c>
    </row>
    <row r="104" spans="6:14" ht="22.8" x14ac:dyDescent="0.2">
      <c r="F104" s="444"/>
      <c r="G104" s="42" t="str">
        <f>STRAT3_IND2</f>
        <v xml:space="preserve"> La seguridad alimentaria está garantizada para toda la nación.</v>
      </c>
      <c r="H104" s="268" t="str">
        <f ca="1">OFFSET(Variables_Lu!$D$10,Basic_Setup!H47,0)</f>
        <v>Nutrition-sensitive</v>
      </c>
      <c r="I104" s="67">
        <f t="shared" si="33"/>
        <v>894822.5</v>
      </c>
      <c r="J104" s="154">
        <f t="shared" si="33"/>
        <v>178964.5</v>
      </c>
      <c r="K104" s="154">
        <f t="shared" si="33"/>
        <v>178964.5</v>
      </c>
      <c r="L104" s="154">
        <f t="shared" si="33"/>
        <v>178964.5</v>
      </c>
      <c r="M104" s="154">
        <f t="shared" si="33"/>
        <v>178964.5</v>
      </c>
      <c r="N104" s="154">
        <f t="shared" si="33"/>
        <v>178964.5</v>
      </c>
    </row>
    <row r="105" spans="6:14" ht="12" x14ac:dyDescent="0.2">
      <c r="F105" s="444"/>
      <c r="G105" s="42" t="str">
        <f>STRAT3_IND3</f>
        <v>Objetivo estratégico 3 Indicador 3</v>
      </c>
      <c r="H105" s="268" t="str">
        <f ca="1">OFFSET(Variables_Lu!$D$10,Basic_Setup!H48,0)</f>
        <v>Nutrition-specific</v>
      </c>
      <c r="I105" s="67">
        <f t="shared" si="33"/>
        <v>0</v>
      </c>
      <c r="J105" s="154">
        <f t="shared" si="33"/>
        <v>0</v>
      </c>
      <c r="K105" s="154">
        <f t="shared" si="33"/>
        <v>0</v>
      </c>
      <c r="L105" s="154">
        <f t="shared" si="33"/>
        <v>0</v>
      </c>
      <c r="M105" s="154">
        <f t="shared" si="33"/>
        <v>0</v>
      </c>
      <c r="N105" s="154">
        <f t="shared" si="33"/>
        <v>0</v>
      </c>
    </row>
    <row r="106" spans="6:14" ht="12" x14ac:dyDescent="0.2">
      <c r="F106" s="444"/>
      <c r="G106" s="41" t="str">
        <f>STRAT3_IND4</f>
        <v>Objetivo estratégico 3 Indicador 4</v>
      </c>
      <c r="H106" s="268" t="str">
        <f ca="1">OFFSET(Variables_Lu!$D$10,Basic_Setup!H49,0)</f>
        <v>Nutrition-specific</v>
      </c>
      <c r="I106" s="67">
        <f t="shared" si="33"/>
        <v>0</v>
      </c>
      <c r="J106" s="154">
        <f t="shared" si="33"/>
        <v>0</v>
      </c>
      <c r="K106" s="154">
        <f t="shared" si="33"/>
        <v>0</v>
      </c>
      <c r="L106" s="154">
        <f t="shared" si="33"/>
        <v>0</v>
      </c>
      <c r="M106" s="154">
        <f t="shared" si="33"/>
        <v>0</v>
      </c>
      <c r="N106" s="154">
        <f t="shared" si="33"/>
        <v>0</v>
      </c>
    </row>
    <row r="107" spans="6:14" ht="12.6" thickBot="1" x14ac:dyDescent="0.25">
      <c r="F107" s="445"/>
      <c r="G107" s="275" t="str">
        <f>STRAT3_IND5</f>
        <v>Objetivo estratégico 3 Indicador 5</v>
      </c>
      <c r="H107" s="270" t="str">
        <f ca="1">OFFSET(Variables_Lu!$D$10,Basic_Setup!H50,0)</f>
        <v>Nutrition-specific</v>
      </c>
      <c r="I107" s="67">
        <f t="shared" si="33"/>
        <v>0</v>
      </c>
      <c r="J107" s="154">
        <f t="shared" si="33"/>
        <v>0</v>
      </c>
      <c r="K107" s="154">
        <f t="shared" si="33"/>
        <v>0</v>
      </c>
      <c r="L107" s="154">
        <f t="shared" si="33"/>
        <v>0</v>
      </c>
      <c r="M107" s="154">
        <f t="shared" si="33"/>
        <v>0</v>
      </c>
      <c r="N107" s="154">
        <f t="shared" si="33"/>
        <v>0</v>
      </c>
    </row>
    <row r="108" spans="6:14" ht="12.6" thickBot="1" x14ac:dyDescent="0.25">
      <c r="H108" s="152" t="s">
        <v>109</v>
      </c>
      <c r="I108" s="122">
        <f t="shared" si="33"/>
        <v>1789645</v>
      </c>
      <c r="J108" s="63">
        <f t="shared" si="33"/>
        <v>357929</v>
      </c>
      <c r="K108" s="63">
        <f t="shared" si="33"/>
        <v>357929</v>
      </c>
      <c r="L108" s="63">
        <f t="shared" si="33"/>
        <v>357929</v>
      </c>
      <c r="M108" s="63">
        <f t="shared" si="33"/>
        <v>357929</v>
      </c>
      <c r="N108" s="63">
        <f t="shared" si="33"/>
        <v>357929</v>
      </c>
    </row>
    <row r="109" spans="6:14" ht="24"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67">
        <f t="shared" si="33"/>
        <v>503717.5</v>
      </c>
      <c r="J109" s="154">
        <f t="shared" si="33"/>
        <v>100743.5</v>
      </c>
      <c r="K109" s="154">
        <f t="shared" si="33"/>
        <v>100743.5</v>
      </c>
      <c r="L109" s="154">
        <f t="shared" si="33"/>
        <v>100743.5</v>
      </c>
      <c r="M109" s="154">
        <f t="shared" si="33"/>
        <v>100743.5</v>
      </c>
      <c r="N109" s="154">
        <f t="shared" si="33"/>
        <v>100743.5</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67">
        <f t="shared" si="33"/>
        <v>503717.5</v>
      </c>
      <c r="J110" s="154">
        <f t="shared" si="33"/>
        <v>100743.5</v>
      </c>
      <c r="K110" s="154">
        <f t="shared" si="33"/>
        <v>100743.5</v>
      </c>
      <c r="L110" s="154">
        <f t="shared" si="33"/>
        <v>100743.5</v>
      </c>
      <c r="M110" s="154">
        <f t="shared" si="33"/>
        <v>100743.5</v>
      </c>
      <c r="N110" s="154">
        <f t="shared" si="33"/>
        <v>100743.5</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67">
        <f t="shared" ref="I111:N120" si="34">I40/EXCHANGE_RATE</f>
        <v>503717.5</v>
      </c>
      <c r="J111" s="154">
        <f t="shared" si="34"/>
        <v>100743.5</v>
      </c>
      <c r="K111" s="154">
        <f t="shared" si="34"/>
        <v>100743.5</v>
      </c>
      <c r="L111" s="154">
        <f t="shared" si="34"/>
        <v>100743.5</v>
      </c>
      <c r="M111" s="154">
        <f t="shared" si="34"/>
        <v>100743.5</v>
      </c>
      <c r="N111" s="154">
        <f t="shared" si="34"/>
        <v>100743.5</v>
      </c>
    </row>
    <row r="112" spans="6:14" ht="12" x14ac:dyDescent="0.2">
      <c r="F112" s="444"/>
      <c r="G112" s="41" t="str">
        <f>STRAT4_IND4</f>
        <v>Objetivo estratégico 4 Indicador 4</v>
      </c>
      <c r="H112" s="268" t="str">
        <f ca="1">OFFSET(Variables_Lu!$D$10,Basic_Setup!H55,0)</f>
        <v>Nutrition-specific</v>
      </c>
      <c r="I112" s="67">
        <f t="shared" si="34"/>
        <v>0</v>
      </c>
      <c r="J112" s="154">
        <f t="shared" si="34"/>
        <v>0</v>
      </c>
      <c r="K112" s="154">
        <f t="shared" si="34"/>
        <v>0</v>
      </c>
      <c r="L112" s="154">
        <f t="shared" si="34"/>
        <v>0</v>
      </c>
      <c r="M112" s="154">
        <f t="shared" si="34"/>
        <v>0</v>
      </c>
      <c r="N112" s="154">
        <f t="shared" si="34"/>
        <v>0</v>
      </c>
    </row>
    <row r="113" spans="6:14" ht="12.6" thickBot="1" x14ac:dyDescent="0.25">
      <c r="F113" s="445"/>
      <c r="G113" s="275" t="str">
        <f>STRAT4_IND5</f>
        <v>Objetivo estratégico 4 Indicador 5</v>
      </c>
      <c r="H113" s="270" t="str">
        <f ca="1">OFFSET(Variables_Lu!$D$10,Basic_Setup!H56,0)</f>
        <v>Nutrition-specific</v>
      </c>
      <c r="I113" s="67">
        <f t="shared" si="34"/>
        <v>0</v>
      </c>
      <c r="J113" s="154">
        <f t="shared" si="34"/>
        <v>0</v>
      </c>
      <c r="K113" s="154">
        <f t="shared" si="34"/>
        <v>0</v>
      </c>
      <c r="L113" s="154">
        <f t="shared" si="34"/>
        <v>0</v>
      </c>
      <c r="M113" s="154">
        <f t="shared" si="34"/>
        <v>0</v>
      </c>
      <c r="N113" s="154">
        <f t="shared" si="34"/>
        <v>0</v>
      </c>
    </row>
    <row r="114" spans="6:14" ht="12.6" thickBot="1" x14ac:dyDescent="0.25">
      <c r="H114" s="152" t="s">
        <v>110</v>
      </c>
      <c r="I114" s="122">
        <f t="shared" si="34"/>
        <v>1511152.5</v>
      </c>
      <c r="J114" s="63">
        <f t="shared" si="34"/>
        <v>302230.5</v>
      </c>
      <c r="K114" s="63">
        <f t="shared" si="34"/>
        <v>302230.5</v>
      </c>
      <c r="L114" s="63">
        <f t="shared" si="34"/>
        <v>302230.5</v>
      </c>
      <c r="M114" s="63">
        <f t="shared" si="34"/>
        <v>302230.5</v>
      </c>
      <c r="N114" s="63">
        <f t="shared" si="34"/>
        <v>302230.5</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67">
        <f t="shared" si="34"/>
        <v>13823.333333333332</v>
      </c>
      <c r="J115" s="154">
        <f t="shared" si="34"/>
        <v>2764.6666666666661</v>
      </c>
      <c r="K115" s="154">
        <f t="shared" si="34"/>
        <v>2764.6666666666661</v>
      </c>
      <c r="L115" s="154">
        <f t="shared" si="34"/>
        <v>2764.6666666666661</v>
      </c>
      <c r="M115" s="154">
        <f t="shared" si="34"/>
        <v>2764.6666666666661</v>
      </c>
      <c r="N115" s="154">
        <f t="shared" si="34"/>
        <v>2764.6666666666661</v>
      </c>
    </row>
    <row r="116" spans="6:14" ht="22.8" x14ac:dyDescent="0.2">
      <c r="F116" s="444"/>
      <c r="G116" s="42" t="str">
        <f>STRAT5_IND2</f>
        <v>Se promueven dietas saludables y estilos de vida saludables para las personas.</v>
      </c>
      <c r="H116" s="268" t="str">
        <f ca="1">OFFSET(Variables_Lu!$D$10,Basic_Setup!H59,0)</f>
        <v>Nutrition-specific</v>
      </c>
      <c r="I116" s="67">
        <f t="shared" si="34"/>
        <v>13823.333333333332</v>
      </c>
      <c r="J116" s="154">
        <f t="shared" si="34"/>
        <v>2764.6666666666661</v>
      </c>
      <c r="K116" s="154">
        <f t="shared" si="34"/>
        <v>2764.6666666666661</v>
      </c>
      <c r="L116" s="154">
        <f t="shared" si="34"/>
        <v>2764.6666666666661</v>
      </c>
      <c r="M116" s="154">
        <f t="shared" si="34"/>
        <v>2764.6666666666661</v>
      </c>
      <c r="N116" s="154">
        <f t="shared" si="34"/>
        <v>2764.6666666666661</v>
      </c>
    </row>
    <row r="117" spans="6:14" ht="22.8" x14ac:dyDescent="0.2">
      <c r="F117" s="444"/>
      <c r="G117" s="42" t="str">
        <f>STRAT5_IND3</f>
        <v>Se promueven las buenas prácticas WASH a nivel comunitario y doméstico</v>
      </c>
      <c r="H117" s="268" t="str">
        <f ca="1">OFFSET(Variables_Lu!$D$10,Basic_Setup!H60,0)</f>
        <v>Nutrition-sensitive</v>
      </c>
      <c r="I117" s="67">
        <f t="shared" si="34"/>
        <v>13823.333333333332</v>
      </c>
      <c r="J117" s="154">
        <f t="shared" si="34"/>
        <v>2764.6666666666661</v>
      </c>
      <c r="K117" s="154">
        <f t="shared" si="34"/>
        <v>2764.6666666666661</v>
      </c>
      <c r="L117" s="154">
        <f t="shared" si="34"/>
        <v>2764.6666666666661</v>
      </c>
      <c r="M117" s="154">
        <f t="shared" si="34"/>
        <v>2764.6666666666661</v>
      </c>
      <c r="N117" s="154">
        <f t="shared" si="34"/>
        <v>2764.6666666666661</v>
      </c>
    </row>
    <row r="118" spans="6:14" ht="12" x14ac:dyDescent="0.2">
      <c r="F118" s="444"/>
      <c r="G118" s="41" t="str">
        <f>STRAT5_IND4</f>
        <v>Objetivo estratégico 5 Indicador 4</v>
      </c>
      <c r="H118" s="268" t="str">
        <f ca="1">OFFSET(Variables_Lu!$D$10,Basic_Setup!H61,0)</f>
        <v>Nutrition-specific</v>
      </c>
      <c r="I118" s="67">
        <f t="shared" si="34"/>
        <v>0</v>
      </c>
      <c r="J118" s="154">
        <f t="shared" si="34"/>
        <v>0</v>
      </c>
      <c r="K118" s="154">
        <f t="shared" si="34"/>
        <v>0</v>
      </c>
      <c r="L118" s="154">
        <f t="shared" si="34"/>
        <v>0</v>
      </c>
      <c r="M118" s="154">
        <f t="shared" si="34"/>
        <v>0</v>
      </c>
      <c r="N118" s="154">
        <f t="shared" si="34"/>
        <v>0</v>
      </c>
    </row>
    <row r="119" spans="6:14" ht="12.6" thickBot="1" x14ac:dyDescent="0.25">
      <c r="F119" s="445"/>
      <c r="G119" s="275" t="str">
        <f>STRAT5_IND5</f>
        <v>Objetivo estratégico 5 Indicador 5</v>
      </c>
      <c r="H119" s="270" t="str">
        <f ca="1">OFFSET(Variables_Lu!$D$10,Basic_Setup!H62,0)</f>
        <v>Nutrition-specific</v>
      </c>
      <c r="I119" s="67">
        <f t="shared" si="34"/>
        <v>0</v>
      </c>
      <c r="J119" s="154">
        <f t="shared" si="34"/>
        <v>0</v>
      </c>
      <c r="K119" s="154">
        <f t="shared" si="34"/>
        <v>0</v>
      </c>
      <c r="L119" s="154">
        <f t="shared" si="34"/>
        <v>0</v>
      </c>
      <c r="M119" s="154">
        <f t="shared" si="34"/>
        <v>0</v>
      </c>
      <c r="N119" s="154">
        <f t="shared" si="34"/>
        <v>0</v>
      </c>
    </row>
    <row r="120" spans="6:14" ht="12.6" thickBot="1" x14ac:dyDescent="0.25">
      <c r="H120" s="152" t="s">
        <v>111</v>
      </c>
      <c r="I120" s="122">
        <f t="shared" si="34"/>
        <v>41469.999999999993</v>
      </c>
      <c r="J120" s="63">
        <f t="shared" si="34"/>
        <v>8293.9999999999982</v>
      </c>
      <c r="K120" s="63">
        <f t="shared" si="34"/>
        <v>8293.9999999999982</v>
      </c>
      <c r="L120" s="63">
        <f t="shared" si="34"/>
        <v>8293.9999999999982</v>
      </c>
      <c r="M120" s="63">
        <f t="shared" si="34"/>
        <v>8293.9999999999982</v>
      </c>
      <c r="N120" s="63">
        <f t="shared" si="34"/>
        <v>8293.9999999999982</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67">
        <f t="shared" ref="I121:N130" si="35">I50/EXCHANGE_RATE</f>
        <v>0</v>
      </c>
      <c r="J121" s="154">
        <f t="shared" si="35"/>
        <v>0</v>
      </c>
      <c r="K121" s="154">
        <f t="shared" si="35"/>
        <v>0</v>
      </c>
      <c r="L121" s="154">
        <f t="shared" si="35"/>
        <v>0</v>
      </c>
      <c r="M121" s="154">
        <f t="shared" si="35"/>
        <v>0</v>
      </c>
      <c r="N121" s="154">
        <f t="shared" si="35"/>
        <v>0</v>
      </c>
    </row>
    <row r="122" spans="6:14" ht="12" x14ac:dyDescent="0.2">
      <c r="F122" s="444"/>
      <c r="G122" s="42" t="str">
        <f>STRAT6_IND2</f>
        <v>Objetivo estratégico 6 Indicador 2</v>
      </c>
      <c r="H122" s="268" t="str">
        <f ca="1">OFFSET(Variables_Lu!$D$10,Basic_Setup!H65,0)</f>
        <v>Nutrition-specific</v>
      </c>
      <c r="I122" s="67">
        <f t="shared" si="35"/>
        <v>0</v>
      </c>
      <c r="J122" s="154">
        <f t="shared" si="35"/>
        <v>0</v>
      </c>
      <c r="K122" s="154">
        <f t="shared" si="35"/>
        <v>0</v>
      </c>
      <c r="L122" s="154">
        <f t="shared" si="35"/>
        <v>0</v>
      </c>
      <c r="M122" s="154">
        <f t="shared" si="35"/>
        <v>0</v>
      </c>
      <c r="N122" s="154">
        <f t="shared" si="35"/>
        <v>0</v>
      </c>
    </row>
    <row r="123" spans="6:14" ht="12" x14ac:dyDescent="0.2">
      <c r="F123" s="444"/>
      <c r="G123" s="42" t="str">
        <f>STRAT6_IND3</f>
        <v>Objetivo estratégico 6 Indicador 3</v>
      </c>
      <c r="H123" s="268" t="str">
        <f ca="1">OFFSET(Variables_Lu!$D$10,Basic_Setup!H66,0)</f>
        <v>Nutrition-specific</v>
      </c>
      <c r="I123" s="67">
        <f t="shared" si="35"/>
        <v>0</v>
      </c>
      <c r="J123" s="154">
        <f t="shared" si="35"/>
        <v>0</v>
      </c>
      <c r="K123" s="154">
        <f t="shared" si="35"/>
        <v>0</v>
      </c>
      <c r="L123" s="154">
        <f t="shared" si="35"/>
        <v>0</v>
      </c>
      <c r="M123" s="154">
        <f t="shared" si="35"/>
        <v>0</v>
      </c>
      <c r="N123" s="154">
        <f t="shared" si="35"/>
        <v>0</v>
      </c>
    </row>
    <row r="124" spans="6:14" ht="12" x14ac:dyDescent="0.2">
      <c r="F124" s="444"/>
      <c r="G124" s="41" t="str">
        <f>STRAT6_IND4</f>
        <v>Objetivo estratégico 6 Indicador 4</v>
      </c>
      <c r="H124" s="268" t="str">
        <f ca="1">OFFSET(Variables_Lu!$D$10,Basic_Setup!H67,0)</f>
        <v>Nutrition-specific</v>
      </c>
      <c r="I124" s="67">
        <f t="shared" si="35"/>
        <v>0</v>
      </c>
      <c r="J124" s="154">
        <f t="shared" si="35"/>
        <v>0</v>
      </c>
      <c r="K124" s="154">
        <f t="shared" si="35"/>
        <v>0</v>
      </c>
      <c r="L124" s="154">
        <f t="shared" si="35"/>
        <v>0</v>
      </c>
      <c r="M124" s="154">
        <f t="shared" si="35"/>
        <v>0</v>
      </c>
      <c r="N124" s="154">
        <f t="shared" si="35"/>
        <v>0</v>
      </c>
    </row>
    <row r="125" spans="6:14" ht="12.6" thickBot="1" x14ac:dyDescent="0.25">
      <c r="F125" s="445"/>
      <c r="G125" s="275" t="str">
        <f>STRAT6_IND5</f>
        <v>Objetivo estratégico 6 Indicador 5</v>
      </c>
      <c r="H125" s="270" t="str">
        <f ca="1">OFFSET(Variables_Lu!$D$10,Basic_Setup!H68,0)</f>
        <v>Nutrition-specific</v>
      </c>
      <c r="I125" s="67">
        <f t="shared" si="35"/>
        <v>0</v>
      </c>
      <c r="J125" s="154">
        <f t="shared" si="35"/>
        <v>0</v>
      </c>
      <c r="K125" s="154">
        <f t="shared" si="35"/>
        <v>0</v>
      </c>
      <c r="L125" s="154">
        <f t="shared" si="35"/>
        <v>0</v>
      </c>
      <c r="M125" s="154">
        <f t="shared" si="35"/>
        <v>0</v>
      </c>
      <c r="N125" s="154">
        <f t="shared" si="35"/>
        <v>0</v>
      </c>
    </row>
    <row r="126" spans="6:14" ht="12.6" thickBot="1" x14ac:dyDescent="0.25">
      <c r="H126" s="152" t="s">
        <v>159</v>
      </c>
      <c r="I126" s="122">
        <f t="shared" si="35"/>
        <v>0</v>
      </c>
      <c r="J126" s="63">
        <f t="shared" si="35"/>
        <v>0</v>
      </c>
      <c r="K126" s="63">
        <f t="shared" si="35"/>
        <v>0</v>
      </c>
      <c r="L126" s="63">
        <f t="shared" si="35"/>
        <v>0</v>
      </c>
      <c r="M126" s="63">
        <f t="shared" si="35"/>
        <v>0</v>
      </c>
      <c r="N126" s="63">
        <f t="shared" si="35"/>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67">
        <f t="shared" si="35"/>
        <v>0</v>
      </c>
      <c r="J127" s="154">
        <f t="shared" si="35"/>
        <v>0</v>
      </c>
      <c r="K127" s="154">
        <f t="shared" si="35"/>
        <v>0</v>
      </c>
      <c r="L127" s="154">
        <f t="shared" si="35"/>
        <v>0</v>
      </c>
      <c r="M127" s="154">
        <f t="shared" si="35"/>
        <v>0</v>
      </c>
      <c r="N127" s="154">
        <f t="shared" si="35"/>
        <v>0</v>
      </c>
    </row>
    <row r="128" spans="6:14" ht="12" x14ac:dyDescent="0.2">
      <c r="F128" s="444"/>
      <c r="G128" s="42" t="str">
        <f>STRAT7_IND2</f>
        <v>Objetivo estratégico 7 Indicador 2</v>
      </c>
      <c r="H128" s="268" t="str">
        <f ca="1">OFFSET(Variables_Lu!$D$10,Basic_Setup!H71,0)</f>
        <v>Nutrition-specific</v>
      </c>
      <c r="I128" s="67">
        <f t="shared" si="35"/>
        <v>0</v>
      </c>
      <c r="J128" s="154">
        <f t="shared" si="35"/>
        <v>0</v>
      </c>
      <c r="K128" s="154">
        <f t="shared" si="35"/>
        <v>0</v>
      </c>
      <c r="L128" s="154">
        <f t="shared" si="35"/>
        <v>0</v>
      </c>
      <c r="M128" s="154">
        <f t="shared" si="35"/>
        <v>0</v>
      </c>
      <c r="N128" s="154">
        <f t="shared" si="35"/>
        <v>0</v>
      </c>
    </row>
    <row r="129" spans="6:14" ht="12" x14ac:dyDescent="0.2">
      <c r="F129" s="444"/>
      <c r="G129" s="42" t="str">
        <f>STRAT7_IND3</f>
        <v>Objetivo estratégico 7 Indicador 3</v>
      </c>
      <c r="H129" s="268" t="str">
        <f ca="1">OFFSET(Variables_Lu!$D$10,Basic_Setup!H72,0)</f>
        <v>Nutrition-specific</v>
      </c>
      <c r="I129" s="67">
        <f t="shared" si="35"/>
        <v>0</v>
      </c>
      <c r="J129" s="154">
        <f t="shared" si="35"/>
        <v>0</v>
      </c>
      <c r="K129" s="154">
        <f t="shared" si="35"/>
        <v>0</v>
      </c>
      <c r="L129" s="154">
        <f t="shared" si="35"/>
        <v>0</v>
      </c>
      <c r="M129" s="154">
        <f t="shared" si="35"/>
        <v>0</v>
      </c>
      <c r="N129" s="154">
        <f t="shared" si="35"/>
        <v>0</v>
      </c>
    </row>
    <row r="130" spans="6:14" ht="12" x14ac:dyDescent="0.2">
      <c r="F130" s="444"/>
      <c r="G130" s="41" t="str">
        <f>STRAT7_IND4</f>
        <v>Objetivo estratégico 7 Indicador 4</v>
      </c>
      <c r="H130" s="268" t="str">
        <f ca="1">OFFSET(Variables_Lu!$D$10,Basic_Setup!H73,0)</f>
        <v>Nutrition-specific</v>
      </c>
      <c r="I130" s="67">
        <f t="shared" si="35"/>
        <v>0</v>
      </c>
      <c r="J130" s="154">
        <f t="shared" si="35"/>
        <v>0</v>
      </c>
      <c r="K130" s="154">
        <f t="shared" si="35"/>
        <v>0</v>
      </c>
      <c r="L130" s="154">
        <f t="shared" si="35"/>
        <v>0</v>
      </c>
      <c r="M130" s="154">
        <f t="shared" si="35"/>
        <v>0</v>
      </c>
      <c r="N130" s="154">
        <f t="shared" si="35"/>
        <v>0</v>
      </c>
    </row>
    <row r="131" spans="6:14" ht="12.6" thickBot="1" x14ac:dyDescent="0.25">
      <c r="F131" s="445"/>
      <c r="G131" s="275" t="str">
        <f>STRAT7_IND5</f>
        <v>Objetivo estratégico 7 Indicador 5</v>
      </c>
      <c r="H131" s="270" t="str">
        <f ca="1">OFFSET(Variables_Lu!$D$10,Basic_Setup!H74,0)</f>
        <v>Nutrition-specific</v>
      </c>
      <c r="I131" s="67">
        <f t="shared" ref="I131:N140" si="36">I60/EXCHANGE_RATE</f>
        <v>0</v>
      </c>
      <c r="J131" s="154">
        <f t="shared" si="36"/>
        <v>0</v>
      </c>
      <c r="K131" s="154">
        <f t="shared" si="36"/>
        <v>0</v>
      </c>
      <c r="L131" s="154">
        <f t="shared" si="36"/>
        <v>0</v>
      </c>
      <c r="M131" s="154">
        <f t="shared" si="36"/>
        <v>0</v>
      </c>
      <c r="N131" s="154">
        <f t="shared" si="36"/>
        <v>0</v>
      </c>
    </row>
    <row r="132" spans="6:14" ht="12.6" thickBot="1" x14ac:dyDescent="0.25">
      <c r="H132" s="152" t="s">
        <v>160</v>
      </c>
      <c r="I132" s="122">
        <f t="shared" si="36"/>
        <v>0</v>
      </c>
      <c r="J132" s="63">
        <f t="shared" si="36"/>
        <v>0</v>
      </c>
      <c r="K132" s="63">
        <f t="shared" si="36"/>
        <v>0</v>
      </c>
      <c r="L132" s="63">
        <f t="shared" si="36"/>
        <v>0</v>
      </c>
      <c r="M132" s="63">
        <f t="shared" si="36"/>
        <v>0</v>
      </c>
      <c r="N132" s="63">
        <f t="shared" si="36"/>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67">
        <f t="shared" si="36"/>
        <v>0</v>
      </c>
      <c r="J133" s="154">
        <f t="shared" si="36"/>
        <v>0</v>
      </c>
      <c r="K133" s="154">
        <f t="shared" si="36"/>
        <v>0</v>
      </c>
      <c r="L133" s="154">
        <f t="shared" si="36"/>
        <v>0</v>
      </c>
      <c r="M133" s="154">
        <f t="shared" si="36"/>
        <v>0</v>
      </c>
      <c r="N133" s="154">
        <f t="shared" si="36"/>
        <v>0</v>
      </c>
    </row>
    <row r="134" spans="6:14" ht="12" x14ac:dyDescent="0.2">
      <c r="F134" s="444"/>
      <c r="G134" s="42" t="str">
        <f>STRAT8_IND2</f>
        <v>Objetivo estratégico 8 Indicador 2</v>
      </c>
      <c r="H134" s="268" t="str">
        <f ca="1">OFFSET(Variables_Lu!$D$10,Basic_Setup!H77,0)</f>
        <v>Nutrition-specific</v>
      </c>
      <c r="I134" s="67">
        <f t="shared" si="36"/>
        <v>0</v>
      </c>
      <c r="J134" s="154">
        <f t="shared" si="36"/>
        <v>0</v>
      </c>
      <c r="K134" s="154">
        <f t="shared" si="36"/>
        <v>0</v>
      </c>
      <c r="L134" s="154">
        <f t="shared" si="36"/>
        <v>0</v>
      </c>
      <c r="M134" s="154">
        <f t="shared" si="36"/>
        <v>0</v>
      </c>
      <c r="N134" s="154">
        <f t="shared" si="36"/>
        <v>0</v>
      </c>
    </row>
    <row r="135" spans="6:14" ht="12" x14ac:dyDescent="0.2">
      <c r="F135" s="444"/>
      <c r="G135" s="42" t="str">
        <f>STRAT8_IND3</f>
        <v>Objetivo estratégico 8 Indicador 3</v>
      </c>
      <c r="H135" s="268" t="str">
        <f ca="1">OFFSET(Variables_Lu!$D$10,Basic_Setup!H78,0)</f>
        <v>Nutrition-specific</v>
      </c>
      <c r="I135" s="67">
        <f t="shared" si="36"/>
        <v>0</v>
      </c>
      <c r="J135" s="154">
        <f t="shared" si="36"/>
        <v>0</v>
      </c>
      <c r="K135" s="154">
        <f t="shared" si="36"/>
        <v>0</v>
      </c>
      <c r="L135" s="154">
        <f t="shared" si="36"/>
        <v>0</v>
      </c>
      <c r="M135" s="154">
        <f t="shared" si="36"/>
        <v>0</v>
      </c>
      <c r="N135" s="154">
        <f t="shared" si="36"/>
        <v>0</v>
      </c>
    </row>
    <row r="136" spans="6:14" ht="12" x14ac:dyDescent="0.2">
      <c r="F136" s="444"/>
      <c r="G136" s="41" t="str">
        <f>STRAT8_IND4</f>
        <v>Objetivo estratégico 8 Indicador 4</v>
      </c>
      <c r="H136" s="268" t="str">
        <f ca="1">OFFSET(Variables_Lu!$D$10,Basic_Setup!H79,0)</f>
        <v>Nutrition-specific</v>
      </c>
      <c r="I136" s="67">
        <f t="shared" si="36"/>
        <v>0</v>
      </c>
      <c r="J136" s="154">
        <f t="shared" si="36"/>
        <v>0</v>
      </c>
      <c r="K136" s="154">
        <f t="shared" si="36"/>
        <v>0</v>
      </c>
      <c r="L136" s="154">
        <f t="shared" si="36"/>
        <v>0</v>
      </c>
      <c r="M136" s="154">
        <f t="shared" si="36"/>
        <v>0</v>
      </c>
      <c r="N136" s="154">
        <f t="shared" si="36"/>
        <v>0</v>
      </c>
    </row>
    <row r="137" spans="6:14" ht="12.6" thickBot="1" x14ac:dyDescent="0.25">
      <c r="F137" s="445"/>
      <c r="G137" s="275" t="str">
        <f>STRAT8_IND5</f>
        <v>Objetivo estratégico 8 Indicador 5</v>
      </c>
      <c r="H137" s="270" t="str">
        <f ca="1">OFFSET(Variables_Lu!$D$10,Basic_Setup!H80,0)</f>
        <v>Nutrition-specific</v>
      </c>
      <c r="I137" s="67">
        <f t="shared" si="36"/>
        <v>0</v>
      </c>
      <c r="J137" s="154">
        <f t="shared" si="36"/>
        <v>0</v>
      </c>
      <c r="K137" s="154">
        <f t="shared" si="36"/>
        <v>0</v>
      </c>
      <c r="L137" s="154">
        <f t="shared" si="36"/>
        <v>0</v>
      </c>
      <c r="M137" s="154">
        <f t="shared" si="36"/>
        <v>0</v>
      </c>
      <c r="N137" s="154">
        <f t="shared" si="36"/>
        <v>0</v>
      </c>
    </row>
    <row r="138" spans="6:14" ht="12.6" thickBot="1" x14ac:dyDescent="0.25">
      <c r="H138" s="152" t="s">
        <v>161</v>
      </c>
      <c r="I138" s="122">
        <f t="shared" si="36"/>
        <v>0</v>
      </c>
      <c r="J138" s="63">
        <f t="shared" si="36"/>
        <v>0</v>
      </c>
      <c r="K138" s="63">
        <f t="shared" si="36"/>
        <v>0</v>
      </c>
      <c r="L138" s="63">
        <f t="shared" si="36"/>
        <v>0</v>
      </c>
      <c r="M138" s="63">
        <f t="shared" si="36"/>
        <v>0</v>
      </c>
      <c r="N138" s="63">
        <f t="shared" si="36"/>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67">
        <f t="shared" si="36"/>
        <v>0</v>
      </c>
      <c r="J139" s="154">
        <f t="shared" si="36"/>
        <v>0</v>
      </c>
      <c r="K139" s="154">
        <f t="shared" si="36"/>
        <v>0</v>
      </c>
      <c r="L139" s="154">
        <f t="shared" si="36"/>
        <v>0</v>
      </c>
      <c r="M139" s="154">
        <f t="shared" si="36"/>
        <v>0</v>
      </c>
      <c r="N139" s="154">
        <f t="shared" si="36"/>
        <v>0</v>
      </c>
    </row>
    <row r="140" spans="6:14" ht="12" x14ac:dyDescent="0.2">
      <c r="F140" s="444"/>
      <c r="G140" s="42" t="str">
        <f>STRAT9_IND2</f>
        <v>Objetivo estratégico 9 Indicador 2</v>
      </c>
      <c r="H140" s="268" t="str">
        <f ca="1">OFFSET(Variables_Lu!$D$10,Basic_Setup!H83,0)</f>
        <v>Nutrition-specific</v>
      </c>
      <c r="I140" s="67">
        <f t="shared" si="36"/>
        <v>0</v>
      </c>
      <c r="J140" s="154">
        <f t="shared" si="36"/>
        <v>0</v>
      </c>
      <c r="K140" s="154">
        <f t="shared" si="36"/>
        <v>0</v>
      </c>
      <c r="L140" s="154">
        <f t="shared" si="36"/>
        <v>0</v>
      </c>
      <c r="M140" s="154">
        <f t="shared" si="36"/>
        <v>0</v>
      </c>
      <c r="N140" s="154">
        <f t="shared" si="36"/>
        <v>0</v>
      </c>
    </row>
    <row r="141" spans="6:14" ht="12" x14ac:dyDescent="0.2">
      <c r="F141" s="444"/>
      <c r="G141" s="42" t="str">
        <f>STRAT9_IND3</f>
        <v>Objetivo estratégico 9 Indicador 3</v>
      </c>
      <c r="H141" s="268" t="str">
        <f ca="1">OFFSET(Variables_Lu!$D$10,Basic_Setup!H84,0)</f>
        <v>Nutrition-specific</v>
      </c>
      <c r="I141" s="67">
        <f t="shared" ref="I141:N150" si="37">I70/EXCHANGE_RATE</f>
        <v>0</v>
      </c>
      <c r="J141" s="154">
        <f t="shared" si="37"/>
        <v>0</v>
      </c>
      <c r="K141" s="154">
        <f t="shared" si="37"/>
        <v>0</v>
      </c>
      <c r="L141" s="154">
        <f t="shared" si="37"/>
        <v>0</v>
      </c>
      <c r="M141" s="154">
        <f t="shared" si="37"/>
        <v>0</v>
      </c>
      <c r="N141" s="154">
        <f t="shared" si="37"/>
        <v>0</v>
      </c>
    </row>
    <row r="142" spans="6:14" ht="12" x14ac:dyDescent="0.2">
      <c r="F142" s="444"/>
      <c r="G142" s="41" t="str">
        <f>STRAT9_IND4</f>
        <v>Objetivo estratégico 9 Indicador 4</v>
      </c>
      <c r="H142" s="268" t="str">
        <f ca="1">OFFSET(Variables_Lu!$D$10,Basic_Setup!H85,0)</f>
        <v>Nutrition-specific</v>
      </c>
      <c r="I142" s="67">
        <f t="shared" si="37"/>
        <v>0</v>
      </c>
      <c r="J142" s="154">
        <f t="shared" si="37"/>
        <v>0</v>
      </c>
      <c r="K142" s="154">
        <f t="shared" si="37"/>
        <v>0</v>
      </c>
      <c r="L142" s="154">
        <f t="shared" si="37"/>
        <v>0</v>
      </c>
      <c r="M142" s="154">
        <f t="shared" si="37"/>
        <v>0</v>
      </c>
      <c r="N142" s="154">
        <f t="shared" si="37"/>
        <v>0</v>
      </c>
    </row>
    <row r="143" spans="6:14" ht="12.6" thickBot="1" x14ac:dyDescent="0.25">
      <c r="F143" s="445"/>
      <c r="G143" s="275" t="str">
        <f>STRAT9_IND5</f>
        <v>Objetivo estratégico 9 Indicador 5</v>
      </c>
      <c r="H143" s="270" t="str">
        <f ca="1">OFFSET(Variables_Lu!$D$10,Basic_Setup!H86,0)</f>
        <v>Nutrition-specific</v>
      </c>
      <c r="I143" s="67">
        <f t="shared" si="37"/>
        <v>0</v>
      </c>
      <c r="J143" s="154">
        <f t="shared" si="37"/>
        <v>0</v>
      </c>
      <c r="K143" s="154">
        <f t="shared" si="37"/>
        <v>0</v>
      </c>
      <c r="L143" s="154">
        <f t="shared" si="37"/>
        <v>0</v>
      </c>
      <c r="M143" s="154">
        <f t="shared" si="37"/>
        <v>0</v>
      </c>
      <c r="N143" s="154">
        <f t="shared" si="37"/>
        <v>0</v>
      </c>
    </row>
    <row r="144" spans="6:14" ht="12.6" thickBot="1" x14ac:dyDescent="0.25">
      <c r="H144" s="152" t="s">
        <v>162</v>
      </c>
      <c r="I144" s="122">
        <f t="shared" si="37"/>
        <v>0</v>
      </c>
      <c r="J144" s="63">
        <f t="shared" si="37"/>
        <v>0</v>
      </c>
      <c r="K144" s="63">
        <f t="shared" si="37"/>
        <v>0</v>
      </c>
      <c r="L144" s="63">
        <f t="shared" si="37"/>
        <v>0</v>
      </c>
      <c r="M144" s="63">
        <f t="shared" si="37"/>
        <v>0</v>
      </c>
      <c r="N144" s="63">
        <f t="shared" si="37"/>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67">
        <f t="shared" si="37"/>
        <v>0</v>
      </c>
      <c r="J145" s="154">
        <f t="shared" si="37"/>
        <v>0</v>
      </c>
      <c r="K145" s="154">
        <f t="shared" si="37"/>
        <v>0</v>
      </c>
      <c r="L145" s="154">
        <f t="shared" si="37"/>
        <v>0</v>
      </c>
      <c r="M145" s="154">
        <f t="shared" si="37"/>
        <v>0</v>
      </c>
      <c r="N145" s="154">
        <f t="shared" si="37"/>
        <v>0</v>
      </c>
    </row>
    <row r="146" spans="1:14" ht="12" x14ac:dyDescent="0.2">
      <c r="F146" s="444"/>
      <c r="G146" s="42" t="str">
        <f>STRAT10_IND2</f>
        <v>Objetivo estratégico 10 Indicador 2</v>
      </c>
      <c r="H146" s="268" t="str">
        <f ca="1">OFFSET(Variables_Lu!$D$10,Basic_Setup!H89,0)</f>
        <v>Nutrition-specific</v>
      </c>
      <c r="I146" s="67">
        <f t="shared" si="37"/>
        <v>0</v>
      </c>
      <c r="J146" s="154">
        <f t="shared" si="37"/>
        <v>0</v>
      </c>
      <c r="K146" s="154">
        <f t="shared" si="37"/>
        <v>0</v>
      </c>
      <c r="L146" s="154">
        <f t="shared" si="37"/>
        <v>0</v>
      </c>
      <c r="M146" s="154">
        <f t="shared" si="37"/>
        <v>0</v>
      </c>
      <c r="N146" s="154">
        <f t="shared" si="37"/>
        <v>0</v>
      </c>
    </row>
    <row r="147" spans="1:14" ht="12" x14ac:dyDescent="0.2">
      <c r="F147" s="444"/>
      <c r="G147" s="42" t="str">
        <f>STRAT10_IND3</f>
        <v>Objetivo estratégico 10 Indicador 3</v>
      </c>
      <c r="H147" s="268" t="str">
        <f ca="1">OFFSET(Variables_Lu!$D$10,Basic_Setup!H90,0)</f>
        <v>Nutrition-specific</v>
      </c>
      <c r="I147" s="67">
        <f t="shared" si="37"/>
        <v>0</v>
      </c>
      <c r="J147" s="154">
        <f t="shared" si="37"/>
        <v>0</v>
      </c>
      <c r="K147" s="154">
        <f t="shared" si="37"/>
        <v>0</v>
      </c>
      <c r="L147" s="154">
        <f t="shared" si="37"/>
        <v>0</v>
      </c>
      <c r="M147" s="154">
        <f t="shared" si="37"/>
        <v>0</v>
      </c>
      <c r="N147" s="154">
        <f t="shared" si="37"/>
        <v>0</v>
      </c>
    </row>
    <row r="148" spans="1:14" ht="12" x14ac:dyDescent="0.2">
      <c r="F148" s="444"/>
      <c r="G148" s="41" t="str">
        <f>STRAT10_IND4</f>
        <v>Objetivo estratégico 10 Indicador 4</v>
      </c>
      <c r="H148" s="268" t="str">
        <f ca="1">OFFSET(Variables_Lu!$D$10,Basic_Setup!H91,0)</f>
        <v>Nutrition-specific</v>
      </c>
      <c r="I148" s="67">
        <f t="shared" si="37"/>
        <v>0</v>
      </c>
      <c r="J148" s="154">
        <f t="shared" si="37"/>
        <v>0</v>
      </c>
      <c r="K148" s="154">
        <f t="shared" si="37"/>
        <v>0</v>
      </c>
      <c r="L148" s="154">
        <f t="shared" si="37"/>
        <v>0</v>
      </c>
      <c r="M148" s="154">
        <f t="shared" si="37"/>
        <v>0</v>
      </c>
      <c r="N148" s="154">
        <f t="shared" si="37"/>
        <v>0</v>
      </c>
    </row>
    <row r="149" spans="1:14" ht="12.6" thickBot="1" x14ac:dyDescent="0.25">
      <c r="F149" s="445"/>
      <c r="G149" s="275" t="str">
        <f>STRAT10_IND5</f>
        <v>Objetivo estratégico 10 Indicador 5</v>
      </c>
      <c r="H149" s="270" t="str">
        <f ca="1">OFFSET(Variables_Lu!$D$10,Basic_Setup!H92,0)</f>
        <v>Nutrition-specific</v>
      </c>
      <c r="I149" s="67">
        <f t="shared" si="37"/>
        <v>0</v>
      </c>
      <c r="J149" s="154">
        <f t="shared" si="37"/>
        <v>0</v>
      </c>
      <c r="K149" s="154">
        <f t="shared" si="37"/>
        <v>0</v>
      </c>
      <c r="L149" s="154">
        <f t="shared" si="37"/>
        <v>0</v>
      </c>
      <c r="M149" s="154">
        <f t="shared" si="37"/>
        <v>0</v>
      </c>
      <c r="N149" s="154">
        <f t="shared" si="37"/>
        <v>0</v>
      </c>
    </row>
    <row r="150" spans="1:14" ht="12" x14ac:dyDescent="0.2">
      <c r="H150" s="152" t="s">
        <v>163</v>
      </c>
      <c r="I150" s="122">
        <f t="shared" si="37"/>
        <v>0</v>
      </c>
      <c r="J150" s="63">
        <f t="shared" si="37"/>
        <v>0</v>
      </c>
      <c r="K150" s="63">
        <f t="shared" si="37"/>
        <v>0</v>
      </c>
      <c r="L150" s="63">
        <f t="shared" si="37"/>
        <v>0</v>
      </c>
      <c r="M150" s="63">
        <f t="shared" si="37"/>
        <v>0</v>
      </c>
      <c r="N150" s="63">
        <f t="shared" si="37"/>
        <v>0</v>
      </c>
    </row>
    <row r="151" spans="1:14" x14ac:dyDescent="0.2">
      <c r="I151" s="231"/>
      <c r="J151" s="231"/>
      <c r="K151" s="231"/>
      <c r="L151" s="231"/>
      <c r="M151" s="231"/>
      <c r="N151" s="231"/>
    </row>
    <row r="152" spans="1:14" ht="12.6" thickBot="1" x14ac:dyDescent="0.25">
      <c r="H152" s="149" t="str">
        <f>"TOTAL - "&amp;$F$12</f>
        <v>TOTAL - Ministerio de Educación Nacional, de Educación Superior e Investigación Científica</v>
      </c>
      <c r="I152" s="65">
        <f t="shared" ref="I152:N152" si="38">I81/EXCHANGE_RATE</f>
        <v>3575000</v>
      </c>
      <c r="J152" s="65">
        <f t="shared" si="38"/>
        <v>715000</v>
      </c>
      <c r="K152" s="65">
        <f t="shared" si="38"/>
        <v>715000</v>
      </c>
      <c r="L152" s="65">
        <f t="shared" si="38"/>
        <v>715000</v>
      </c>
      <c r="M152" s="65">
        <f t="shared" si="38"/>
        <v>715000</v>
      </c>
      <c r="N152" s="65">
        <f t="shared" si="38"/>
        <v>715000</v>
      </c>
    </row>
    <row r="153" spans="1:14" ht="12" x14ac:dyDescent="0.2">
      <c r="I153" s="149"/>
    </row>
    <row r="155" spans="1:14" x14ac:dyDescent="0.2">
      <c r="A155" s="39" t="s">
        <v>76</v>
      </c>
      <c r="B155" s="40" t="str">
        <f>"Summary of "&amp;Government3&amp;" - by Result/Indicator Type"</f>
        <v>Summary of Ministerio de Educación Nacional, de Educación Superior e Investigación Científica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f ca="1">I159/$I$162</f>
        <v>0.58216666666666672</v>
      </c>
      <c r="I159" s="68">
        <f ca="1">SUM(J159:N159)</f>
        <v>3746242500.0000005</v>
      </c>
      <c r="J159" s="325">
        <f t="shared" ref="J159:N161" ca="1" si="39">J166*EXCHANGE_RATE</f>
        <v>749248500.00000012</v>
      </c>
      <c r="K159" s="325">
        <f t="shared" ca="1" si="39"/>
        <v>749248500.00000012</v>
      </c>
      <c r="L159" s="325">
        <f t="shared" ca="1" si="39"/>
        <v>749248500.00000012</v>
      </c>
      <c r="M159" s="325">
        <f t="shared" ca="1" si="39"/>
        <v>749248500.00000012</v>
      </c>
      <c r="N159" s="325">
        <f t="shared" ca="1" si="39"/>
        <v>749248500.00000012</v>
      </c>
    </row>
    <row r="160" spans="1:14" ht="12" x14ac:dyDescent="0.2">
      <c r="F160" s="38" t="str">
        <f>Lu_Nutrition_Sensitive</f>
        <v>Nutrition-sensitive</v>
      </c>
      <c r="G160" s="38"/>
      <c r="H160" s="289">
        <f t="shared" ref="H160:H161" ca="1" si="40">I160/$I$162</f>
        <v>0.41623333333333323</v>
      </c>
      <c r="I160" s="69">
        <f ca="1">SUM(J160:N160)</f>
        <v>2678461499.9999995</v>
      </c>
      <c r="J160" s="325">
        <f t="shared" ca="1" si="39"/>
        <v>535692299.99999994</v>
      </c>
      <c r="K160" s="325">
        <f t="shared" ca="1" si="39"/>
        <v>535692299.99999994</v>
      </c>
      <c r="L160" s="325">
        <f t="shared" ca="1" si="39"/>
        <v>535692299.99999994</v>
      </c>
      <c r="M160" s="325">
        <f t="shared" ca="1" si="39"/>
        <v>535692299.99999994</v>
      </c>
      <c r="N160" s="325">
        <f t="shared" ca="1" si="39"/>
        <v>535692299.99999994</v>
      </c>
    </row>
    <row r="161" spans="6:14" ht="12" x14ac:dyDescent="0.2">
      <c r="F161" s="38" t="str">
        <f>Lu_Governance</f>
        <v>Governance</v>
      </c>
      <c r="G161" s="38"/>
      <c r="H161" s="289">
        <f t="shared" ca="1" si="40"/>
        <v>1.6000000000000001E-3</v>
      </c>
      <c r="I161" s="69">
        <f ca="1">SUM(J161:N161)</f>
        <v>10296000</v>
      </c>
      <c r="J161" s="325">
        <f t="shared" ca="1" si="39"/>
        <v>2059200</v>
      </c>
      <c r="K161" s="325">
        <f t="shared" ca="1" si="39"/>
        <v>2059200</v>
      </c>
      <c r="L161" s="325">
        <f t="shared" ca="1" si="39"/>
        <v>2059200</v>
      </c>
      <c r="M161" s="325">
        <f t="shared" ca="1" si="39"/>
        <v>2059200</v>
      </c>
      <c r="N161" s="325">
        <f t="shared" ca="1" si="39"/>
        <v>2059200</v>
      </c>
    </row>
    <row r="162" spans="6:14" ht="12" x14ac:dyDescent="0.2">
      <c r="F162" s="324" t="str">
        <f>"TOTAL - "&amp;Summary_Govt_Contributions!$F$12&amp;" ("&amp;CURR_LCU_ABBR&amp;")"</f>
        <v>TOTAL - TODAS las contribuciones de las agencias gubernamentales (GOZ)</v>
      </c>
      <c r="G162" s="74"/>
      <c r="H162" s="291">
        <f ca="1">SUM(H159:H161)</f>
        <v>1</v>
      </c>
      <c r="I162" s="57">
        <f ca="1">SUM(J162:N162)</f>
        <v>6435000000</v>
      </c>
      <c r="J162" s="55">
        <f ca="1">SUM(J159:J161)</f>
        <v>1287000000</v>
      </c>
      <c r="K162" s="55">
        <f t="shared" ref="K162:N162" ca="1" si="41">SUM(K159:K161)</f>
        <v>1287000000</v>
      </c>
      <c r="L162" s="55">
        <f t="shared" ca="1" si="41"/>
        <v>1287000000</v>
      </c>
      <c r="M162" s="55">
        <f t="shared" ca="1" si="41"/>
        <v>1287000000</v>
      </c>
      <c r="N162" s="55">
        <f t="shared" ca="1" si="41"/>
        <v>1287000000</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f ca="1">I166/$I$169</f>
        <v>0.58216666666666672</v>
      </c>
      <c r="I166" s="404">
        <f ca="1">SUM(J166:N166)</f>
        <v>2081245.8333333337</v>
      </c>
      <c r="J166" s="405">
        <f ca="1">SUMIF($H$91:$H$149,Lu_Nutrition_Specific,J$91:J$149)</f>
        <v>416249.16666666674</v>
      </c>
      <c r="K166" s="405">
        <f ca="1">SUMIF($H$91:$H$149,Lu_Nutrition_Specific,K$91:K$149)</f>
        <v>416249.16666666674</v>
      </c>
      <c r="L166" s="405">
        <f ca="1">SUMIF($H$91:$H$149,Lu_Nutrition_Specific,L$91:L$149)</f>
        <v>416249.16666666674</v>
      </c>
      <c r="M166" s="405">
        <f ca="1">SUMIF($H$91:$H$149,Lu_Nutrition_Specific,M$91:M$149)</f>
        <v>416249.16666666674</v>
      </c>
      <c r="N166" s="405">
        <f ca="1">SUMIF($H$91:$H$149,Lu_Nutrition_Specific,N$91:N$149)</f>
        <v>416249.16666666674</v>
      </c>
    </row>
    <row r="167" spans="6:14" ht="12" x14ac:dyDescent="0.2">
      <c r="F167" t="str">
        <f>Lu_Nutrition_Sensitive</f>
        <v>Nutrition-sensitive</v>
      </c>
      <c r="H167" s="289">
        <f t="shared" ref="H167:H168" ca="1" si="42">I167/$I$169</f>
        <v>0.41623333333333329</v>
      </c>
      <c r="I167" s="404">
        <f t="shared" ref="I167:I168" ca="1" si="43">SUM(J167:N167)</f>
        <v>1488034.1666666665</v>
      </c>
      <c r="J167" s="405">
        <f ca="1">SUMIF($H$91:$H$149,Lu_Nutrition_Sensitive,J$91:J$149)</f>
        <v>297606.83333333331</v>
      </c>
      <c r="K167" s="405">
        <f ca="1">SUMIF($H$91:$H$149,Lu_Nutrition_Sensitive,K$91:K$149)</f>
        <v>297606.83333333331</v>
      </c>
      <c r="L167" s="405">
        <f ca="1">SUMIF($H$91:$H$149,Lu_Nutrition_Sensitive,L$91:L$149)</f>
        <v>297606.83333333331</v>
      </c>
      <c r="M167" s="405">
        <f ca="1">SUMIF($H$91:$H$149,Lu_Nutrition_Sensitive,M$91:M$149)</f>
        <v>297606.83333333331</v>
      </c>
      <c r="N167" s="405">
        <f ca="1">SUMIF($H$91:$H$149,Lu_Nutrition_Sensitive,N$91:N$149)</f>
        <v>297606.83333333331</v>
      </c>
    </row>
    <row r="168" spans="6:14" ht="12" x14ac:dyDescent="0.2">
      <c r="F168" t="str">
        <f>Lu_Governance</f>
        <v>Governance</v>
      </c>
      <c r="H168" s="289">
        <f t="shared" ca="1" si="42"/>
        <v>1.6000000000000001E-3</v>
      </c>
      <c r="I168" s="404">
        <f t="shared" ca="1" si="43"/>
        <v>5720</v>
      </c>
      <c r="J168" s="405">
        <f ca="1">SUMIF($H$91:$H$149,Lu_Governance,J$91:J$149)</f>
        <v>1144</v>
      </c>
      <c r="K168" s="405">
        <f ca="1">SUMIF($H$91:$H$149,Lu_Governance,K$91:K$149)</f>
        <v>1144</v>
      </c>
      <c r="L168" s="405">
        <f ca="1">SUMIF($H$91:$H$149,Lu_Governance,L$91:L$149)</f>
        <v>1144</v>
      </c>
      <c r="M168" s="405">
        <f ca="1">SUMIF($H$91:$H$149,Lu_Governance,M$91:M$149)</f>
        <v>1144</v>
      </c>
      <c r="N168" s="405">
        <f ca="1">SUMIF($H$91:$H$149,Lu_Governance,N$91:N$149)</f>
        <v>1144</v>
      </c>
    </row>
    <row r="169" spans="6:14" ht="12" x14ac:dyDescent="0.2">
      <c r="F169" s="324" t="str">
        <f>"TOTAL - "&amp;Summary_Govt_Contributions!$F$12&amp;" ("&amp;CURR_INT_ABBR&amp;")"</f>
        <v>TOTAL - TODAS las contribuciones de las agencias gubernamentales (USD)</v>
      </c>
      <c r="G169" s="74"/>
      <c r="H169" s="291">
        <f ca="1">SUM(H166:H168)</f>
        <v>1</v>
      </c>
      <c r="I169" s="295">
        <f ca="1">SUM(J169:N169)</f>
        <v>3575000</v>
      </c>
      <c r="J169" s="55">
        <f ca="1">SUM(J166:J168)</f>
        <v>715000</v>
      </c>
      <c r="K169" s="55">
        <f t="shared" ref="K169:N169" ca="1" si="44">SUM(K166:K168)</f>
        <v>715000</v>
      </c>
      <c r="L169" s="55">
        <f t="shared" ca="1" si="44"/>
        <v>715000</v>
      </c>
      <c r="M169" s="55">
        <f t="shared" ca="1" si="44"/>
        <v>715000</v>
      </c>
      <c r="N169" s="55">
        <f t="shared" ca="1" si="44"/>
        <v>715000</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4 J74:N78 J26:N30 J32:N36 J38:N42 J50:N54 J56:N60 J62:N66 J68:N72 J145:N149 J139:N143 J127:N131 J133:N137 J115:N119 J109:N113 J103:N107 J121:N125 J91:N95 J97:N101 J44:N48" xr:uid="{00000000-0002-0000-0D00-000000000000}">
      <formula1>NOT(ISERROR(J20/1))</formula1>
    </dataValidation>
  </dataValidations>
  <hyperlinks>
    <hyperlink ref="A4" r:id="rId1" tooltip="Go to Top of Sheet" xr:uid="{00000000-0004-0000-0D00-000000000000}"/>
    <hyperlink ref="B4" location="HL_Sheet_Main_17" tooltip="Go to Previous Sheet" display="ç" xr:uid="{00000000-0004-0000-0D00-000001000000}"/>
    <hyperlink ref="C4" location="HL_Sheet_Main_23" tooltip="Go to Next Sheet" display="è" xr:uid="{00000000-0004-0000-0D00-000002000000}"/>
    <hyperlink ref="B3" location="HL_Home" tooltip="Go to Table of Contents" display="Go to Table of Contents" xr:uid="{00000000-0004-0000-0D00-000003000000}"/>
    <hyperlink ref="A14" location="Summary_Govt_Contributions!B14" tooltip="Click to follow hyperlink." display="ð" xr:uid="{00000000-0004-0000-0D00-000004000000}"/>
    <hyperlink ref="A155" location="Summary_Govt_Contributions!B14" tooltip="Click to follow hyperlink." display="ð" xr:uid="{00000000-0004-0000-0D00-000005000000}"/>
  </hyperlinks>
  <pageMargins left="0.4" right="0.4" top="0.6" bottom="1" header="0" footer="0.3"/>
  <pageSetup orientation="landscape" r:id="rId2"/>
  <headerFooter>
    <oddFooter>&amp;L&amp;F
&amp;A
Printed: &amp;T on &amp;D&amp;C&amp;",Bold"Sheet 2.e.
Page &amp;P of &amp;N</oddFooter>
  </headerFooter>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N169"/>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2.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Government4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F12" s="276" t="str">
        <f>Government4</f>
        <v>Ministerio de Medioambiente</v>
      </c>
      <c r="G12" s="60"/>
    </row>
    <row r="13" spans="1:14" s="38" customFormat="1" x14ac:dyDescent="0.2">
      <c r="G13"/>
    </row>
    <row r="14" spans="1:14" s="38" customFormat="1" x14ac:dyDescent="0.2">
      <c r="A14" s="39" t="s">
        <v>76</v>
      </c>
      <c r="B14" s="40" t="str">
        <f>"Planned Annual Contributions by "&amp;Government4&amp;" - by Strategic Objective and Result/Indicator"</f>
        <v>Planned Annual Contributions by Ministerio de Medioambiente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253" t="s">
        <v>106</v>
      </c>
      <c r="J19" s="54" t="str">
        <f>CURR_LCU_ABBR</f>
        <v>GOZ</v>
      </c>
      <c r="K19" s="54" t="str">
        <f>CURR_LCU_ABBR</f>
        <v>GOZ</v>
      </c>
      <c r="L19" s="54" t="str">
        <f>CURR_LCU_ABBR</f>
        <v>GOZ</v>
      </c>
      <c r="M19" s="54" t="str">
        <f>CURR_LCU_ABBR</f>
        <v>GOZ</v>
      </c>
      <c r="N19" s="54" t="str">
        <f>CURR_LCU_ABBR</f>
        <v>GOZ</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262">
        <f>SUM(J20:N20)</f>
        <v>275534.14364999998</v>
      </c>
      <c r="J20" s="37">
        <f>137767071.825*0.16%/4</f>
        <v>55106.828730000001</v>
      </c>
      <c r="K20" s="383">
        <f t="shared" ref="K20:N20" si="2">137767071.825*0.16%/4</f>
        <v>55106.828730000001</v>
      </c>
      <c r="L20" s="383">
        <f t="shared" si="2"/>
        <v>55106.828730000001</v>
      </c>
      <c r="M20" s="383">
        <f t="shared" si="2"/>
        <v>55106.828730000001</v>
      </c>
      <c r="N20" s="383">
        <f t="shared" si="2"/>
        <v>55106.828730000001</v>
      </c>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262">
        <f t="shared" ref="I21:I24" si="3">SUM(J21:N21)</f>
        <v>275534.14364999998</v>
      </c>
      <c r="J21" s="383">
        <f t="shared" ref="J21:N23" si="4">137767071.825*0.16%/4</f>
        <v>55106.828730000001</v>
      </c>
      <c r="K21" s="383">
        <f t="shared" si="4"/>
        <v>55106.828730000001</v>
      </c>
      <c r="L21" s="383">
        <f t="shared" si="4"/>
        <v>55106.828730000001</v>
      </c>
      <c r="M21" s="383">
        <f t="shared" si="4"/>
        <v>55106.828730000001</v>
      </c>
      <c r="N21" s="383">
        <f t="shared" si="4"/>
        <v>55106.828730000001</v>
      </c>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262">
        <f t="shared" si="3"/>
        <v>275534.14364999998</v>
      </c>
      <c r="J22" s="383">
        <f t="shared" si="4"/>
        <v>55106.828730000001</v>
      </c>
      <c r="K22" s="383">
        <f t="shared" si="4"/>
        <v>55106.828730000001</v>
      </c>
      <c r="L22" s="383">
        <f t="shared" si="4"/>
        <v>55106.828730000001</v>
      </c>
      <c r="M22" s="383">
        <f t="shared" si="4"/>
        <v>55106.828730000001</v>
      </c>
      <c r="N22" s="383">
        <f t="shared" si="4"/>
        <v>55106.828730000001</v>
      </c>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262">
        <f t="shared" si="3"/>
        <v>275534.14364999998</v>
      </c>
      <c r="J23" s="383">
        <f t="shared" si="4"/>
        <v>55106.828730000001</v>
      </c>
      <c r="K23" s="383">
        <f t="shared" si="4"/>
        <v>55106.828730000001</v>
      </c>
      <c r="L23" s="383">
        <f t="shared" si="4"/>
        <v>55106.828730000001</v>
      </c>
      <c r="M23" s="383">
        <f t="shared" si="4"/>
        <v>55106.828730000001</v>
      </c>
      <c r="N23" s="383">
        <f t="shared" si="4"/>
        <v>55106.828730000001</v>
      </c>
    </row>
    <row r="24" spans="6:14" s="38" customFormat="1" ht="12" x14ac:dyDescent="0.2">
      <c r="F24" s="448"/>
      <c r="G24" s="41" t="str">
        <f>STRAT1_IND5</f>
        <v>Objetivo estratégico 1 Indicador 5</v>
      </c>
      <c r="H24" s="260" t="str">
        <f ca="1">OFFSET(Variables_Lu!$D$10,Basic_Setup!H38,0)</f>
        <v>Governance</v>
      </c>
      <c r="I24" s="262">
        <f t="shared" si="3"/>
        <v>0</v>
      </c>
      <c r="J24" s="383">
        <v>0</v>
      </c>
      <c r="K24" s="383">
        <v>0</v>
      </c>
      <c r="L24" s="383">
        <v>0</v>
      </c>
      <c r="M24" s="383">
        <v>0</v>
      </c>
      <c r="N24" s="383">
        <v>0</v>
      </c>
    </row>
    <row r="25" spans="6:14" s="38" customFormat="1" ht="12" x14ac:dyDescent="0.2">
      <c r="H25" s="152" t="s">
        <v>107</v>
      </c>
      <c r="I25" s="265">
        <f>SUM(I20:I24)</f>
        <v>1102136.5745999999</v>
      </c>
      <c r="J25" s="265">
        <f t="shared" ref="J25:N25" si="5">SUM(J20:J24)</f>
        <v>220427.31492</v>
      </c>
      <c r="K25" s="265">
        <f t="shared" si="5"/>
        <v>220427.31492</v>
      </c>
      <c r="L25" s="265">
        <f t="shared" si="5"/>
        <v>220427.31492</v>
      </c>
      <c r="M25" s="265">
        <f t="shared" si="5"/>
        <v>220427.31492</v>
      </c>
      <c r="N25" s="265">
        <f t="shared" si="5"/>
        <v>220427.31492</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262">
        <f>SUM(J26:N26)</f>
        <v>14580348.434812499</v>
      </c>
      <c r="J26" s="383">
        <f>137767071.825*6.35%/3</f>
        <v>2916069.6869624997</v>
      </c>
      <c r="K26" s="383">
        <f t="shared" ref="K26:N26" si="6">137767071.825*6.35%/3</f>
        <v>2916069.6869624997</v>
      </c>
      <c r="L26" s="383">
        <f t="shared" si="6"/>
        <v>2916069.6869624997</v>
      </c>
      <c r="M26" s="383">
        <f t="shared" si="6"/>
        <v>2916069.6869624997</v>
      </c>
      <c r="N26" s="383">
        <f t="shared" si="6"/>
        <v>2916069.6869624997</v>
      </c>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262">
        <f t="shared" ref="I27:I30" si="7">SUM(J27:N27)</f>
        <v>14580348.434812499</v>
      </c>
      <c r="J27" s="383">
        <f t="shared" ref="J27:N28" si="8">137767071.825*6.35%/3</f>
        <v>2916069.6869624997</v>
      </c>
      <c r="K27" s="383">
        <f t="shared" si="8"/>
        <v>2916069.6869624997</v>
      </c>
      <c r="L27" s="383">
        <f t="shared" si="8"/>
        <v>2916069.6869624997</v>
      </c>
      <c r="M27" s="383">
        <f t="shared" si="8"/>
        <v>2916069.6869624997</v>
      </c>
      <c r="N27" s="383">
        <f t="shared" si="8"/>
        <v>2916069.6869624997</v>
      </c>
    </row>
    <row r="28" spans="6:14" s="38" customFormat="1" ht="22.8" x14ac:dyDescent="0.2">
      <c r="F28" s="447"/>
      <c r="G28" s="42" t="str">
        <f>STRAT2_IND3</f>
        <v>Se refuerzan las intervenciones comunitarias en materia de nutrición.</v>
      </c>
      <c r="H28" s="260" t="str">
        <f ca="1">OFFSET(Variables_Lu!$D$10,Basic_Setup!H42,0)</f>
        <v>Nutrition-specific</v>
      </c>
      <c r="I28" s="262">
        <f t="shared" si="7"/>
        <v>14580348.434812499</v>
      </c>
      <c r="J28" s="383">
        <f t="shared" si="8"/>
        <v>2916069.6869624997</v>
      </c>
      <c r="K28" s="383">
        <f t="shared" si="8"/>
        <v>2916069.6869624997</v>
      </c>
      <c r="L28" s="383">
        <f t="shared" si="8"/>
        <v>2916069.6869624997</v>
      </c>
      <c r="M28" s="383">
        <f t="shared" si="8"/>
        <v>2916069.6869624997</v>
      </c>
      <c r="N28" s="383">
        <f t="shared" si="8"/>
        <v>2916069.6869624997</v>
      </c>
    </row>
    <row r="29" spans="6:14" s="38" customFormat="1" ht="12" x14ac:dyDescent="0.2">
      <c r="F29" s="447"/>
      <c r="G29" s="41" t="str">
        <f>STRAT2_IND4</f>
        <v>Objetivo estratégico 2 Indicador 4</v>
      </c>
      <c r="H29" s="260" t="str">
        <f ca="1">OFFSET(Variables_Lu!$D$10,Basic_Setup!H43,0)</f>
        <v>Nutrition-specific</v>
      </c>
      <c r="I29" s="262">
        <f t="shared" si="7"/>
        <v>0</v>
      </c>
      <c r="J29" s="383">
        <v>0</v>
      </c>
      <c r="K29" s="383">
        <v>0</v>
      </c>
      <c r="L29" s="383">
        <v>0</v>
      </c>
      <c r="M29" s="383">
        <v>0</v>
      </c>
      <c r="N29" s="383">
        <v>0</v>
      </c>
    </row>
    <row r="30" spans="6:14" s="38" customFormat="1" ht="12" x14ac:dyDescent="0.2">
      <c r="F30" s="448"/>
      <c r="G30" s="41" t="str">
        <f>STRAT2_IND5</f>
        <v>Objetivo estratégico 2 Indicador 5</v>
      </c>
      <c r="H30" s="260" t="str">
        <f ca="1">OFFSET(Variables_Lu!$D$10,Basic_Setup!H44,0)</f>
        <v>Nutrition-specific</v>
      </c>
      <c r="I30" s="262">
        <f t="shared" si="7"/>
        <v>0</v>
      </c>
      <c r="J30" s="383">
        <v>0</v>
      </c>
      <c r="K30" s="383">
        <v>0</v>
      </c>
      <c r="L30" s="383">
        <v>0</v>
      </c>
      <c r="M30" s="383">
        <v>0</v>
      </c>
      <c r="N30" s="383">
        <v>0</v>
      </c>
    </row>
    <row r="31" spans="6:14" s="38" customFormat="1" ht="12" x14ac:dyDescent="0.2">
      <c r="H31" s="152" t="s">
        <v>108</v>
      </c>
      <c r="I31" s="265">
        <f>SUM(I26:I30)</f>
        <v>43741045.304437496</v>
      </c>
      <c r="J31" s="265">
        <f t="shared" ref="J31:N31" si="9">SUM(J26:J30)</f>
        <v>8748209.0608874988</v>
      </c>
      <c r="K31" s="265">
        <f t="shared" si="9"/>
        <v>8748209.0608874988</v>
      </c>
      <c r="L31" s="265">
        <f t="shared" si="9"/>
        <v>8748209.0608874988</v>
      </c>
      <c r="M31" s="265">
        <f t="shared" si="9"/>
        <v>8748209.0608874988</v>
      </c>
      <c r="N31" s="265">
        <f t="shared" si="9"/>
        <v>8748209.0608874988</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262">
        <f>SUM(J32:N32)</f>
        <v>172415490.38898751</v>
      </c>
      <c r="J32" s="383">
        <f>137767071.825*50.06%/2</f>
        <v>34483098.077797502</v>
      </c>
      <c r="K32" s="383">
        <f t="shared" ref="K32:N33" si="10">137767071.825*50.06%/2</f>
        <v>34483098.077797502</v>
      </c>
      <c r="L32" s="383">
        <f t="shared" si="10"/>
        <v>34483098.077797502</v>
      </c>
      <c r="M32" s="383">
        <f t="shared" si="10"/>
        <v>34483098.077797502</v>
      </c>
      <c r="N32" s="383">
        <f t="shared" si="10"/>
        <v>34483098.077797502</v>
      </c>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262">
        <f t="shared" ref="I33:I36" si="11">SUM(J33:N33)</f>
        <v>172415490.38898751</v>
      </c>
      <c r="J33" s="383">
        <f>137767071.825*50.06%/2</f>
        <v>34483098.077797502</v>
      </c>
      <c r="K33" s="383">
        <f t="shared" si="10"/>
        <v>34483098.077797502</v>
      </c>
      <c r="L33" s="383">
        <f t="shared" si="10"/>
        <v>34483098.077797502</v>
      </c>
      <c r="M33" s="383">
        <f t="shared" si="10"/>
        <v>34483098.077797502</v>
      </c>
      <c r="N33" s="383">
        <f t="shared" si="10"/>
        <v>34483098.077797502</v>
      </c>
    </row>
    <row r="34" spans="6:14" s="38" customFormat="1" ht="12" x14ac:dyDescent="0.2">
      <c r="F34" s="447"/>
      <c r="G34" s="42" t="str">
        <f>STRAT3_IND3</f>
        <v>Objetivo estratégico 3 Indicador 3</v>
      </c>
      <c r="H34" s="260" t="str">
        <f ca="1">OFFSET(Variables_Lu!$D$10,Basic_Setup!H48,0)</f>
        <v>Nutrition-specific</v>
      </c>
      <c r="I34" s="262">
        <f t="shared" si="11"/>
        <v>0</v>
      </c>
      <c r="J34" s="383">
        <v>0</v>
      </c>
      <c r="K34" s="383">
        <v>0</v>
      </c>
      <c r="L34" s="383">
        <v>0</v>
      </c>
      <c r="M34" s="383">
        <v>0</v>
      </c>
      <c r="N34" s="383">
        <v>0</v>
      </c>
    </row>
    <row r="35" spans="6:14" s="38" customFormat="1" ht="12" x14ac:dyDescent="0.2">
      <c r="F35" s="447"/>
      <c r="G35" s="41" t="str">
        <f>STRAT3_IND4</f>
        <v>Objetivo estratégico 3 Indicador 4</v>
      </c>
      <c r="H35" s="260" t="str">
        <f ca="1">OFFSET(Variables_Lu!$D$10,Basic_Setup!H49,0)</f>
        <v>Nutrition-specific</v>
      </c>
      <c r="I35" s="262">
        <f t="shared" si="11"/>
        <v>0</v>
      </c>
      <c r="J35" s="383">
        <v>0</v>
      </c>
      <c r="K35" s="383">
        <v>0</v>
      </c>
      <c r="L35" s="383">
        <v>0</v>
      </c>
      <c r="M35" s="383">
        <v>0</v>
      </c>
      <c r="N35" s="383">
        <v>0</v>
      </c>
    </row>
    <row r="36" spans="6:14" s="38" customFormat="1" ht="12" x14ac:dyDescent="0.2">
      <c r="F36" s="448"/>
      <c r="G36" s="41" t="str">
        <f>STRAT3_IND5</f>
        <v>Objetivo estratégico 3 Indicador 5</v>
      </c>
      <c r="H36" s="260" t="str">
        <f ca="1">OFFSET(Variables_Lu!$D$10,Basic_Setup!H50,0)</f>
        <v>Nutrition-specific</v>
      </c>
      <c r="I36" s="262">
        <f t="shared" si="11"/>
        <v>0</v>
      </c>
      <c r="J36" s="383">
        <v>0</v>
      </c>
      <c r="K36" s="383">
        <v>0</v>
      </c>
      <c r="L36" s="383">
        <v>0</v>
      </c>
      <c r="M36" s="383">
        <v>0</v>
      </c>
      <c r="N36" s="383">
        <v>0</v>
      </c>
    </row>
    <row r="37" spans="6:14" ht="12" x14ac:dyDescent="0.2">
      <c r="H37" s="152" t="s">
        <v>109</v>
      </c>
      <c r="I37" s="265">
        <f>SUM(I32:I36)</f>
        <v>344830980.77797502</v>
      </c>
      <c r="J37" s="265">
        <f t="shared" ref="J37:N37" si="12">SUM(J32:J36)</f>
        <v>68966196.155595005</v>
      </c>
      <c r="K37" s="265">
        <f t="shared" si="12"/>
        <v>68966196.155595005</v>
      </c>
      <c r="L37" s="265">
        <f t="shared" si="12"/>
        <v>68966196.155595005</v>
      </c>
      <c r="M37" s="265">
        <f t="shared" si="12"/>
        <v>68966196.155595005</v>
      </c>
      <c r="N37" s="265">
        <f t="shared" si="12"/>
        <v>68966196.155595005</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262">
        <f>SUM(J38:N38)</f>
        <v>97056902.100712493</v>
      </c>
      <c r="J38" s="383">
        <f>137767071.825*42.27%/3</f>
        <v>19411380.420142498</v>
      </c>
      <c r="K38" s="383">
        <f t="shared" ref="K38:N38" si="13">137767071.825*42.27%/3</f>
        <v>19411380.420142498</v>
      </c>
      <c r="L38" s="383">
        <f t="shared" si="13"/>
        <v>19411380.420142498</v>
      </c>
      <c r="M38" s="383">
        <f t="shared" si="13"/>
        <v>19411380.420142498</v>
      </c>
      <c r="N38" s="383">
        <f t="shared" si="13"/>
        <v>19411380.420142498</v>
      </c>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262">
        <f t="shared" ref="I39:I42" si="14">SUM(J39:N39)</f>
        <v>97056902.100712493</v>
      </c>
      <c r="J39" s="383">
        <f t="shared" ref="J39:N40" si="15">137767071.825*42.27%/3</f>
        <v>19411380.420142498</v>
      </c>
      <c r="K39" s="383">
        <f t="shared" si="15"/>
        <v>19411380.420142498</v>
      </c>
      <c r="L39" s="383">
        <f t="shared" si="15"/>
        <v>19411380.420142498</v>
      </c>
      <c r="M39" s="383">
        <f t="shared" si="15"/>
        <v>19411380.420142498</v>
      </c>
      <c r="N39" s="383">
        <f t="shared" si="15"/>
        <v>19411380.420142498</v>
      </c>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262">
        <f t="shared" si="14"/>
        <v>97056902.100712493</v>
      </c>
      <c r="J40" s="383">
        <f t="shared" si="15"/>
        <v>19411380.420142498</v>
      </c>
      <c r="K40" s="383">
        <f t="shared" si="15"/>
        <v>19411380.420142498</v>
      </c>
      <c r="L40" s="383">
        <f t="shared" si="15"/>
        <v>19411380.420142498</v>
      </c>
      <c r="M40" s="383">
        <f t="shared" si="15"/>
        <v>19411380.420142498</v>
      </c>
      <c r="N40" s="383">
        <f t="shared" si="15"/>
        <v>19411380.420142498</v>
      </c>
    </row>
    <row r="41" spans="6:14" ht="12" x14ac:dyDescent="0.2">
      <c r="F41" s="447"/>
      <c r="G41" s="41" t="str">
        <f>STRAT4_IND4</f>
        <v>Objetivo estratégico 4 Indicador 4</v>
      </c>
      <c r="H41" s="260" t="str">
        <f ca="1">OFFSET(Variables_Lu!$D$10,Basic_Setup!H55,0)</f>
        <v>Nutrition-specific</v>
      </c>
      <c r="I41" s="262">
        <f t="shared" si="14"/>
        <v>0</v>
      </c>
      <c r="J41" s="383">
        <v>0</v>
      </c>
      <c r="K41" s="383">
        <v>0</v>
      </c>
      <c r="L41" s="383">
        <v>0</v>
      </c>
      <c r="M41" s="383">
        <v>0</v>
      </c>
      <c r="N41" s="383">
        <v>0</v>
      </c>
    </row>
    <row r="42" spans="6:14" ht="12" x14ac:dyDescent="0.2">
      <c r="F42" s="448"/>
      <c r="G42" s="41" t="str">
        <f>STRAT4_IND5</f>
        <v>Objetivo estratégico 4 Indicador 5</v>
      </c>
      <c r="H42" s="260" t="str">
        <f ca="1">OFFSET(Variables_Lu!$D$10,Basic_Setup!H56,0)</f>
        <v>Nutrition-specific</v>
      </c>
      <c r="I42" s="262">
        <f t="shared" si="14"/>
        <v>0</v>
      </c>
      <c r="J42" s="383">
        <v>0</v>
      </c>
      <c r="K42" s="383">
        <v>0</v>
      </c>
      <c r="L42" s="383">
        <v>0</v>
      </c>
      <c r="M42" s="383">
        <v>0</v>
      </c>
      <c r="N42" s="383">
        <v>0</v>
      </c>
    </row>
    <row r="43" spans="6:14" ht="12" x14ac:dyDescent="0.2">
      <c r="H43" s="152" t="s">
        <v>110</v>
      </c>
      <c r="I43" s="265">
        <f>SUM(I38:I42)</f>
        <v>291170706.30213749</v>
      </c>
      <c r="J43" s="265">
        <f t="shared" ref="J43:N43" si="16">SUM(J38:J42)</f>
        <v>58234141.26042749</v>
      </c>
      <c r="K43" s="265">
        <f t="shared" si="16"/>
        <v>58234141.26042749</v>
      </c>
      <c r="L43" s="265">
        <f t="shared" si="16"/>
        <v>58234141.26042749</v>
      </c>
      <c r="M43" s="265">
        <f t="shared" si="16"/>
        <v>58234141.26042749</v>
      </c>
      <c r="N43" s="265">
        <f t="shared" si="16"/>
        <v>58234141.26042749</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262">
        <f>SUM(J44:N44)</f>
        <v>2663496.7219499992</v>
      </c>
      <c r="J44" s="383">
        <f>137767071.825*1.16%/3</f>
        <v>532699.34438999987</v>
      </c>
      <c r="K44" s="383">
        <f t="shared" ref="K44:N44" si="17">137767071.825*1.16%/3</f>
        <v>532699.34438999987</v>
      </c>
      <c r="L44" s="383">
        <f t="shared" si="17"/>
        <v>532699.34438999987</v>
      </c>
      <c r="M44" s="383">
        <f t="shared" si="17"/>
        <v>532699.34438999987</v>
      </c>
      <c r="N44" s="383">
        <f t="shared" si="17"/>
        <v>532699.34438999987</v>
      </c>
    </row>
    <row r="45" spans="6:14" ht="22.8" x14ac:dyDescent="0.2">
      <c r="F45" s="447"/>
      <c r="G45" s="42" t="str">
        <f>STRAT5_IND2</f>
        <v>Se promueven dietas saludables y estilos de vida saludables para las personas.</v>
      </c>
      <c r="H45" s="260" t="str">
        <f ca="1">OFFSET(Variables_Lu!$D$10,Basic_Setup!H59,0)</f>
        <v>Nutrition-specific</v>
      </c>
      <c r="I45" s="262">
        <f t="shared" ref="I45:I48" si="18">SUM(J45:N45)</f>
        <v>2663496.7219499992</v>
      </c>
      <c r="J45" s="383">
        <f t="shared" ref="J45:N46" si="19">137767071.825*1.16%/3</f>
        <v>532699.34438999987</v>
      </c>
      <c r="K45" s="383">
        <f t="shared" si="19"/>
        <v>532699.34438999987</v>
      </c>
      <c r="L45" s="383">
        <f t="shared" si="19"/>
        <v>532699.34438999987</v>
      </c>
      <c r="M45" s="383">
        <f t="shared" si="19"/>
        <v>532699.34438999987</v>
      </c>
      <c r="N45" s="383">
        <f t="shared" si="19"/>
        <v>532699.34438999987</v>
      </c>
    </row>
    <row r="46" spans="6:14" ht="22.8" x14ac:dyDescent="0.2">
      <c r="F46" s="447"/>
      <c r="G46" s="42" t="str">
        <f>STRAT5_IND3</f>
        <v>Se promueven las buenas prácticas WASH a nivel comunitario y doméstico</v>
      </c>
      <c r="H46" s="260" t="str">
        <f ca="1">OFFSET(Variables_Lu!$D$10,Basic_Setup!H60,0)</f>
        <v>Nutrition-sensitive</v>
      </c>
      <c r="I46" s="262">
        <f t="shared" si="18"/>
        <v>2663496.7219499992</v>
      </c>
      <c r="J46" s="383">
        <f t="shared" si="19"/>
        <v>532699.34438999987</v>
      </c>
      <c r="K46" s="383">
        <f t="shared" si="19"/>
        <v>532699.34438999987</v>
      </c>
      <c r="L46" s="383">
        <f t="shared" si="19"/>
        <v>532699.34438999987</v>
      </c>
      <c r="M46" s="383">
        <f t="shared" si="19"/>
        <v>532699.34438999987</v>
      </c>
      <c r="N46" s="383">
        <f t="shared" si="19"/>
        <v>532699.34438999987</v>
      </c>
    </row>
    <row r="47" spans="6:14" ht="12" x14ac:dyDescent="0.2">
      <c r="F47" s="447"/>
      <c r="G47" s="41" t="str">
        <f>STRAT5_IND4</f>
        <v>Objetivo estratégico 5 Indicador 4</v>
      </c>
      <c r="H47" s="260" t="str">
        <f ca="1">OFFSET(Variables_Lu!$D$10,Basic_Setup!H61,0)</f>
        <v>Nutrition-specific</v>
      </c>
      <c r="I47" s="262">
        <f t="shared" si="18"/>
        <v>0</v>
      </c>
      <c r="J47" s="383">
        <v>0</v>
      </c>
      <c r="K47" s="383">
        <v>0</v>
      </c>
      <c r="L47" s="383">
        <v>0</v>
      </c>
      <c r="M47" s="383">
        <v>0</v>
      </c>
      <c r="N47" s="383">
        <v>0</v>
      </c>
    </row>
    <row r="48" spans="6:14" ht="12" x14ac:dyDescent="0.2">
      <c r="F48" s="448"/>
      <c r="G48" s="41" t="str">
        <f>STRAT5_IND5</f>
        <v>Objetivo estratégico 5 Indicador 5</v>
      </c>
      <c r="H48" s="260" t="str">
        <f ca="1">OFFSET(Variables_Lu!$D$10,Basic_Setup!H62,0)</f>
        <v>Nutrition-specific</v>
      </c>
      <c r="I48" s="262">
        <f t="shared" si="18"/>
        <v>0</v>
      </c>
      <c r="J48" s="383">
        <v>0</v>
      </c>
      <c r="K48" s="383">
        <v>0</v>
      </c>
      <c r="L48" s="383">
        <v>0</v>
      </c>
      <c r="M48" s="383">
        <v>0</v>
      </c>
      <c r="N48" s="383">
        <v>0</v>
      </c>
    </row>
    <row r="49" spans="6:14" ht="12" x14ac:dyDescent="0.2">
      <c r="H49" s="152" t="s">
        <v>111</v>
      </c>
      <c r="I49" s="265">
        <f>SUM(I44:I48)</f>
        <v>7990490.1658499977</v>
      </c>
      <c r="J49" s="265">
        <f t="shared" ref="J49:N49" si="20">SUM(J44:J48)</f>
        <v>1598098.0331699997</v>
      </c>
      <c r="K49" s="265">
        <f t="shared" si="20"/>
        <v>1598098.0331699997</v>
      </c>
      <c r="L49" s="265">
        <f t="shared" si="20"/>
        <v>1598098.0331699997</v>
      </c>
      <c r="M49" s="265">
        <f t="shared" si="20"/>
        <v>1598098.0331699997</v>
      </c>
      <c r="N49" s="265">
        <f t="shared" si="20"/>
        <v>1598098.0331699997</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262">
        <f>SUM(J50:N50)</f>
        <v>0</v>
      </c>
      <c r="J50" s="37">
        <v>0</v>
      </c>
      <c r="K50" s="37">
        <v>0</v>
      </c>
      <c r="L50" s="37">
        <v>0</v>
      </c>
      <c r="M50" s="37">
        <v>0</v>
      </c>
      <c r="N50" s="37">
        <v>0</v>
      </c>
    </row>
    <row r="51" spans="6:14" ht="12" x14ac:dyDescent="0.2">
      <c r="F51" s="447"/>
      <c r="G51" s="42" t="str">
        <f>STRAT6_IND2</f>
        <v>Objetivo estratégico 6 Indicador 2</v>
      </c>
      <c r="H51" s="260" t="str">
        <f ca="1">OFFSET(Variables_Lu!$D$10,Basic_Setup!H65,0)</f>
        <v>Nutrition-specific</v>
      </c>
      <c r="I51" s="262">
        <f t="shared" ref="I51:I54" si="21">SUM(J51:N51)</f>
        <v>0</v>
      </c>
      <c r="J51" s="37">
        <v>0</v>
      </c>
      <c r="K51" s="37">
        <v>0</v>
      </c>
      <c r="L51" s="37">
        <v>0</v>
      </c>
      <c r="M51" s="37">
        <v>0</v>
      </c>
      <c r="N51" s="37">
        <v>0</v>
      </c>
    </row>
    <row r="52" spans="6:14" ht="12" x14ac:dyDescent="0.2">
      <c r="F52" s="447"/>
      <c r="G52" s="42" t="str">
        <f>STRAT6_IND3</f>
        <v>Objetivo estratégico 6 Indicador 3</v>
      </c>
      <c r="H52" s="260" t="str">
        <f ca="1">OFFSET(Variables_Lu!$D$10,Basic_Setup!H66,0)</f>
        <v>Nutrition-specific</v>
      </c>
      <c r="I52" s="262">
        <f t="shared" si="21"/>
        <v>0</v>
      </c>
      <c r="J52" s="37">
        <v>0</v>
      </c>
      <c r="K52" s="37">
        <v>0</v>
      </c>
      <c r="L52" s="37">
        <v>0</v>
      </c>
      <c r="M52" s="37">
        <v>0</v>
      </c>
      <c r="N52" s="37">
        <v>0</v>
      </c>
    </row>
    <row r="53" spans="6:14" ht="12" x14ac:dyDescent="0.2">
      <c r="F53" s="447"/>
      <c r="G53" s="41" t="str">
        <f>STRAT6_IND4</f>
        <v>Objetivo estratégico 6 Indicador 4</v>
      </c>
      <c r="H53" s="260" t="str">
        <f ca="1">OFFSET(Variables_Lu!$D$10,Basic_Setup!H67,0)</f>
        <v>Nutrition-specific</v>
      </c>
      <c r="I53" s="262">
        <f t="shared" si="21"/>
        <v>0</v>
      </c>
      <c r="J53" s="37">
        <v>0</v>
      </c>
      <c r="K53" s="37">
        <v>0</v>
      </c>
      <c r="L53" s="37">
        <v>0</v>
      </c>
      <c r="M53" s="37">
        <v>0</v>
      </c>
      <c r="N53" s="37">
        <v>0</v>
      </c>
    </row>
    <row r="54" spans="6:14" ht="12" x14ac:dyDescent="0.2">
      <c r="F54" s="448"/>
      <c r="G54" s="41" t="str">
        <f>STRAT6_IND5</f>
        <v>Objetivo estratégico 6 Indicador 5</v>
      </c>
      <c r="H54" s="260" t="str">
        <f ca="1">OFFSET(Variables_Lu!$D$10,Basic_Setup!H68,0)</f>
        <v>Nutrition-specific</v>
      </c>
      <c r="I54" s="262">
        <f t="shared" si="21"/>
        <v>0</v>
      </c>
      <c r="J54" s="37">
        <v>0</v>
      </c>
      <c r="K54" s="37">
        <v>0</v>
      </c>
      <c r="L54" s="37">
        <v>0</v>
      </c>
      <c r="M54" s="37">
        <v>0</v>
      </c>
      <c r="N54" s="37">
        <v>0</v>
      </c>
    </row>
    <row r="55" spans="6:14" ht="12" x14ac:dyDescent="0.2">
      <c r="H55" s="152" t="s">
        <v>159</v>
      </c>
      <c r="I55" s="265">
        <f>SUM(I50:I54)</f>
        <v>0</v>
      </c>
      <c r="J55" s="265">
        <f t="shared" ref="J55:N55" si="22">SUM(J50:J54)</f>
        <v>0</v>
      </c>
      <c r="K55" s="265">
        <f t="shared" si="22"/>
        <v>0</v>
      </c>
      <c r="L55" s="265">
        <f t="shared" si="22"/>
        <v>0</v>
      </c>
      <c r="M55" s="265">
        <f t="shared" si="22"/>
        <v>0</v>
      </c>
      <c r="N55" s="265">
        <f t="shared" si="22"/>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262">
        <f>SUM(J56:N56)</f>
        <v>0</v>
      </c>
      <c r="J56" s="37">
        <v>0</v>
      </c>
      <c r="K56" s="37">
        <v>0</v>
      </c>
      <c r="L56" s="37">
        <v>0</v>
      </c>
      <c r="M56" s="37">
        <v>0</v>
      </c>
      <c r="N56" s="37">
        <v>0</v>
      </c>
    </row>
    <row r="57" spans="6:14" ht="12" x14ac:dyDescent="0.2">
      <c r="F57" s="447"/>
      <c r="G57" s="42" t="str">
        <f>STRAT7_IND2</f>
        <v>Objetivo estratégico 7 Indicador 2</v>
      </c>
      <c r="H57" s="260" t="str">
        <f ca="1">OFFSET(Variables_Lu!$D$10,Basic_Setup!H71,0)</f>
        <v>Nutrition-specific</v>
      </c>
      <c r="I57" s="262">
        <f t="shared" ref="I57:I60" si="23">SUM(J57:N57)</f>
        <v>0</v>
      </c>
      <c r="J57" s="37">
        <v>0</v>
      </c>
      <c r="K57" s="37">
        <v>0</v>
      </c>
      <c r="L57" s="37">
        <v>0</v>
      </c>
      <c r="M57" s="37">
        <v>0</v>
      </c>
      <c r="N57" s="37">
        <v>0</v>
      </c>
    </row>
    <row r="58" spans="6:14" ht="12" x14ac:dyDescent="0.2">
      <c r="F58" s="447"/>
      <c r="G58" s="42" t="str">
        <f>STRAT7_IND3</f>
        <v>Objetivo estratégico 7 Indicador 3</v>
      </c>
      <c r="H58" s="260" t="str">
        <f ca="1">OFFSET(Variables_Lu!$D$10,Basic_Setup!H72,0)</f>
        <v>Nutrition-specific</v>
      </c>
      <c r="I58" s="262">
        <f t="shared" si="23"/>
        <v>0</v>
      </c>
      <c r="J58" s="37">
        <v>0</v>
      </c>
      <c r="K58" s="37">
        <v>0</v>
      </c>
      <c r="L58" s="37">
        <v>0</v>
      </c>
      <c r="M58" s="37">
        <v>0</v>
      </c>
      <c r="N58" s="37">
        <v>0</v>
      </c>
    </row>
    <row r="59" spans="6:14" ht="12" x14ac:dyDescent="0.2">
      <c r="F59" s="447"/>
      <c r="G59" s="41" t="str">
        <f>STRAT7_IND4</f>
        <v>Objetivo estratégico 7 Indicador 4</v>
      </c>
      <c r="H59" s="260" t="str">
        <f ca="1">OFFSET(Variables_Lu!$D$10,Basic_Setup!H73,0)</f>
        <v>Nutrition-specific</v>
      </c>
      <c r="I59" s="262">
        <f t="shared" si="23"/>
        <v>0</v>
      </c>
      <c r="J59" s="37">
        <v>0</v>
      </c>
      <c r="K59" s="37">
        <v>0</v>
      </c>
      <c r="L59" s="37">
        <v>0</v>
      </c>
      <c r="M59" s="37">
        <v>0</v>
      </c>
      <c r="N59" s="37">
        <v>0</v>
      </c>
    </row>
    <row r="60" spans="6:14" ht="12" x14ac:dyDescent="0.2">
      <c r="F60" s="448"/>
      <c r="G60" s="41" t="str">
        <f>STRAT7_IND5</f>
        <v>Objetivo estratégico 7 Indicador 5</v>
      </c>
      <c r="H60" s="260" t="str">
        <f ca="1">OFFSET(Variables_Lu!$D$10,Basic_Setup!H74,0)</f>
        <v>Nutrition-specific</v>
      </c>
      <c r="I60" s="262">
        <f t="shared" si="23"/>
        <v>0</v>
      </c>
      <c r="J60" s="37">
        <v>0</v>
      </c>
      <c r="K60" s="37">
        <v>0</v>
      </c>
      <c r="L60" s="37">
        <v>0</v>
      </c>
      <c r="M60" s="37">
        <v>0</v>
      </c>
      <c r="N60" s="37">
        <v>0</v>
      </c>
    </row>
    <row r="61" spans="6:14" ht="12" x14ac:dyDescent="0.2">
      <c r="H61" s="152" t="s">
        <v>160</v>
      </c>
      <c r="I61" s="265">
        <f>SUM(I56:I60)</f>
        <v>0</v>
      </c>
      <c r="J61" s="265">
        <f t="shared" ref="J61:N61" si="24">SUM(J56:J60)</f>
        <v>0</v>
      </c>
      <c r="K61" s="265">
        <f t="shared" si="24"/>
        <v>0</v>
      </c>
      <c r="L61" s="265">
        <f t="shared" si="24"/>
        <v>0</v>
      </c>
      <c r="M61" s="265">
        <f t="shared" si="24"/>
        <v>0</v>
      </c>
      <c r="N61" s="265">
        <f t="shared" si="24"/>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262">
        <f>SUM(J62:N62)</f>
        <v>0</v>
      </c>
      <c r="J62" s="37">
        <v>0</v>
      </c>
      <c r="K62" s="37">
        <v>0</v>
      </c>
      <c r="L62" s="37">
        <v>0</v>
      </c>
      <c r="M62" s="37">
        <v>0</v>
      </c>
      <c r="N62" s="37">
        <v>0</v>
      </c>
    </row>
    <row r="63" spans="6:14" ht="12" x14ac:dyDescent="0.2">
      <c r="F63" s="447"/>
      <c r="G63" s="42" t="str">
        <f>STRAT8_IND2</f>
        <v>Objetivo estratégico 8 Indicador 2</v>
      </c>
      <c r="H63" s="260" t="str">
        <f ca="1">OFFSET(Variables_Lu!$D$10,Basic_Setup!H77,0)</f>
        <v>Nutrition-specific</v>
      </c>
      <c r="I63" s="262">
        <f t="shared" ref="I63:I66" si="25">SUM(J63:N63)</f>
        <v>0</v>
      </c>
      <c r="J63" s="37">
        <v>0</v>
      </c>
      <c r="K63" s="37">
        <v>0</v>
      </c>
      <c r="L63" s="37">
        <v>0</v>
      </c>
      <c r="M63" s="37">
        <v>0</v>
      </c>
      <c r="N63" s="37">
        <v>0</v>
      </c>
    </row>
    <row r="64" spans="6:14" ht="12" x14ac:dyDescent="0.2">
      <c r="F64" s="447"/>
      <c r="G64" s="42" t="str">
        <f>STRAT8_IND3</f>
        <v>Objetivo estratégico 8 Indicador 3</v>
      </c>
      <c r="H64" s="260" t="str">
        <f ca="1">OFFSET(Variables_Lu!$D$10,Basic_Setup!H78,0)</f>
        <v>Nutrition-specific</v>
      </c>
      <c r="I64" s="262">
        <f t="shared" si="25"/>
        <v>0</v>
      </c>
      <c r="J64" s="37">
        <v>0</v>
      </c>
      <c r="K64" s="37">
        <v>0</v>
      </c>
      <c r="L64" s="37">
        <v>0</v>
      </c>
      <c r="M64" s="37">
        <v>0</v>
      </c>
      <c r="N64" s="37">
        <v>0</v>
      </c>
    </row>
    <row r="65" spans="6:14" ht="12" x14ac:dyDescent="0.2">
      <c r="F65" s="447"/>
      <c r="G65" s="41" t="str">
        <f>STRAT8_IND4</f>
        <v>Objetivo estratégico 8 Indicador 4</v>
      </c>
      <c r="H65" s="260" t="str">
        <f ca="1">OFFSET(Variables_Lu!$D$10,Basic_Setup!H79,0)</f>
        <v>Nutrition-specific</v>
      </c>
      <c r="I65" s="262">
        <f t="shared" si="25"/>
        <v>0</v>
      </c>
      <c r="J65" s="37">
        <v>0</v>
      </c>
      <c r="K65" s="37">
        <v>0</v>
      </c>
      <c r="L65" s="37">
        <v>0</v>
      </c>
      <c r="M65" s="37">
        <v>0</v>
      </c>
      <c r="N65" s="37">
        <v>0</v>
      </c>
    </row>
    <row r="66" spans="6:14" ht="12" x14ac:dyDescent="0.2">
      <c r="F66" s="448"/>
      <c r="G66" s="41" t="str">
        <f>STRAT8_IND5</f>
        <v>Objetivo estratégico 8 Indicador 5</v>
      </c>
      <c r="H66" s="260" t="str">
        <f ca="1">OFFSET(Variables_Lu!$D$10,Basic_Setup!H80,0)</f>
        <v>Nutrition-specific</v>
      </c>
      <c r="I66" s="262">
        <f t="shared" si="25"/>
        <v>0</v>
      </c>
      <c r="J66" s="37">
        <v>0</v>
      </c>
      <c r="K66" s="37">
        <v>0</v>
      </c>
      <c r="L66" s="37">
        <v>0</v>
      </c>
      <c r="M66" s="37">
        <v>0</v>
      </c>
      <c r="N66" s="37">
        <v>0</v>
      </c>
    </row>
    <row r="67" spans="6:14" ht="12" x14ac:dyDescent="0.2">
      <c r="H67" s="152" t="s">
        <v>161</v>
      </c>
      <c r="I67" s="265">
        <f>SUM(I62:I66)</f>
        <v>0</v>
      </c>
      <c r="J67" s="265">
        <f t="shared" ref="J67:N67" si="26">SUM(J62:J66)</f>
        <v>0</v>
      </c>
      <c r="K67" s="265">
        <f t="shared" si="26"/>
        <v>0</v>
      </c>
      <c r="L67" s="265">
        <f t="shared" si="26"/>
        <v>0</v>
      </c>
      <c r="M67" s="265">
        <f t="shared" si="26"/>
        <v>0</v>
      </c>
      <c r="N67" s="265">
        <f t="shared" si="26"/>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262">
        <f>SUM(J68:N68)</f>
        <v>0</v>
      </c>
      <c r="J68" s="37">
        <v>0</v>
      </c>
      <c r="K68" s="37">
        <v>0</v>
      </c>
      <c r="L68" s="37">
        <v>0</v>
      </c>
      <c r="M68" s="37">
        <v>0</v>
      </c>
      <c r="N68" s="37">
        <v>0</v>
      </c>
    </row>
    <row r="69" spans="6:14" ht="12" x14ac:dyDescent="0.2">
      <c r="F69" s="447"/>
      <c r="G69" s="42" t="str">
        <f>STRAT9_IND2</f>
        <v>Objetivo estratégico 9 Indicador 2</v>
      </c>
      <c r="H69" s="260" t="str">
        <f ca="1">OFFSET(Variables_Lu!$D$10,Basic_Setup!H83,0)</f>
        <v>Nutrition-specific</v>
      </c>
      <c r="I69" s="262">
        <f t="shared" ref="I69:I72" si="27">SUM(J69:N69)</f>
        <v>0</v>
      </c>
      <c r="J69" s="37">
        <v>0</v>
      </c>
      <c r="K69" s="37">
        <v>0</v>
      </c>
      <c r="L69" s="37">
        <v>0</v>
      </c>
      <c r="M69" s="37">
        <v>0</v>
      </c>
      <c r="N69" s="37">
        <v>0</v>
      </c>
    </row>
    <row r="70" spans="6:14" ht="12" x14ac:dyDescent="0.2">
      <c r="F70" s="447"/>
      <c r="G70" s="42" t="str">
        <f>STRAT9_IND3</f>
        <v>Objetivo estratégico 9 Indicador 3</v>
      </c>
      <c r="H70" s="260" t="str">
        <f ca="1">OFFSET(Variables_Lu!$D$10,Basic_Setup!H84,0)</f>
        <v>Nutrition-specific</v>
      </c>
      <c r="I70" s="262">
        <f t="shared" si="27"/>
        <v>0</v>
      </c>
      <c r="J70" s="37">
        <v>0</v>
      </c>
      <c r="K70" s="37">
        <v>0</v>
      </c>
      <c r="L70" s="37">
        <v>0</v>
      </c>
      <c r="M70" s="37">
        <v>0</v>
      </c>
      <c r="N70" s="37">
        <v>0</v>
      </c>
    </row>
    <row r="71" spans="6:14" ht="12" x14ac:dyDescent="0.2">
      <c r="F71" s="447"/>
      <c r="G71" s="41" t="str">
        <f>STRAT9_IND4</f>
        <v>Objetivo estratégico 9 Indicador 4</v>
      </c>
      <c r="H71" s="260" t="str">
        <f ca="1">OFFSET(Variables_Lu!$D$10,Basic_Setup!H85,0)</f>
        <v>Nutrition-specific</v>
      </c>
      <c r="I71" s="262">
        <f t="shared" si="27"/>
        <v>0</v>
      </c>
      <c r="J71" s="37">
        <v>0</v>
      </c>
      <c r="K71" s="37">
        <v>0</v>
      </c>
      <c r="L71" s="37">
        <v>0</v>
      </c>
      <c r="M71" s="37">
        <v>0</v>
      </c>
      <c r="N71" s="37">
        <v>0</v>
      </c>
    </row>
    <row r="72" spans="6:14" ht="12" x14ac:dyDescent="0.2">
      <c r="F72" s="448"/>
      <c r="G72" s="41" t="str">
        <f>STRAT9_IND5</f>
        <v>Objetivo estratégico 9 Indicador 5</v>
      </c>
      <c r="H72" s="260" t="str">
        <f ca="1">OFFSET(Variables_Lu!$D$10,Basic_Setup!H86,0)</f>
        <v>Nutrition-specific</v>
      </c>
      <c r="I72" s="262">
        <f t="shared" si="27"/>
        <v>0</v>
      </c>
      <c r="J72" s="37">
        <v>0</v>
      </c>
      <c r="K72" s="37">
        <v>0</v>
      </c>
      <c r="L72" s="37">
        <v>0</v>
      </c>
      <c r="M72" s="37">
        <v>0</v>
      </c>
      <c r="N72" s="37">
        <v>0</v>
      </c>
    </row>
    <row r="73" spans="6:14" ht="12" x14ac:dyDescent="0.2">
      <c r="H73" s="152" t="s">
        <v>162</v>
      </c>
      <c r="I73" s="265">
        <f>SUM(I68:I72)</f>
        <v>0</v>
      </c>
      <c r="J73" s="265">
        <f t="shared" ref="J73:N73" si="28">SUM(J68:J72)</f>
        <v>0</v>
      </c>
      <c r="K73" s="265">
        <f t="shared" si="28"/>
        <v>0</v>
      </c>
      <c r="L73" s="265">
        <f t="shared" si="28"/>
        <v>0</v>
      </c>
      <c r="M73" s="265">
        <f t="shared" si="28"/>
        <v>0</v>
      </c>
      <c r="N73" s="265">
        <f t="shared" si="28"/>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262">
        <f>SUM(J74:N74)</f>
        <v>0</v>
      </c>
      <c r="J74" s="37">
        <v>0</v>
      </c>
      <c r="K74" s="37">
        <v>0</v>
      </c>
      <c r="L74" s="37">
        <v>0</v>
      </c>
      <c r="M74" s="37">
        <v>0</v>
      </c>
      <c r="N74" s="37">
        <v>0</v>
      </c>
    </row>
    <row r="75" spans="6:14" ht="12" x14ac:dyDescent="0.2">
      <c r="F75" s="447"/>
      <c r="G75" s="42" t="str">
        <f>STRAT10_IND2</f>
        <v>Objetivo estratégico 10 Indicador 2</v>
      </c>
      <c r="H75" s="260" t="str">
        <f ca="1">OFFSET(Variables_Lu!$D$10,Basic_Setup!H89,0)</f>
        <v>Nutrition-specific</v>
      </c>
      <c r="I75" s="262">
        <f t="shared" ref="I75:I78" si="29">SUM(J75:N75)</f>
        <v>0</v>
      </c>
      <c r="J75" s="37">
        <v>0</v>
      </c>
      <c r="K75" s="37">
        <v>0</v>
      </c>
      <c r="L75" s="37">
        <v>0</v>
      </c>
      <c r="M75" s="37">
        <v>0</v>
      </c>
      <c r="N75" s="37">
        <v>0</v>
      </c>
    </row>
    <row r="76" spans="6:14" ht="12" x14ac:dyDescent="0.2">
      <c r="F76" s="447"/>
      <c r="G76" s="42" t="str">
        <f>STRAT10_IND3</f>
        <v>Objetivo estratégico 10 Indicador 3</v>
      </c>
      <c r="H76" s="260" t="str">
        <f ca="1">OFFSET(Variables_Lu!$D$10,Basic_Setup!H90,0)</f>
        <v>Nutrition-specific</v>
      </c>
      <c r="I76" s="262">
        <f t="shared" si="29"/>
        <v>0</v>
      </c>
      <c r="J76" s="37">
        <v>0</v>
      </c>
      <c r="K76" s="37">
        <v>0</v>
      </c>
      <c r="L76" s="37">
        <v>0</v>
      </c>
      <c r="M76" s="37">
        <v>0</v>
      </c>
      <c r="N76" s="37">
        <v>0</v>
      </c>
    </row>
    <row r="77" spans="6:14" ht="11.25" customHeight="1" x14ac:dyDescent="0.2">
      <c r="F77" s="447"/>
      <c r="G77" s="41" t="str">
        <f>STRAT10_IND4</f>
        <v>Objetivo estratégico 10 Indicador 4</v>
      </c>
      <c r="H77" s="260" t="str">
        <f ca="1">OFFSET(Variables_Lu!$D$10,Basic_Setup!H91,0)</f>
        <v>Nutrition-specific</v>
      </c>
      <c r="I77" s="262">
        <f t="shared" si="29"/>
        <v>0</v>
      </c>
      <c r="J77" s="37">
        <v>0</v>
      </c>
      <c r="K77" s="37">
        <v>0</v>
      </c>
      <c r="L77" s="37">
        <v>0</v>
      </c>
      <c r="M77" s="37">
        <v>0</v>
      </c>
      <c r="N77" s="37">
        <v>0</v>
      </c>
    </row>
    <row r="78" spans="6:14" ht="11.25" customHeight="1" x14ac:dyDescent="0.2">
      <c r="F78" s="448"/>
      <c r="G78" s="41" t="str">
        <f>STRAT10_IND5</f>
        <v>Objetivo estratégico 10 Indicador 5</v>
      </c>
      <c r="H78" s="260" t="str">
        <f ca="1">OFFSET(Variables_Lu!$D$10,Basic_Setup!H92,0)</f>
        <v>Nutrition-specific</v>
      </c>
      <c r="I78" s="262">
        <f t="shared" si="29"/>
        <v>0</v>
      </c>
      <c r="J78" s="37">
        <v>0</v>
      </c>
      <c r="K78" s="37">
        <v>0</v>
      </c>
      <c r="L78" s="37">
        <v>0</v>
      </c>
      <c r="M78" s="37">
        <v>0</v>
      </c>
      <c r="N78" s="37">
        <v>0</v>
      </c>
    </row>
    <row r="79" spans="6:14" ht="11.25" customHeight="1" x14ac:dyDescent="0.2">
      <c r="H79" s="152" t="s">
        <v>163</v>
      </c>
      <c r="I79" s="265">
        <f>SUM(I74:I78)</f>
        <v>0</v>
      </c>
      <c r="J79" s="265">
        <f t="shared" ref="J79:N79" si="30">SUM(J74:J78)</f>
        <v>0</v>
      </c>
      <c r="K79" s="265">
        <f t="shared" si="30"/>
        <v>0</v>
      </c>
      <c r="L79" s="265">
        <f t="shared" si="30"/>
        <v>0</v>
      </c>
      <c r="M79" s="265">
        <f t="shared" si="30"/>
        <v>0</v>
      </c>
      <c r="N79" s="265">
        <f t="shared" si="30"/>
        <v>0</v>
      </c>
    </row>
    <row r="80" spans="6:14" ht="11.25" customHeight="1" x14ac:dyDescent="0.2">
      <c r="I80" s="263"/>
    </row>
    <row r="81" spans="6:14" ht="12.6" thickBot="1" x14ac:dyDescent="0.25">
      <c r="H81" s="149" t="str">
        <f>"TOTAL - "&amp;$F$12</f>
        <v>TOTAL - Ministerio de Medioambiente</v>
      </c>
      <c r="I81" s="264">
        <f>SUM(I25,I31,I37,I43,I49,I55,I61,I67,I73,I79)</f>
        <v>688835359.12500012</v>
      </c>
      <c r="J81" s="264">
        <f>SUM(J25,J31,J37,J43,J49,J55,J61,J67,J73,J79)</f>
        <v>137767071.82499999</v>
      </c>
      <c r="K81" s="264">
        <f t="shared" ref="K81:N81" si="31">SUM(K25,K31,K37,K43,K49,K55,K61,K67,K73,K79)</f>
        <v>137767071.82499999</v>
      </c>
      <c r="L81" s="264">
        <f t="shared" si="31"/>
        <v>137767071.82499999</v>
      </c>
      <c r="M81" s="264">
        <f t="shared" si="31"/>
        <v>137767071.82499999</v>
      </c>
      <c r="N81" s="264">
        <f t="shared" si="31"/>
        <v>137767071.82499999</v>
      </c>
    </row>
    <row r="83" spans="6:14" ht="12" x14ac:dyDescent="0.2">
      <c r="F83" s="44" t="s">
        <v>171</v>
      </c>
    </row>
    <row r="84" spans="6:14" x14ac:dyDescent="0.2">
      <c r="F84" s="49"/>
    </row>
    <row r="85" spans="6:14" x14ac:dyDescent="0.2">
      <c r="F85" s="49"/>
    </row>
    <row r="86" spans="6:14" x14ac:dyDescent="0.2">
      <c r="F86" s="49"/>
    </row>
    <row r="87" spans="6:14" x14ac:dyDescent="0.2">
      <c r="F87" s="49"/>
    </row>
    <row r="90" spans="6:14" ht="12.6" thickBot="1" x14ac:dyDescent="0.25">
      <c r="F90" s="1" t="s">
        <v>411</v>
      </c>
      <c r="G90" s="1" t="s">
        <v>412</v>
      </c>
      <c r="H90" s="406" t="s">
        <v>472</v>
      </c>
      <c r="I90" s="253" t="s">
        <v>106</v>
      </c>
      <c r="J90" s="54" t="str">
        <f>CURR_INT_ABBR</f>
        <v>USD</v>
      </c>
      <c r="K90" s="54" t="str">
        <f>CURR_INT_ABBR</f>
        <v>USD</v>
      </c>
      <c r="L90" s="54" t="str">
        <f>CURR_INT_ABBR</f>
        <v>USD</v>
      </c>
      <c r="M90" s="54" t="str">
        <f>CURR_INT_ABBR</f>
        <v>USD</v>
      </c>
      <c r="N90" s="54" t="str">
        <f>CURR_INT_ABBR</f>
        <v>USD</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67">
        <f t="shared" ref="I91:N100" si="32">I20/EXCHANGE_RATE</f>
        <v>153.07452425</v>
      </c>
      <c r="J91" s="154">
        <f t="shared" si="32"/>
        <v>30.614904850000002</v>
      </c>
      <c r="K91" s="154">
        <f t="shared" si="32"/>
        <v>30.614904850000002</v>
      </c>
      <c r="L91" s="154">
        <f t="shared" si="32"/>
        <v>30.614904850000002</v>
      </c>
      <c r="M91" s="154">
        <f t="shared" si="32"/>
        <v>30.614904850000002</v>
      </c>
      <c r="N91" s="154">
        <f t="shared" si="32"/>
        <v>30.614904850000002</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67">
        <f t="shared" si="32"/>
        <v>153.07452425</v>
      </c>
      <c r="J92" s="154">
        <f t="shared" si="32"/>
        <v>30.614904850000002</v>
      </c>
      <c r="K92" s="154">
        <f t="shared" si="32"/>
        <v>30.614904850000002</v>
      </c>
      <c r="L92" s="154">
        <f t="shared" si="32"/>
        <v>30.614904850000002</v>
      </c>
      <c r="M92" s="154">
        <f t="shared" si="32"/>
        <v>30.614904850000002</v>
      </c>
      <c r="N92" s="154">
        <f t="shared" si="32"/>
        <v>30.614904850000002</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67">
        <f t="shared" si="32"/>
        <v>153.07452425</v>
      </c>
      <c r="J93" s="154">
        <f t="shared" si="32"/>
        <v>30.614904850000002</v>
      </c>
      <c r="K93" s="154">
        <f t="shared" si="32"/>
        <v>30.614904850000002</v>
      </c>
      <c r="L93" s="154">
        <f t="shared" si="32"/>
        <v>30.614904850000002</v>
      </c>
      <c r="M93" s="154">
        <f t="shared" si="32"/>
        <v>30.614904850000002</v>
      </c>
      <c r="N93" s="154">
        <f t="shared" si="32"/>
        <v>30.614904850000002</v>
      </c>
    </row>
    <row r="94" spans="6:14" ht="22.8" x14ac:dyDescent="0.2">
      <c r="F94" s="444"/>
      <c r="G94" s="41" t="str">
        <f>STRAT1_IND4</f>
        <v>El marco legislativo y reglamentario de la nutrición se ha fortalecido y está en funcionamiento.</v>
      </c>
      <c r="H94" s="268" t="str">
        <f ca="1">OFFSET(Variables_Lu!$D$10,Basic_Setup!H37,0)</f>
        <v>Governance</v>
      </c>
      <c r="I94" s="67">
        <f t="shared" si="32"/>
        <v>153.07452425</v>
      </c>
      <c r="J94" s="154">
        <f t="shared" si="32"/>
        <v>30.614904850000002</v>
      </c>
      <c r="K94" s="154">
        <f t="shared" si="32"/>
        <v>30.614904850000002</v>
      </c>
      <c r="L94" s="154">
        <f t="shared" si="32"/>
        <v>30.614904850000002</v>
      </c>
      <c r="M94" s="154">
        <f t="shared" si="32"/>
        <v>30.614904850000002</v>
      </c>
      <c r="N94" s="154">
        <f t="shared" si="32"/>
        <v>30.614904850000002</v>
      </c>
    </row>
    <row r="95" spans="6:14" ht="12.6" thickBot="1" x14ac:dyDescent="0.25">
      <c r="F95" s="445"/>
      <c r="G95" s="275" t="str">
        <f>STRAT1_IND5</f>
        <v>Objetivo estratégico 1 Indicador 5</v>
      </c>
      <c r="H95" s="270" t="str">
        <f ca="1">OFFSET(Variables_Lu!$D$10,Basic_Setup!H38,0)</f>
        <v>Governance</v>
      </c>
      <c r="I95" s="67">
        <f t="shared" si="32"/>
        <v>0</v>
      </c>
      <c r="J95" s="154">
        <f t="shared" si="32"/>
        <v>0</v>
      </c>
      <c r="K95" s="154">
        <f t="shared" si="32"/>
        <v>0</v>
      </c>
      <c r="L95" s="154">
        <f t="shared" si="32"/>
        <v>0</v>
      </c>
      <c r="M95" s="154">
        <f t="shared" si="32"/>
        <v>0</v>
      </c>
      <c r="N95" s="154">
        <f t="shared" si="32"/>
        <v>0</v>
      </c>
    </row>
    <row r="96" spans="6:14" ht="12.6" thickBot="1" x14ac:dyDescent="0.25">
      <c r="F96" s="38"/>
      <c r="G96" s="38"/>
      <c r="H96" s="152" t="s">
        <v>107</v>
      </c>
      <c r="I96" s="122">
        <f t="shared" si="32"/>
        <v>612.29809699999998</v>
      </c>
      <c r="J96" s="63">
        <f t="shared" si="32"/>
        <v>122.45961940000001</v>
      </c>
      <c r="K96" s="63">
        <f t="shared" si="32"/>
        <v>122.45961940000001</v>
      </c>
      <c r="L96" s="63">
        <f t="shared" si="32"/>
        <v>122.45961940000001</v>
      </c>
      <c r="M96" s="63">
        <f t="shared" si="32"/>
        <v>122.45961940000001</v>
      </c>
      <c r="N96" s="63">
        <f t="shared" si="32"/>
        <v>122.45961940000001</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67">
        <f t="shared" si="32"/>
        <v>8100.1935748958331</v>
      </c>
      <c r="J97" s="154">
        <f t="shared" si="32"/>
        <v>1620.0387149791666</v>
      </c>
      <c r="K97" s="154">
        <f t="shared" si="32"/>
        <v>1620.0387149791666</v>
      </c>
      <c r="L97" s="154">
        <f t="shared" si="32"/>
        <v>1620.0387149791666</v>
      </c>
      <c r="M97" s="154">
        <f t="shared" si="32"/>
        <v>1620.0387149791666</v>
      </c>
      <c r="N97" s="154">
        <f t="shared" si="32"/>
        <v>1620.0387149791666</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67">
        <f t="shared" si="32"/>
        <v>8100.1935748958331</v>
      </c>
      <c r="J98" s="154">
        <f t="shared" si="32"/>
        <v>1620.0387149791666</v>
      </c>
      <c r="K98" s="154">
        <f t="shared" si="32"/>
        <v>1620.0387149791666</v>
      </c>
      <c r="L98" s="154">
        <f t="shared" si="32"/>
        <v>1620.0387149791666</v>
      </c>
      <c r="M98" s="154">
        <f t="shared" si="32"/>
        <v>1620.0387149791666</v>
      </c>
      <c r="N98" s="154">
        <f t="shared" si="32"/>
        <v>1620.0387149791666</v>
      </c>
    </row>
    <row r="99" spans="6:14" ht="22.8" x14ac:dyDescent="0.2">
      <c r="F99" s="444"/>
      <c r="G99" s="42" t="str">
        <f>STRAT2_IND3</f>
        <v>Se refuerzan las intervenciones comunitarias en materia de nutrición.</v>
      </c>
      <c r="H99" s="268" t="str">
        <f ca="1">OFFSET(Variables_Lu!$D$10,Basic_Setup!H42,0)</f>
        <v>Nutrition-specific</v>
      </c>
      <c r="I99" s="67">
        <f t="shared" si="32"/>
        <v>8100.1935748958331</v>
      </c>
      <c r="J99" s="154">
        <f t="shared" si="32"/>
        <v>1620.0387149791666</v>
      </c>
      <c r="K99" s="154">
        <f t="shared" si="32"/>
        <v>1620.0387149791666</v>
      </c>
      <c r="L99" s="154">
        <f t="shared" si="32"/>
        <v>1620.0387149791666</v>
      </c>
      <c r="M99" s="154">
        <f t="shared" si="32"/>
        <v>1620.0387149791666</v>
      </c>
      <c r="N99" s="154">
        <f t="shared" si="32"/>
        <v>1620.0387149791666</v>
      </c>
    </row>
    <row r="100" spans="6:14" ht="12" x14ac:dyDescent="0.2">
      <c r="F100" s="444"/>
      <c r="G100" s="41" t="str">
        <f>STRAT2_IND4</f>
        <v>Objetivo estratégico 2 Indicador 4</v>
      </c>
      <c r="H100" s="268" t="str">
        <f ca="1">OFFSET(Variables_Lu!$D$10,Basic_Setup!H43,0)</f>
        <v>Nutrition-specific</v>
      </c>
      <c r="I100" s="67">
        <f t="shared" si="32"/>
        <v>0</v>
      </c>
      <c r="J100" s="154">
        <f t="shared" si="32"/>
        <v>0</v>
      </c>
      <c r="K100" s="154">
        <f t="shared" si="32"/>
        <v>0</v>
      </c>
      <c r="L100" s="154">
        <f t="shared" si="32"/>
        <v>0</v>
      </c>
      <c r="M100" s="154">
        <f t="shared" si="32"/>
        <v>0</v>
      </c>
      <c r="N100" s="154">
        <f t="shared" si="32"/>
        <v>0</v>
      </c>
    </row>
    <row r="101" spans="6:14" ht="12.6" thickBot="1" x14ac:dyDescent="0.25">
      <c r="F101" s="445"/>
      <c r="G101" s="275" t="str">
        <f>STRAT2_IND5</f>
        <v>Objetivo estratégico 2 Indicador 5</v>
      </c>
      <c r="H101" s="270" t="str">
        <f ca="1">OFFSET(Variables_Lu!$D$10,Basic_Setup!H44,0)</f>
        <v>Nutrition-specific</v>
      </c>
      <c r="I101" s="67">
        <f t="shared" ref="I101:N110" si="33">I30/EXCHANGE_RATE</f>
        <v>0</v>
      </c>
      <c r="J101" s="154">
        <f t="shared" si="33"/>
        <v>0</v>
      </c>
      <c r="K101" s="154">
        <f t="shared" si="33"/>
        <v>0</v>
      </c>
      <c r="L101" s="154">
        <f t="shared" si="33"/>
        <v>0</v>
      </c>
      <c r="M101" s="154">
        <f t="shared" si="33"/>
        <v>0</v>
      </c>
      <c r="N101" s="154">
        <f t="shared" si="33"/>
        <v>0</v>
      </c>
    </row>
    <row r="102" spans="6:14" ht="12.6" thickBot="1" x14ac:dyDescent="0.25">
      <c r="F102" s="38"/>
      <c r="G102" s="38"/>
      <c r="H102" s="152" t="s">
        <v>108</v>
      </c>
      <c r="I102" s="122">
        <f t="shared" si="33"/>
        <v>24300.580724687497</v>
      </c>
      <c r="J102" s="63">
        <f t="shared" si="33"/>
        <v>4860.1161449374995</v>
      </c>
      <c r="K102" s="63">
        <f t="shared" si="33"/>
        <v>4860.1161449374995</v>
      </c>
      <c r="L102" s="63">
        <f t="shared" si="33"/>
        <v>4860.1161449374995</v>
      </c>
      <c r="M102" s="63">
        <f t="shared" si="33"/>
        <v>4860.1161449374995</v>
      </c>
      <c r="N102" s="63">
        <f t="shared" si="33"/>
        <v>4860.1161449374995</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67">
        <f t="shared" si="33"/>
        <v>95786.383549437509</v>
      </c>
      <c r="J103" s="154">
        <f t="shared" si="33"/>
        <v>19157.276709887501</v>
      </c>
      <c r="K103" s="154">
        <f t="shared" si="33"/>
        <v>19157.276709887501</v>
      </c>
      <c r="L103" s="154">
        <f t="shared" si="33"/>
        <v>19157.276709887501</v>
      </c>
      <c r="M103" s="154">
        <f t="shared" si="33"/>
        <v>19157.276709887501</v>
      </c>
      <c r="N103" s="154">
        <f t="shared" si="33"/>
        <v>19157.276709887501</v>
      </c>
    </row>
    <row r="104" spans="6:14" ht="22.8" x14ac:dyDescent="0.2">
      <c r="F104" s="444"/>
      <c r="G104" s="42" t="str">
        <f>STRAT3_IND2</f>
        <v xml:space="preserve"> La seguridad alimentaria está garantizada para toda la nación.</v>
      </c>
      <c r="H104" s="268" t="str">
        <f ca="1">OFFSET(Variables_Lu!$D$10,Basic_Setup!H47,0)</f>
        <v>Nutrition-sensitive</v>
      </c>
      <c r="I104" s="67">
        <f t="shared" si="33"/>
        <v>95786.383549437509</v>
      </c>
      <c r="J104" s="154">
        <f t="shared" si="33"/>
        <v>19157.276709887501</v>
      </c>
      <c r="K104" s="154">
        <f t="shared" si="33"/>
        <v>19157.276709887501</v>
      </c>
      <c r="L104" s="154">
        <f t="shared" si="33"/>
        <v>19157.276709887501</v>
      </c>
      <c r="M104" s="154">
        <f t="shared" si="33"/>
        <v>19157.276709887501</v>
      </c>
      <c r="N104" s="154">
        <f t="shared" si="33"/>
        <v>19157.276709887501</v>
      </c>
    </row>
    <row r="105" spans="6:14" ht="12" x14ac:dyDescent="0.2">
      <c r="F105" s="444"/>
      <c r="G105" s="42" t="str">
        <f>STRAT3_IND3</f>
        <v>Objetivo estratégico 3 Indicador 3</v>
      </c>
      <c r="H105" s="268" t="str">
        <f ca="1">OFFSET(Variables_Lu!$D$10,Basic_Setup!H48,0)</f>
        <v>Nutrition-specific</v>
      </c>
      <c r="I105" s="67">
        <f t="shared" si="33"/>
        <v>0</v>
      </c>
      <c r="J105" s="154">
        <f t="shared" si="33"/>
        <v>0</v>
      </c>
      <c r="K105" s="154">
        <f t="shared" si="33"/>
        <v>0</v>
      </c>
      <c r="L105" s="154">
        <f t="shared" si="33"/>
        <v>0</v>
      </c>
      <c r="M105" s="154">
        <f t="shared" si="33"/>
        <v>0</v>
      </c>
      <c r="N105" s="154">
        <f t="shared" si="33"/>
        <v>0</v>
      </c>
    </row>
    <row r="106" spans="6:14" ht="12" x14ac:dyDescent="0.2">
      <c r="F106" s="444"/>
      <c r="G106" s="41" t="str">
        <f>STRAT3_IND4</f>
        <v>Objetivo estratégico 3 Indicador 4</v>
      </c>
      <c r="H106" s="268" t="str">
        <f ca="1">OFFSET(Variables_Lu!$D$10,Basic_Setup!H49,0)</f>
        <v>Nutrition-specific</v>
      </c>
      <c r="I106" s="67">
        <f t="shared" si="33"/>
        <v>0</v>
      </c>
      <c r="J106" s="154">
        <f t="shared" si="33"/>
        <v>0</v>
      </c>
      <c r="K106" s="154">
        <f t="shared" si="33"/>
        <v>0</v>
      </c>
      <c r="L106" s="154">
        <f t="shared" si="33"/>
        <v>0</v>
      </c>
      <c r="M106" s="154">
        <f t="shared" si="33"/>
        <v>0</v>
      </c>
      <c r="N106" s="154">
        <f t="shared" si="33"/>
        <v>0</v>
      </c>
    </row>
    <row r="107" spans="6:14" ht="12.6" thickBot="1" x14ac:dyDescent="0.25">
      <c r="F107" s="445"/>
      <c r="G107" s="275" t="str">
        <f>STRAT3_IND5</f>
        <v>Objetivo estratégico 3 Indicador 5</v>
      </c>
      <c r="H107" s="270" t="str">
        <f ca="1">OFFSET(Variables_Lu!$D$10,Basic_Setup!H50,0)</f>
        <v>Nutrition-specific</v>
      </c>
      <c r="I107" s="67">
        <f t="shared" si="33"/>
        <v>0</v>
      </c>
      <c r="J107" s="154">
        <f t="shared" si="33"/>
        <v>0</v>
      </c>
      <c r="K107" s="154">
        <f t="shared" si="33"/>
        <v>0</v>
      </c>
      <c r="L107" s="154">
        <f t="shared" si="33"/>
        <v>0</v>
      </c>
      <c r="M107" s="154">
        <f t="shared" si="33"/>
        <v>0</v>
      </c>
      <c r="N107" s="154">
        <f t="shared" si="33"/>
        <v>0</v>
      </c>
    </row>
    <row r="108" spans="6:14" ht="12.6" thickBot="1" x14ac:dyDescent="0.25">
      <c r="H108" s="152" t="s">
        <v>109</v>
      </c>
      <c r="I108" s="122">
        <f t="shared" si="33"/>
        <v>191572.76709887502</v>
      </c>
      <c r="J108" s="63">
        <f t="shared" si="33"/>
        <v>38314.553419775002</v>
      </c>
      <c r="K108" s="63">
        <f t="shared" si="33"/>
        <v>38314.553419775002</v>
      </c>
      <c r="L108" s="63">
        <f t="shared" si="33"/>
        <v>38314.553419775002</v>
      </c>
      <c r="M108" s="63">
        <f t="shared" si="33"/>
        <v>38314.553419775002</v>
      </c>
      <c r="N108" s="63">
        <f t="shared" si="33"/>
        <v>38314.553419775002</v>
      </c>
    </row>
    <row r="109" spans="6:14" ht="24"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67">
        <f t="shared" si="33"/>
        <v>53920.501167062495</v>
      </c>
      <c r="J109" s="154">
        <f t="shared" si="33"/>
        <v>10784.100233412499</v>
      </c>
      <c r="K109" s="154">
        <f t="shared" si="33"/>
        <v>10784.100233412499</v>
      </c>
      <c r="L109" s="154">
        <f t="shared" si="33"/>
        <v>10784.100233412499</v>
      </c>
      <c r="M109" s="154">
        <f t="shared" si="33"/>
        <v>10784.100233412499</v>
      </c>
      <c r="N109" s="154">
        <f t="shared" si="33"/>
        <v>10784.100233412499</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67">
        <f t="shared" si="33"/>
        <v>53920.501167062495</v>
      </c>
      <c r="J110" s="154">
        <f t="shared" si="33"/>
        <v>10784.100233412499</v>
      </c>
      <c r="K110" s="154">
        <f t="shared" si="33"/>
        <v>10784.100233412499</v>
      </c>
      <c r="L110" s="154">
        <f t="shared" si="33"/>
        <v>10784.100233412499</v>
      </c>
      <c r="M110" s="154">
        <f t="shared" si="33"/>
        <v>10784.100233412499</v>
      </c>
      <c r="N110" s="154">
        <f t="shared" si="33"/>
        <v>10784.100233412499</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67">
        <f t="shared" ref="I111:N120" si="34">I40/EXCHANGE_RATE</f>
        <v>53920.501167062495</v>
      </c>
      <c r="J111" s="154">
        <f t="shared" si="34"/>
        <v>10784.100233412499</v>
      </c>
      <c r="K111" s="154">
        <f t="shared" si="34"/>
        <v>10784.100233412499</v>
      </c>
      <c r="L111" s="154">
        <f t="shared" si="34"/>
        <v>10784.100233412499</v>
      </c>
      <c r="M111" s="154">
        <f t="shared" si="34"/>
        <v>10784.100233412499</v>
      </c>
      <c r="N111" s="154">
        <f t="shared" si="34"/>
        <v>10784.100233412499</v>
      </c>
    </row>
    <row r="112" spans="6:14" ht="12" x14ac:dyDescent="0.2">
      <c r="F112" s="444"/>
      <c r="G112" s="41" t="str">
        <f>STRAT4_IND4</f>
        <v>Objetivo estratégico 4 Indicador 4</v>
      </c>
      <c r="H112" s="268" t="str">
        <f ca="1">OFFSET(Variables_Lu!$D$10,Basic_Setup!H55,0)</f>
        <v>Nutrition-specific</v>
      </c>
      <c r="I112" s="67">
        <f t="shared" si="34"/>
        <v>0</v>
      </c>
      <c r="J112" s="154">
        <f t="shared" si="34"/>
        <v>0</v>
      </c>
      <c r="K112" s="154">
        <f t="shared" si="34"/>
        <v>0</v>
      </c>
      <c r="L112" s="154">
        <f t="shared" si="34"/>
        <v>0</v>
      </c>
      <c r="M112" s="154">
        <f t="shared" si="34"/>
        <v>0</v>
      </c>
      <c r="N112" s="154">
        <f t="shared" si="34"/>
        <v>0</v>
      </c>
    </row>
    <row r="113" spans="6:14" ht="12.6" thickBot="1" x14ac:dyDescent="0.25">
      <c r="F113" s="445"/>
      <c r="G113" s="275" t="str">
        <f>STRAT4_IND5</f>
        <v>Objetivo estratégico 4 Indicador 5</v>
      </c>
      <c r="H113" s="270" t="str">
        <f ca="1">OFFSET(Variables_Lu!$D$10,Basic_Setup!H56,0)</f>
        <v>Nutrition-specific</v>
      </c>
      <c r="I113" s="67">
        <f t="shared" si="34"/>
        <v>0</v>
      </c>
      <c r="J113" s="154">
        <f t="shared" si="34"/>
        <v>0</v>
      </c>
      <c r="K113" s="154">
        <f t="shared" si="34"/>
        <v>0</v>
      </c>
      <c r="L113" s="154">
        <f t="shared" si="34"/>
        <v>0</v>
      </c>
      <c r="M113" s="154">
        <f t="shared" si="34"/>
        <v>0</v>
      </c>
      <c r="N113" s="154">
        <f t="shared" si="34"/>
        <v>0</v>
      </c>
    </row>
    <row r="114" spans="6:14" ht="12.6" thickBot="1" x14ac:dyDescent="0.25">
      <c r="H114" s="152" t="s">
        <v>110</v>
      </c>
      <c r="I114" s="122">
        <f t="shared" si="34"/>
        <v>161761.50350118749</v>
      </c>
      <c r="J114" s="63">
        <f t="shared" si="34"/>
        <v>32352.300700237494</v>
      </c>
      <c r="K114" s="63">
        <f t="shared" si="34"/>
        <v>32352.300700237494</v>
      </c>
      <c r="L114" s="63">
        <f t="shared" si="34"/>
        <v>32352.300700237494</v>
      </c>
      <c r="M114" s="63">
        <f t="shared" si="34"/>
        <v>32352.300700237494</v>
      </c>
      <c r="N114" s="63">
        <f t="shared" si="34"/>
        <v>32352.300700237494</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67">
        <f t="shared" si="34"/>
        <v>1479.7204010833329</v>
      </c>
      <c r="J115" s="154">
        <f t="shared" si="34"/>
        <v>295.94408021666658</v>
      </c>
      <c r="K115" s="154">
        <f t="shared" si="34"/>
        <v>295.94408021666658</v>
      </c>
      <c r="L115" s="154">
        <f t="shared" si="34"/>
        <v>295.94408021666658</v>
      </c>
      <c r="M115" s="154">
        <f t="shared" si="34"/>
        <v>295.94408021666658</v>
      </c>
      <c r="N115" s="154">
        <f t="shared" si="34"/>
        <v>295.94408021666658</v>
      </c>
    </row>
    <row r="116" spans="6:14" ht="22.8" x14ac:dyDescent="0.2">
      <c r="F116" s="444"/>
      <c r="G116" s="42" t="str">
        <f>STRAT5_IND2</f>
        <v>Se promueven dietas saludables y estilos de vida saludables para las personas.</v>
      </c>
      <c r="H116" s="268" t="str">
        <f ca="1">OFFSET(Variables_Lu!$D$10,Basic_Setup!H59,0)</f>
        <v>Nutrition-specific</v>
      </c>
      <c r="I116" s="67">
        <f t="shared" si="34"/>
        <v>1479.7204010833329</v>
      </c>
      <c r="J116" s="154">
        <f t="shared" si="34"/>
        <v>295.94408021666658</v>
      </c>
      <c r="K116" s="154">
        <f t="shared" si="34"/>
        <v>295.94408021666658</v>
      </c>
      <c r="L116" s="154">
        <f t="shared" si="34"/>
        <v>295.94408021666658</v>
      </c>
      <c r="M116" s="154">
        <f t="shared" si="34"/>
        <v>295.94408021666658</v>
      </c>
      <c r="N116" s="154">
        <f t="shared" si="34"/>
        <v>295.94408021666658</v>
      </c>
    </row>
    <row r="117" spans="6:14" ht="22.8" x14ac:dyDescent="0.2">
      <c r="F117" s="444"/>
      <c r="G117" s="42" t="str">
        <f>STRAT5_IND3</f>
        <v>Se promueven las buenas prácticas WASH a nivel comunitario y doméstico</v>
      </c>
      <c r="H117" s="268" t="str">
        <f ca="1">OFFSET(Variables_Lu!$D$10,Basic_Setup!H60,0)</f>
        <v>Nutrition-sensitive</v>
      </c>
      <c r="I117" s="67">
        <f t="shared" si="34"/>
        <v>1479.7204010833329</v>
      </c>
      <c r="J117" s="154">
        <f t="shared" si="34"/>
        <v>295.94408021666658</v>
      </c>
      <c r="K117" s="154">
        <f t="shared" si="34"/>
        <v>295.94408021666658</v>
      </c>
      <c r="L117" s="154">
        <f t="shared" si="34"/>
        <v>295.94408021666658</v>
      </c>
      <c r="M117" s="154">
        <f t="shared" si="34"/>
        <v>295.94408021666658</v>
      </c>
      <c r="N117" s="154">
        <f t="shared" si="34"/>
        <v>295.94408021666658</v>
      </c>
    </row>
    <row r="118" spans="6:14" ht="12" x14ac:dyDescent="0.2">
      <c r="F118" s="444"/>
      <c r="G118" s="41" t="str">
        <f>STRAT5_IND4</f>
        <v>Objetivo estratégico 5 Indicador 4</v>
      </c>
      <c r="H118" s="268" t="str">
        <f ca="1">OFFSET(Variables_Lu!$D$10,Basic_Setup!H61,0)</f>
        <v>Nutrition-specific</v>
      </c>
      <c r="I118" s="67">
        <f t="shared" si="34"/>
        <v>0</v>
      </c>
      <c r="J118" s="154">
        <f t="shared" si="34"/>
        <v>0</v>
      </c>
      <c r="K118" s="154">
        <f t="shared" si="34"/>
        <v>0</v>
      </c>
      <c r="L118" s="154">
        <f t="shared" si="34"/>
        <v>0</v>
      </c>
      <c r="M118" s="154">
        <f t="shared" si="34"/>
        <v>0</v>
      </c>
      <c r="N118" s="154">
        <f t="shared" si="34"/>
        <v>0</v>
      </c>
    </row>
    <row r="119" spans="6:14" ht="12.6" thickBot="1" x14ac:dyDescent="0.25">
      <c r="F119" s="445"/>
      <c r="G119" s="275" t="str">
        <f>STRAT5_IND5</f>
        <v>Objetivo estratégico 5 Indicador 5</v>
      </c>
      <c r="H119" s="270" t="str">
        <f ca="1">OFFSET(Variables_Lu!$D$10,Basic_Setup!H62,0)</f>
        <v>Nutrition-specific</v>
      </c>
      <c r="I119" s="67">
        <f t="shared" si="34"/>
        <v>0</v>
      </c>
      <c r="J119" s="154">
        <f t="shared" si="34"/>
        <v>0</v>
      </c>
      <c r="K119" s="154">
        <f t="shared" si="34"/>
        <v>0</v>
      </c>
      <c r="L119" s="154">
        <f t="shared" si="34"/>
        <v>0</v>
      </c>
      <c r="M119" s="154">
        <f t="shared" si="34"/>
        <v>0</v>
      </c>
      <c r="N119" s="154">
        <f t="shared" si="34"/>
        <v>0</v>
      </c>
    </row>
    <row r="120" spans="6:14" ht="12.6" thickBot="1" x14ac:dyDescent="0.25">
      <c r="H120" s="152" t="s">
        <v>111</v>
      </c>
      <c r="I120" s="122">
        <f t="shared" si="34"/>
        <v>4439.1612032499988</v>
      </c>
      <c r="J120" s="63">
        <f t="shared" si="34"/>
        <v>887.83224064999979</v>
      </c>
      <c r="K120" s="63">
        <f t="shared" si="34"/>
        <v>887.83224064999979</v>
      </c>
      <c r="L120" s="63">
        <f t="shared" si="34"/>
        <v>887.83224064999979</v>
      </c>
      <c r="M120" s="63">
        <f t="shared" si="34"/>
        <v>887.83224064999979</v>
      </c>
      <c r="N120" s="63">
        <f t="shared" si="34"/>
        <v>887.83224064999979</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67">
        <f t="shared" ref="I121:N130" si="35">I50/EXCHANGE_RATE</f>
        <v>0</v>
      </c>
      <c r="J121" s="154">
        <f t="shared" si="35"/>
        <v>0</v>
      </c>
      <c r="K121" s="154">
        <f t="shared" si="35"/>
        <v>0</v>
      </c>
      <c r="L121" s="154">
        <f t="shared" si="35"/>
        <v>0</v>
      </c>
      <c r="M121" s="154">
        <f t="shared" si="35"/>
        <v>0</v>
      </c>
      <c r="N121" s="154">
        <f t="shared" si="35"/>
        <v>0</v>
      </c>
    </row>
    <row r="122" spans="6:14" ht="12" x14ac:dyDescent="0.2">
      <c r="F122" s="444"/>
      <c r="G122" s="42" t="str">
        <f>STRAT6_IND2</f>
        <v>Objetivo estratégico 6 Indicador 2</v>
      </c>
      <c r="H122" s="268" t="str">
        <f ca="1">OFFSET(Variables_Lu!$D$10,Basic_Setup!H65,0)</f>
        <v>Nutrition-specific</v>
      </c>
      <c r="I122" s="67">
        <f t="shared" si="35"/>
        <v>0</v>
      </c>
      <c r="J122" s="154">
        <f t="shared" si="35"/>
        <v>0</v>
      </c>
      <c r="K122" s="154">
        <f t="shared" si="35"/>
        <v>0</v>
      </c>
      <c r="L122" s="154">
        <f t="shared" si="35"/>
        <v>0</v>
      </c>
      <c r="M122" s="154">
        <f t="shared" si="35"/>
        <v>0</v>
      </c>
      <c r="N122" s="154">
        <f t="shared" si="35"/>
        <v>0</v>
      </c>
    </row>
    <row r="123" spans="6:14" ht="12" x14ac:dyDescent="0.2">
      <c r="F123" s="444"/>
      <c r="G123" s="42" t="str">
        <f>STRAT6_IND3</f>
        <v>Objetivo estratégico 6 Indicador 3</v>
      </c>
      <c r="H123" s="268" t="str">
        <f ca="1">OFFSET(Variables_Lu!$D$10,Basic_Setup!H66,0)</f>
        <v>Nutrition-specific</v>
      </c>
      <c r="I123" s="67">
        <f t="shared" si="35"/>
        <v>0</v>
      </c>
      <c r="J123" s="154">
        <f t="shared" si="35"/>
        <v>0</v>
      </c>
      <c r="K123" s="154">
        <f t="shared" si="35"/>
        <v>0</v>
      </c>
      <c r="L123" s="154">
        <f t="shared" si="35"/>
        <v>0</v>
      </c>
      <c r="M123" s="154">
        <f t="shared" si="35"/>
        <v>0</v>
      </c>
      <c r="N123" s="154">
        <f t="shared" si="35"/>
        <v>0</v>
      </c>
    </row>
    <row r="124" spans="6:14" ht="12" x14ac:dyDescent="0.2">
      <c r="F124" s="444"/>
      <c r="G124" s="41" t="str">
        <f>STRAT6_IND4</f>
        <v>Objetivo estratégico 6 Indicador 4</v>
      </c>
      <c r="H124" s="268" t="str">
        <f ca="1">OFFSET(Variables_Lu!$D$10,Basic_Setup!H67,0)</f>
        <v>Nutrition-specific</v>
      </c>
      <c r="I124" s="67">
        <f t="shared" si="35"/>
        <v>0</v>
      </c>
      <c r="J124" s="154">
        <f t="shared" si="35"/>
        <v>0</v>
      </c>
      <c r="K124" s="154">
        <f t="shared" si="35"/>
        <v>0</v>
      </c>
      <c r="L124" s="154">
        <f t="shared" si="35"/>
        <v>0</v>
      </c>
      <c r="M124" s="154">
        <f t="shared" si="35"/>
        <v>0</v>
      </c>
      <c r="N124" s="154">
        <f t="shared" si="35"/>
        <v>0</v>
      </c>
    </row>
    <row r="125" spans="6:14" ht="12.6" thickBot="1" x14ac:dyDescent="0.25">
      <c r="F125" s="445"/>
      <c r="G125" s="275" t="str">
        <f>STRAT6_IND5</f>
        <v>Objetivo estratégico 6 Indicador 5</v>
      </c>
      <c r="H125" s="270" t="str">
        <f ca="1">OFFSET(Variables_Lu!$D$10,Basic_Setup!H68,0)</f>
        <v>Nutrition-specific</v>
      </c>
      <c r="I125" s="67">
        <f t="shared" si="35"/>
        <v>0</v>
      </c>
      <c r="J125" s="154">
        <f t="shared" si="35"/>
        <v>0</v>
      </c>
      <c r="K125" s="154">
        <f t="shared" si="35"/>
        <v>0</v>
      </c>
      <c r="L125" s="154">
        <f t="shared" si="35"/>
        <v>0</v>
      </c>
      <c r="M125" s="154">
        <f t="shared" si="35"/>
        <v>0</v>
      </c>
      <c r="N125" s="154">
        <f t="shared" si="35"/>
        <v>0</v>
      </c>
    </row>
    <row r="126" spans="6:14" ht="12.6" thickBot="1" x14ac:dyDescent="0.25">
      <c r="H126" s="152" t="s">
        <v>159</v>
      </c>
      <c r="I126" s="122">
        <f t="shared" si="35"/>
        <v>0</v>
      </c>
      <c r="J126" s="63">
        <f t="shared" si="35"/>
        <v>0</v>
      </c>
      <c r="K126" s="63">
        <f t="shared" si="35"/>
        <v>0</v>
      </c>
      <c r="L126" s="63">
        <f t="shared" si="35"/>
        <v>0</v>
      </c>
      <c r="M126" s="63">
        <f t="shared" si="35"/>
        <v>0</v>
      </c>
      <c r="N126" s="63">
        <f t="shared" si="35"/>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67">
        <f t="shared" si="35"/>
        <v>0</v>
      </c>
      <c r="J127" s="154">
        <f t="shared" si="35"/>
        <v>0</v>
      </c>
      <c r="K127" s="154">
        <f t="shared" si="35"/>
        <v>0</v>
      </c>
      <c r="L127" s="154">
        <f t="shared" si="35"/>
        <v>0</v>
      </c>
      <c r="M127" s="154">
        <f t="shared" si="35"/>
        <v>0</v>
      </c>
      <c r="N127" s="154">
        <f t="shared" si="35"/>
        <v>0</v>
      </c>
    </row>
    <row r="128" spans="6:14" ht="12" x14ac:dyDescent="0.2">
      <c r="F128" s="444"/>
      <c r="G128" s="42" t="str">
        <f>STRAT7_IND2</f>
        <v>Objetivo estratégico 7 Indicador 2</v>
      </c>
      <c r="H128" s="268" t="str">
        <f ca="1">OFFSET(Variables_Lu!$D$10,Basic_Setup!H71,0)</f>
        <v>Nutrition-specific</v>
      </c>
      <c r="I128" s="67">
        <f t="shared" si="35"/>
        <v>0</v>
      </c>
      <c r="J128" s="154">
        <f t="shared" si="35"/>
        <v>0</v>
      </c>
      <c r="K128" s="154">
        <f t="shared" si="35"/>
        <v>0</v>
      </c>
      <c r="L128" s="154">
        <f t="shared" si="35"/>
        <v>0</v>
      </c>
      <c r="M128" s="154">
        <f t="shared" si="35"/>
        <v>0</v>
      </c>
      <c r="N128" s="154">
        <f t="shared" si="35"/>
        <v>0</v>
      </c>
    </row>
    <row r="129" spans="6:14" ht="12" x14ac:dyDescent="0.2">
      <c r="F129" s="444"/>
      <c r="G129" s="42" t="str">
        <f>STRAT7_IND3</f>
        <v>Objetivo estratégico 7 Indicador 3</v>
      </c>
      <c r="H129" s="268" t="str">
        <f ca="1">OFFSET(Variables_Lu!$D$10,Basic_Setup!H72,0)</f>
        <v>Nutrition-specific</v>
      </c>
      <c r="I129" s="67">
        <f t="shared" si="35"/>
        <v>0</v>
      </c>
      <c r="J129" s="154">
        <f t="shared" si="35"/>
        <v>0</v>
      </c>
      <c r="K129" s="154">
        <f t="shared" si="35"/>
        <v>0</v>
      </c>
      <c r="L129" s="154">
        <f t="shared" si="35"/>
        <v>0</v>
      </c>
      <c r="M129" s="154">
        <f t="shared" si="35"/>
        <v>0</v>
      </c>
      <c r="N129" s="154">
        <f t="shared" si="35"/>
        <v>0</v>
      </c>
    </row>
    <row r="130" spans="6:14" ht="12" x14ac:dyDescent="0.2">
      <c r="F130" s="444"/>
      <c r="G130" s="41" t="str">
        <f>STRAT7_IND4</f>
        <v>Objetivo estratégico 7 Indicador 4</v>
      </c>
      <c r="H130" s="268" t="str">
        <f ca="1">OFFSET(Variables_Lu!$D$10,Basic_Setup!H73,0)</f>
        <v>Nutrition-specific</v>
      </c>
      <c r="I130" s="67">
        <f t="shared" si="35"/>
        <v>0</v>
      </c>
      <c r="J130" s="154">
        <f t="shared" si="35"/>
        <v>0</v>
      </c>
      <c r="K130" s="154">
        <f t="shared" si="35"/>
        <v>0</v>
      </c>
      <c r="L130" s="154">
        <f t="shared" si="35"/>
        <v>0</v>
      </c>
      <c r="M130" s="154">
        <f t="shared" si="35"/>
        <v>0</v>
      </c>
      <c r="N130" s="154">
        <f t="shared" si="35"/>
        <v>0</v>
      </c>
    </row>
    <row r="131" spans="6:14" ht="12.6" thickBot="1" x14ac:dyDescent="0.25">
      <c r="F131" s="445"/>
      <c r="G131" s="275" t="str">
        <f>STRAT7_IND5</f>
        <v>Objetivo estratégico 7 Indicador 5</v>
      </c>
      <c r="H131" s="270" t="str">
        <f ca="1">OFFSET(Variables_Lu!$D$10,Basic_Setup!H74,0)</f>
        <v>Nutrition-specific</v>
      </c>
      <c r="I131" s="67">
        <f t="shared" ref="I131:N140" si="36">I60/EXCHANGE_RATE</f>
        <v>0</v>
      </c>
      <c r="J131" s="154">
        <f t="shared" si="36"/>
        <v>0</v>
      </c>
      <c r="K131" s="154">
        <f t="shared" si="36"/>
        <v>0</v>
      </c>
      <c r="L131" s="154">
        <f t="shared" si="36"/>
        <v>0</v>
      </c>
      <c r="M131" s="154">
        <f t="shared" si="36"/>
        <v>0</v>
      </c>
      <c r="N131" s="154">
        <f t="shared" si="36"/>
        <v>0</v>
      </c>
    </row>
    <row r="132" spans="6:14" ht="12.6" thickBot="1" x14ac:dyDescent="0.25">
      <c r="H132" s="152" t="s">
        <v>160</v>
      </c>
      <c r="I132" s="122">
        <f t="shared" si="36"/>
        <v>0</v>
      </c>
      <c r="J132" s="63">
        <f t="shared" si="36"/>
        <v>0</v>
      </c>
      <c r="K132" s="63">
        <f t="shared" si="36"/>
        <v>0</v>
      </c>
      <c r="L132" s="63">
        <f t="shared" si="36"/>
        <v>0</v>
      </c>
      <c r="M132" s="63">
        <f t="shared" si="36"/>
        <v>0</v>
      </c>
      <c r="N132" s="63">
        <f t="shared" si="36"/>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67">
        <f t="shared" si="36"/>
        <v>0</v>
      </c>
      <c r="J133" s="154">
        <f t="shared" si="36"/>
        <v>0</v>
      </c>
      <c r="K133" s="154">
        <f t="shared" si="36"/>
        <v>0</v>
      </c>
      <c r="L133" s="154">
        <f t="shared" si="36"/>
        <v>0</v>
      </c>
      <c r="M133" s="154">
        <f t="shared" si="36"/>
        <v>0</v>
      </c>
      <c r="N133" s="154">
        <f t="shared" si="36"/>
        <v>0</v>
      </c>
    </row>
    <row r="134" spans="6:14" ht="12" x14ac:dyDescent="0.2">
      <c r="F134" s="444"/>
      <c r="G134" s="42" t="str">
        <f>STRAT8_IND2</f>
        <v>Objetivo estratégico 8 Indicador 2</v>
      </c>
      <c r="H134" s="268" t="str">
        <f ca="1">OFFSET(Variables_Lu!$D$10,Basic_Setup!H77,0)</f>
        <v>Nutrition-specific</v>
      </c>
      <c r="I134" s="67">
        <f t="shared" si="36"/>
        <v>0</v>
      </c>
      <c r="J134" s="154">
        <f t="shared" si="36"/>
        <v>0</v>
      </c>
      <c r="K134" s="154">
        <f t="shared" si="36"/>
        <v>0</v>
      </c>
      <c r="L134" s="154">
        <f t="shared" si="36"/>
        <v>0</v>
      </c>
      <c r="M134" s="154">
        <f t="shared" si="36"/>
        <v>0</v>
      </c>
      <c r="N134" s="154">
        <f t="shared" si="36"/>
        <v>0</v>
      </c>
    </row>
    <row r="135" spans="6:14" ht="12" x14ac:dyDescent="0.2">
      <c r="F135" s="444"/>
      <c r="G135" s="42" t="str">
        <f>STRAT8_IND3</f>
        <v>Objetivo estratégico 8 Indicador 3</v>
      </c>
      <c r="H135" s="268" t="str">
        <f ca="1">OFFSET(Variables_Lu!$D$10,Basic_Setup!H78,0)</f>
        <v>Nutrition-specific</v>
      </c>
      <c r="I135" s="67">
        <f t="shared" si="36"/>
        <v>0</v>
      </c>
      <c r="J135" s="154">
        <f t="shared" si="36"/>
        <v>0</v>
      </c>
      <c r="K135" s="154">
        <f t="shared" si="36"/>
        <v>0</v>
      </c>
      <c r="L135" s="154">
        <f t="shared" si="36"/>
        <v>0</v>
      </c>
      <c r="M135" s="154">
        <f t="shared" si="36"/>
        <v>0</v>
      </c>
      <c r="N135" s="154">
        <f t="shared" si="36"/>
        <v>0</v>
      </c>
    </row>
    <row r="136" spans="6:14" ht="12" x14ac:dyDescent="0.2">
      <c r="F136" s="444"/>
      <c r="G136" s="41" t="str">
        <f>STRAT8_IND4</f>
        <v>Objetivo estratégico 8 Indicador 4</v>
      </c>
      <c r="H136" s="268" t="str">
        <f ca="1">OFFSET(Variables_Lu!$D$10,Basic_Setup!H79,0)</f>
        <v>Nutrition-specific</v>
      </c>
      <c r="I136" s="67">
        <f t="shared" si="36"/>
        <v>0</v>
      </c>
      <c r="J136" s="154">
        <f t="shared" si="36"/>
        <v>0</v>
      </c>
      <c r="K136" s="154">
        <f t="shared" si="36"/>
        <v>0</v>
      </c>
      <c r="L136" s="154">
        <f t="shared" si="36"/>
        <v>0</v>
      </c>
      <c r="M136" s="154">
        <f t="shared" si="36"/>
        <v>0</v>
      </c>
      <c r="N136" s="154">
        <f t="shared" si="36"/>
        <v>0</v>
      </c>
    </row>
    <row r="137" spans="6:14" ht="12.6" thickBot="1" x14ac:dyDescent="0.25">
      <c r="F137" s="445"/>
      <c r="G137" s="275" t="str">
        <f>STRAT8_IND5</f>
        <v>Objetivo estratégico 8 Indicador 5</v>
      </c>
      <c r="H137" s="270" t="str">
        <f ca="1">OFFSET(Variables_Lu!$D$10,Basic_Setup!H80,0)</f>
        <v>Nutrition-specific</v>
      </c>
      <c r="I137" s="67">
        <f t="shared" si="36"/>
        <v>0</v>
      </c>
      <c r="J137" s="154">
        <f t="shared" si="36"/>
        <v>0</v>
      </c>
      <c r="K137" s="154">
        <f t="shared" si="36"/>
        <v>0</v>
      </c>
      <c r="L137" s="154">
        <f t="shared" si="36"/>
        <v>0</v>
      </c>
      <c r="M137" s="154">
        <f t="shared" si="36"/>
        <v>0</v>
      </c>
      <c r="N137" s="154">
        <f t="shared" si="36"/>
        <v>0</v>
      </c>
    </row>
    <row r="138" spans="6:14" ht="12.6" thickBot="1" x14ac:dyDescent="0.25">
      <c r="H138" s="152" t="s">
        <v>161</v>
      </c>
      <c r="I138" s="122">
        <f t="shared" si="36"/>
        <v>0</v>
      </c>
      <c r="J138" s="63">
        <f t="shared" si="36"/>
        <v>0</v>
      </c>
      <c r="K138" s="63">
        <f t="shared" si="36"/>
        <v>0</v>
      </c>
      <c r="L138" s="63">
        <f t="shared" si="36"/>
        <v>0</v>
      </c>
      <c r="M138" s="63">
        <f t="shared" si="36"/>
        <v>0</v>
      </c>
      <c r="N138" s="63">
        <f t="shared" si="36"/>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67">
        <f t="shared" si="36"/>
        <v>0</v>
      </c>
      <c r="J139" s="154">
        <f t="shared" si="36"/>
        <v>0</v>
      </c>
      <c r="K139" s="154">
        <f t="shared" si="36"/>
        <v>0</v>
      </c>
      <c r="L139" s="154">
        <f t="shared" si="36"/>
        <v>0</v>
      </c>
      <c r="M139" s="154">
        <f t="shared" si="36"/>
        <v>0</v>
      </c>
      <c r="N139" s="154">
        <f t="shared" si="36"/>
        <v>0</v>
      </c>
    </row>
    <row r="140" spans="6:14" ht="12" x14ac:dyDescent="0.2">
      <c r="F140" s="444"/>
      <c r="G140" s="42" t="str">
        <f>STRAT9_IND2</f>
        <v>Objetivo estratégico 9 Indicador 2</v>
      </c>
      <c r="H140" s="268" t="str">
        <f ca="1">OFFSET(Variables_Lu!$D$10,Basic_Setup!H83,0)</f>
        <v>Nutrition-specific</v>
      </c>
      <c r="I140" s="67">
        <f t="shared" si="36"/>
        <v>0</v>
      </c>
      <c r="J140" s="154">
        <f t="shared" si="36"/>
        <v>0</v>
      </c>
      <c r="K140" s="154">
        <f t="shared" si="36"/>
        <v>0</v>
      </c>
      <c r="L140" s="154">
        <f t="shared" si="36"/>
        <v>0</v>
      </c>
      <c r="M140" s="154">
        <f t="shared" si="36"/>
        <v>0</v>
      </c>
      <c r="N140" s="154">
        <f t="shared" si="36"/>
        <v>0</v>
      </c>
    </row>
    <row r="141" spans="6:14" ht="12" x14ac:dyDescent="0.2">
      <c r="F141" s="444"/>
      <c r="G141" s="42" t="str">
        <f>STRAT9_IND3</f>
        <v>Objetivo estratégico 9 Indicador 3</v>
      </c>
      <c r="H141" s="268" t="str">
        <f ca="1">OFFSET(Variables_Lu!$D$10,Basic_Setup!H84,0)</f>
        <v>Nutrition-specific</v>
      </c>
      <c r="I141" s="67">
        <f t="shared" ref="I141:N150" si="37">I70/EXCHANGE_RATE</f>
        <v>0</v>
      </c>
      <c r="J141" s="154">
        <f t="shared" si="37"/>
        <v>0</v>
      </c>
      <c r="K141" s="154">
        <f t="shared" si="37"/>
        <v>0</v>
      </c>
      <c r="L141" s="154">
        <f t="shared" si="37"/>
        <v>0</v>
      </c>
      <c r="M141" s="154">
        <f t="shared" si="37"/>
        <v>0</v>
      </c>
      <c r="N141" s="154">
        <f t="shared" si="37"/>
        <v>0</v>
      </c>
    </row>
    <row r="142" spans="6:14" ht="12" x14ac:dyDescent="0.2">
      <c r="F142" s="444"/>
      <c r="G142" s="41" t="str">
        <f>STRAT9_IND4</f>
        <v>Objetivo estratégico 9 Indicador 4</v>
      </c>
      <c r="H142" s="268" t="str">
        <f ca="1">OFFSET(Variables_Lu!$D$10,Basic_Setup!H85,0)</f>
        <v>Nutrition-specific</v>
      </c>
      <c r="I142" s="67">
        <f t="shared" si="37"/>
        <v>0</v>
      </c>
      <c r="J142" s="154">
        <f t="shared" si="37"/>
        <v>0</v>
      </c>
      <c r="K142" s="154">
        <f t="shared" si="37"/>
        <v>0</v>
      </c>
      <c r="L142" s="154">
        <f t="shared" si="37"/>
        <v>0</v>
      </c>
      <c r="M142" s="154">
        <f t="shared" si="37"/>
        <v>0</v>
      </c>
      <c r="N142" s="154">
        <f t="shared" si="37"/>
        <v>0</v>
      </c>
    </row>
    <row r="143" spans="6:14" ht="12.6" thickBot="1" x14ac:dyDescent="0.25">
      <c r="F143" s="445"/>
      <c r="G143" s="275" t="str">
        <f>STRAT9_IND5</f>
        <v>Objetivo estratégico 9 Indicador 5</v>
      </c>
      <c r="H143" s="270" t="str">
        <f ca="1">OFFSET(Variables_Lu!$D$10,Basic_Setup!H86,0)</f>
        <v>Nutrition-specific</v>
      </c>
      <c r="I143" s="67">
        <f t="shared" si="37"/>
        <v>0</v>
      </c>
      <c r="J143" s="154">
        <f t="shared" si="37"/>
        <v>0</v>
      </c>
      <c r="K143" s="154">
        <f t="shared" si="37"/>
        <v>0</v>
      </c>
      <c r="L143" s="154">
        <f t="shared" si="37"/>
        <v>0</v>
      </c>
      <c r="M143" s="154">
        <f t="shared" si="37"/>
        <v>0</v>
      </c>
      <c r="N143" s="154">
        <f t="shared" si="37"/>
        <v>0</v>
      </c>
    </row>
    <row r="144" spans="6:14" ht="12.6" thickBot="1" x14ac:dyDescent="0.25">
      <c r="H144" s="152" t="s">
        <v>162</v>
      </c>
      <c r="I144" s="122">
        <f t="shared" si="37"/>
        <v>0</v>
      </c>
      <c r="J144" s="63">
        <f t="shared" si="37"/>
        <v>0</v>
      </c>
      <c r="K144" s="63">
        <f t="shared" si="37"/>
        <v>0</v>
      </c>
      <c r="L144" s="63">
        <f t="shared" si="37"/>
        <v>0</v>
      </c>
      <c r="M144" s="63">
        <f t="shared" si="37"/>
        <v>0</v>
      </c>
      <c r="N144" s="63">
        <f t="shared" si="37"/>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67">
        <f t="shared" si="37"/>
        <v>0</v>
      </c>
      <c r="J145" s="154">
        <f t="shared" si="37"/>
        <v>0</v>
      </c>
      <c r="K145" s="154">
        <f t="shared" si="37"/>
        <v>0</v>
      </c>
      <c r="L145" s="154">
        <f t="shared" si="37"/>
        <v>0</v>
      </c>
      <c r="M145" s="154">
        <f t="shared" si="37"/>
        <v>0</v>
      </c>
      <c r="N145" s="154">
        <f t="shared" si="37"/>
        <v>0</v>
      </c>
    </row>
    <row r="146" spans="1:14" ht="12" x14ac:dyDescent="0.2">
      <c r="F146" s="444"/>
      <c r="G146" s="42" t="str">
        <f>STRAT10_IND2</f>
        <v>Objetivo estratégico 10 Indicador 2</v>
      </c>
      <c r="H146" s="268" t="str">
        <f ca="1">OFFSET(Variables_Lu!$D$10,Basic_Setup!H89,0)</f>
        <v>Nutrition-specific</v>
      </c>
      <c r="I146" s="67">
        <f t="shared" si="37"/>
        <v>0</v>
      </c>
      <c r="J146" s="154">
        <f t="shared" si="37"/>
        <v>0</v>
      </c>
      <c r="K146" s="154">
        <f t="shared" si="37"/>
        <v>0</v>
      </c>
      <c r="L146" s="154">
        <f t="shared" si="37"/>
        <v>0</v>
      </c>
      <c r="M146" s="154">
        <f t="shared" si="37"/>
        <v>0</v>
      </c>
      <c r="N146" s="154">
        <f t="shared" si="37"/>
        <v>0</v>
      </c>
    </row>
    <row r="147" spans="1:14" ht="12" x14ac:dyDescent="0.2">
      <c r="F147" s="444"/>
      <c r="G147" s="42" t="str">
        <f>STRAT10_IND3</f>
        <v>Objetivo estratégico 10 Indicador 3</v>
      </c>
      <c r="H147" s="268" t="str">
        <f ca="1">OFFSET(Variables_Lu!$D$10,Basic_Setup!H90,0)</f>
        <v>Nutrition-specific</v>
      </c>
      <c r="I147" s="67">
        <f t="shared" si="37"/>
        <v>0</v>
      </c>
      <c r="J147" s="154">
        <f t="shared" si="37"/>
        <v>0</v>
      </c>
      <c r="K147" s="154">
        <f t="shared" si="37"/>
        <v>0</v>
      </c>
      <c r="L147" s="154">
        <f t="shared" si="37"/>
        <v>0</v>
      </c>
      <c r="M147" s="154">
        <f t="shared" si="37"/>
        <v>0</v>
      </c>
      <c r="N147" s="154">
        <f t="shared" si="37"/>
        <v>0</v>
      </c>
    </row>
    <row r="148" spans="1:14" ht="12" x14ac:dyDescent="0.2">
      <c r="F148" s="444"/>
      <c r="G148" s="41" t="str">
        <f>STRAT10_IND4</f>
        <v>Objetivo estratégico 10 Indicador 4</v>
      </c>
      <c r="H148" s="268" t="str">
        <f ca="1">OFFSET(Variables_Lu!$D$10,Basic_Setup!H91,0)</f>
        <v>Nutrition-specific</v>
      </c>
      <c r="I148" s="67">
        <f t="shared" si="37"/>
        <v>0</v>
      </c>
      <c r="J148" s="154">
        <f t="shared" si="37"/>
        <v>0</v>
      </c>
      <c r="K148" s="154">
        <f t="shared" si="37"/>
        <v>0</v>
      </c>
      <c r="L148" s="154">
        <f t="shared" si="37"/>
        <v>0</v>
      </c>
      <c r="M148" s="154">
        <f t="shared" si="37"/>
        <v>0</v>
      </c>
      <c r="N148" s="154">
        <f t="shared" si="37"/>
        <v>0</v>
      </c>
    </row>
    <row r="149" spans="1:14" ht="12.6" thickBot="1" x14ac:dyDescent="0.25">
      <c r="F149" s="445"/>
      <c r="G149" s="275" t="str">
        <f>STRAT10_IND5</f>
        <v>Objetivo estratégico 10 Indicador 5</v>
      </c>
      <c r="H149" s="270" t="str">
        <f ca="1">OFFSET(Variables_Lu!$D$10,Basic_Setup!H92,0)</f>
        <v>Nutrition-specific</v>
      </c>
      <c r="I149" s="67">
        <f t="shared" si="37"/>
        <v>0</v>
      </c>
      <c r="J149" s="154">
        <f t="shared" si="37"/>
        <v>0</v>
      </c>
      <c r="K149" s="154">
        <f t="shared" si="37"/>
        <v>0</v>
      </c>
      <c r="L149" s="154">
        <f t="shared" si="37"/>
        <v>0</v>
      </c>
      <c r="M149" s="154">
        <f t="shared" si="37"/>
        <v>0</v>
      </c>
      <c r="N149" s="154">
        <f t="shared" si="37"/>
        <v>0</v>
      </c>
    </row>
    <row r="150" spans="1:14" ht="12" x14ac:dyDescent="0.2">
      <c r="H150" s="152" t="s">
        <v>163</v>
      </c>
      <c r="I150" s="122">
        <f t="shared" si="37"/>
        <v>0</v>
      </c>
      <c r="J150" s="63">
        <f t="shared" si="37"/>
        <v>0</v>
      </c>
      <c r="K150" s="63">
        <f t="shared" si="37"/>
        <v>0</v>
      </c>
      <c r="L150" s="63">
        <f t="shared" si="37"/>
        <v>0</v>
      </c>
      <c r="M150" s="63">
        <f t="shared" si="37"/>
        <v>0</v>
      </c>
      <c r="N150" s="63">
        <f t="shared" si="37"/>
        <v>0</v>
      </c>
    </row>
    <row r="151" spans="1:14" x14ac:dyDescent="0.2">
      <c r="I151" s="231"/>
      <c r="J151" s="231"/>
      <c r="K151" s="231"/>
      <c r="L151" s="231"/>
      <c r="M151" s="231"/>
      <c r="N151" s="231"/>
    </row>
    <row r="152" spans="1:14" ht="12.6" thickBot="1" x14ac:dyDescent="0.25">
      <c r="H152" s="149" t="str">
        <f>"TOTAL - "&amp;$F$12</f>
        <v>TOTAL - Ministerio de Medioambiente</v>
      </c>
      <c r="I152" s="65">
        <f t="shared" ref="I152:N152" si="38">I81/EXCHANGE_RATE</f>
        <v>382686.31062500004</v>
      </c>
      <c r="J152" s="65">
        <f t="shared" si="38"/>
        <v>76537.262124999994</v>
      </c>
      <c r="K152" s="65">
        <f t="shared" si="38"/>
        <v>76537.262124999994</v>
      </c>
      <c r="L152" s="65">
        <f t="shared" si="38"/>
        <v>76537.262124999994</v>
      </c>
      <c r="M152" s="65">
        <f t="shared" si="38"/>
        <v>76537.262124999994</v>
      </c>
      <c r="N152" s="65">
        <f t="shared" si="38"/>
        <v>76537.262124999994</v>
      </c>
    </row>
    <row r="153" spans="1:14" ht="12" x14ac:dyDescent="0.2">
      <c r="I153" s="149"/>
    </row>
    <row r="155" spans="1:14" x14ac:dyDescent="0.2">
      <c r="A155" s="39" t="s">
        <v>76</v>
      </c>
      <c r="B155" s="40" t="str">
        <f>"Summary of "&amp;Government4&amp;" - by Result/Indicator Type"</f>
        <v>Summary of Ministerio de Medioambiente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f ca="1">I159/$I$162</f>
        <v>0.58216666666666661</v>
      </c>
      <c r="I159" s="68">
        <f ca="1">SUM(J159:N159)</f>
        <v>401016984.90393752</v>
      </c>
      <c r="J159" s="325">
        <f t="shared" ref="J159:N161" ca="1" si="39">J166*EXCHANGE_RATE</f>
        <v>80203396.980787501</v>
      </c>
      <c r="K159" s="325">
        <f t="shared" ca="1" si="39"/>
        <v>80203396.980787501</v>
      </c>
      <c r="L159" s="325">
        <f t="shared" ca="1" si="39"/>
        <v>80203396.980787501</v>
      </c>
      <c r="M159" s="325">
        <f t="shared" ca="1" si="39"/>
        <v>80203396.980787501</v>
      </c>
      <c r="N159" s="325">
        <f t="shared" ca="1" si="39"/>
        <v>80203396.980787501</v>
      </c>
    </row>
    <row r="160" spans="1:14" ht="12" x14ac:dyDescent="0.2">
      <c r="F160" s="38" t="str">
        <f>Lu_Nutrition_Sensitive</f>
        <v>Nutrition-sensitive</v>
      </c>
      <c r="G160" s="38"/>
      <c r="H160" s="289">
        <f t="shared" ref="H160:H161" ca="1" si="40">I160/$I$162</f>
        <v>0.41623333333333334</v>
      </c>
      <c r="I160" s="69">
        <f ca="1">SUM(J160:N160)</f>
        <v>286716237.64646256</v>
      </c>
      <c r="J160" s="325">
        <f t="shared" ca="1" si="39"/>
        <v>57343247.529292509</v>
      </c>
      <c r="K160" s="325">
        <f t="shared" ca="1" si="39"/>
        <v>57343247.529292509</v>
      </c>
      <c r="L160" s="325">
        <f t="shared" ca="1" si="39"/>
        <v>57343247.529292509</v>
      </c>
      <c r="M160" s="325">
        <f t="shared" ca="1" si="39"/>
        <v>57343247.529292509</v>
      </c>
      <c r="N160" s="325">
        <f t="shared" ca="1" si="39"/>
        <v>57343247.529292509</v>
      </c>
    </row>
    <row r="161" spans="6:14" ht="12" x14ac:dyDescent="0.2">
      <c r="F161" s="38" t="str">
        <f>Lu_Governance</f>
        <v>Governance</v>
      </c>
      <c r="G161" s="38"/>
      <c r="H161" s="289">
        <f t="shared" ca="1" si="40"/>
        <v>1.5999999999999996E-3</v>
      </c>
      <c r="I161" s="69">
        <f ca="1">SUM(J161:N161)</f>
        <v>1102136.5745999999</v>
      </c>
      <c r="J161" s="325">
        <f t="shared" ca="1" si="39"/>
        <v>220427.31492</v>
      </c>
      <c r="K161" s="325">
        <f t="shared" ca="1" si="39"/>
        <v>220427.31492</v>
      </c>
      <c r="L161" s="325">
        <f t="shared" ca="1" si="39"/>
        <v>220427.31492</v>
      </c>
      <c r="M161" s="325">
        <f t="shared" ca="1" si="39"/>
        <v>220427.31492</v>
      </c>
      <c r="N161" s="325">
        <f t="shared" ca="1" si="39"/>
        <v>220427.31492</v>
      </c>
    </row>
    <row r="162" spans="6:14" ht="12" x14ac:dyDescent="0.2">
      <c r="F162" s="324" t="str">
        <f>"TOTAL - "&amp;Summary_Govt_Contributions!$F$12&amp;" ("&amp;CURR_LCU_ABBR&amp;")"</f>
        <v>TOTAL - TODAS las contribuciones de las agencias gubernamentales (GOZ)</v>
      </c>
      <c r="G162" s="74"/>
      <c r="H162" s="291">
        <f ca="1">SUM(H159:H161)</f>
        <v>1</v>
      </c>
      <c r="I162" s="57">
        <f ca="1">SUM(J162:N162)</f>
        <v>688835359.12500012</v>
      </c>
      <c r="J162" s="55">
        <f ca="1">SUM(J159:J161)</f>
        <v>137767071.82500002</v>
      </c>
      <c r="K162" s="55">
        <f t="shared" ref="K162:N162" ca="1" si="41">SUM(K159:K161)</f>
        <v>137767071.82500002</v>
      </c>
      <c r="L162" s="55">
        <f t="shared" ca="1" si="41"/>
        <v>137767071.82500002</v>
      </c>
      <c r="M162" s="55">
        <f t="shared" ca="1" si="41"/>
        <v>137767071.82500002</v>
      </c>
      <c r="N162" s="55">
        <f t="shared" ca="1" si="41"/>
        <v>137767071.82500002</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f ca="1">I166/$I$169</f>
        <v>0.58216666666666661</v>
      </c>
      <c r="I166" s="404">
        <f ca="1">SUM(J166:N166)</f>
        <v>222787.21383552082</v>
      </c>
      <c r="J166" s="405">
        <f ca="1">SUMIF($H$91:$H$149,Lu_Nutrition_Specific,J$91:J$149)</f>
        <v>44557.442767104163</v>
      </c>
      <c r="K166" s="405">
        <f ca="1">SUMIF($H$91:$H$149,Lu_Nutrition_Specific,K$91:K$149)</f>
        <v>44557.442767104163</v>
      </c>
      <c r="L166" s="405">
        <f ca="1">SUMIF($H$91:$H$149,Lu_Nutrition_Specific,L$91:L$149)</f>
        <v>44557.442767104163</v>
      </c>
      <c r="M166" s="405">
        <f ca="1">SUMIF($H$91:$H$149,Lu_Nutrition_Specific,M$91:M$149)</f>
        <v>44557.442767104163</v>
      </c>
      <c r="N166" s="405">
        <f ca="1">SUMIF($H$91:$H$149,Lu_Nutrition_Specific,N$91:N$149)</f>
        <v>44557.442767104163</v>
      </c>
    </row>
    <row r="167" spans="6:14" ht="12" x14ac:dyDescent="0.2">
      <c r="F167" t="str">
        <f>Lu_Nutrition_Sensitive</f>
        <v>Nutrition-sensitive</v>
      </c>
      <c r="H167" s="289">
        <f t="shared" ref="H167:H168" ca="1" si="42">I167/$I$169</f>
        <v>0.41623333333333329</v>
      </c>
      <c r="I167" s="404">
        <f t="shared" ref="I167:I168" ca="1" si="43">SUM(J167:N167)</f>
        <v>159286.79869247918</v>
      </c>
      <c r="J167" s="405">
        <f ca="1">SUMIF($H$91:$H$149,Lu_Nutrition_Sensitive,J$91:J$149)</f>
        <v>31857.359738495838</v>
      </c>
      <c r="K167" s="405">
        <f ca="1">SUMIF($H$91:$H$149,Lu_Nutrition_Sensitive,K$91:K$149)</f>
        <v>31857.359738495838</v>
      </c>
      <c r="L167" s="405">
        <f ca="1">SUMIF($H$91:$H$149,Lu_Nutrition_Sensitive,L$91:L$149)</f>
        <v>31857.359738495838</v>
      </c>
      <c r="M167" s="405">
        <f ca="1">SUMIF($H$91:$H$149,Lu_Nutrition_Sensitive,M$91:M$149)</f>
        <v>31857.359738495838</v>
      </c>
      <c r="N167" s="405">
        <f ca="1">SUMIF($H$91:$H$149,Lu_Nutrition_Sensitive,N$91:N$149)</f>
        <v>31857.359738495838</v>
      </c>
    </row>
    <row r="168" spans="6:14" ht="12" x14ac:dyDescent="0.2">
      <c r="F168" t="str">
        <f>Lu_Governance</f>
        <v>Governance</v>
      </c>
      <c r="H168" s="289">
        <f t="shared" ca="1" si="42"/>
        <v>1.6000000000000001E-3</v>
      </c>
      <c r="I168" s="404">
        <f t="shared" ca="1" si="43"/>
        <v>612.2980970000001</v>
      </c>
      <c r="J168" s="405">
        <f ca="1">SUMIF($H$91:$H$149,Lu_Governance,J$91:J$149)</f>
        <v>122.45961940000001</v>
      </c>
      <c r="K168" s="405">
        <f ca="1">SUMIF($H$91:$H$149,Lu_Governance,K$91:K$149)</f>
        <v>122.45961940000001</v>
      </c>
      <c r="L168" s="405">
        <f ca="1">SUMIF($H$91:$H$149,Lu_Governance,L$91:L$149)</f>
        <v>122.45961940000001</v>
      </c>
      <c r="M168" s="405">
        <f ca="1">SUMIF($H$91:$H$149,Lu_Governance,M$91:M$149)</f>
        <v>122.45961940000001</v>
      </c>
      <c r="N168" s="405">
        <f ca="1">SUMIF($H$91:$H$149,Lu_Governance,N$91:N$149)</f>
        <v>122.45961940000001</v>
      </c>
    </row>
    <row r="169" spans="6:14" ht="12" x14ac:dyDescent="0.2">
      <c r="F169" s="324" t="str">
        <f>"TOTAL - "&amp;Summary_Govt_Contributions!$F$12&amp;" ("&amp;CURR_INT_ABBR&amp;")"</f>
        <v>TOTAL - TODAS las contribuciones de las agencias gubernamentales (USD)</v>
      </c>
      <c r="G169" s="74"/>
      <c r="H169" s="291">
        <f ca="1">SUM(H166:H168)</f>
        <v>1</v>
      </c>
      <c r="I169" s="295">
        <f ca="1">SUM(J169:N169)</f>
        <v>382686.31062500004</v>
      </c>
      <c r="J169" s="55">
        <f ca="1">SUM(J166:J168)</f>
        <v>76537.262125000008</v>
      </c>
      <c r="K169" s="55">
        <f t="shared" ref="K169:N169" ca="1" si="44">SUM(K166:K168)</f>
        <v>76537.262125000008</v>
      </c>
      <c r="L169" s="55">
        <f t="shared" ca="1" si="44"/>
        <v>76537.262125000008</v>
      </c>
      <c r="M169" s="55">
        <f t="shared" ca="1" si="44"/>
        <v>76537.262125000008</v>
      </c>
      <c r="N169" s="55">
        <f t="shared" ca="1" si="44"/>
        <v>76537.262125000008</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4 J74:N78 J26:N30 J32:N36 J38:N42 J50:N54 J56:N60 J62:N66 J68:N72 J145:N149 J139:N143 J127:N131 J133:N137 J115:N119 J109:N113 J103:N107 J121:N125 J91:N95 J97:N101 J44:N48" xr:uid="{00000000-0002-0000-0E00-000000000000}">
      <formula1>NOT(ISERROR(J20/1))</formula1>
    </dataValidation>
  </dataValidations>
  <hyperlinks>
    <hyperlink ref="A4" r:id="rId1" tooltip="Go to Top of Sheet" xr:uid="{00000000-0004-0000-0E00-000000000000}"/>
    <hyperlink ref="B4" location="HL_Sheet_Main_22" tooltip="Go to Previous Sheet" display="ç" xr:uid="{00000000-0004-0000-0E00-000001000000}"/>
    <hyperlink ref="C4" location="HL_Sheet_Main_24" tooltip="Go to Next Sheet" display="è" xr:uid="{00000000-0004-0000-0E00-000002000000}"/>
    <hyperlink ref="B3" location="HL_Home" tooltip="Go to Table of Contents" display="Go to Table of Contents" xr:uid="{00000000-0004-0000-0E00-000003000000}"/>
    <hyperlink ref="A14" location="Summary_Govt_Contributions!B14" tooltip="Click to follow hyperlink." display="ð" xr:uid="{00000000-0004-0000-0E00-000004000000}"/>
    <hyperlink ref="A155" location="Summary_Govt_Contributions!B14" tooltip="Click to follow hyperlink." display="ð" xr:uid="{00000000-0004-0000-0E00-000005000000}"/>
  </hyperlinks>
  <pageMargins left="0.4" right="0.4" top="0.6" bottom="1" header="0" footer="0.3"/>
  <pageSetup orientation="landscape" r:id="rId2"/>
  <headerFooter>
    <oddFooter>&amp;L&amp;F
&amp;A
Printed: &amp;T on &amp;D&amp;C&amp;",Bold"Sheet 2.f.
Page &amp;P of &amp;N</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N169"/>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2.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Government5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F12" s="276" t="str">
        <f>Government5</f>
        <v>Ministerio de Servicio Público</v>
      </c>
      <c r="G12" s="60"/>
    </row>
    <row r="13" spans="1:14" s="38" customFormat="1" x14ac:dyDescent="0.2">
      <c r="G13"/>
    </row>
    <row r="14" spans="1:14" s="38" customFormat="1" x14ac:dyDescent="0.2">
      <c r="A14" s="39" t="s">
        <v>76</v>
      </c>
      <c r="B14" s="40" t="str">
        <f>"Planned Annual Contributions by "&amp;Government5&amp;" - by Strategic Objective and Result/Indicator"</f>
        <v>Planned Annual Contributions by Ministerio de Servicio Público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253" t="s">
        <v>106</v>
      </c>
      <c r="J19" s="54" t="str">
        <f>CURR_LCU_ABBR</f>
        <v>GOZ</v>
      </c>
      <c r="K19" s="54" t="str">
        <f>CURR_LCU_ABBR</f>
        <v>GOZ</v>
      </c>
      <c r="L19" s="54" t="str">
        <f>CURR_LCU_ABBR</f>
        <v>GOZ</v>
      </c>
      <c r="M19" s="54" t="str">
        <f>CURR_LCU_ABBR</f>
        <v>GOZ</v>
      </c>
      <c r="N19" s="54" t="str">
        <f>CURR_LCU_ABBR</f>
        <v>GOZ</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262">
        <f>SUM(J20:N20)</f>
        <v>118538.66988</v>
      </c>
      <c r="J20" s="383">
        <f>59269334.94*0.16%/4</f>
        <v>23707.733976</v>
      </c>
      <c r="K20" s="383">
        <f t="shared" ref="K20:N20" si="2">59269334.94*0.16%/4</f>
        <v>23707.733976</v>
      </c>
      <c r="L20" s="383">
        <f t="shared" si="2"/>
        <v>23707.733976</v>
      </c>
      <c r="M20" s="383">
        <f t="shared" si="2"/>
        <v>23707.733976</v>
      </c>
      <c r="N20" s="383">
        <f t="shared" si="2"/>
        <v>23707.733976</v>
      </c>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262">
        <f t="shared" ref="I21:I24" si="3">SUM(J21:N21)</f>
        <v>118538.66988</v>
      </c>
      <c r="J21" s="383">
        <f t="shared" ref="J21:N23" si="4">59269334.94*0.16%/4</f>
        <v>23707.733976</v>
      </c>
      <c r="K21" s="383">
        <f t="shared" si="4"/>
        <v>23707.733976</v>
      </c>
      <c r="L21" s="383">
        <f t="shared" si="4"/>
        <v>23707.733976</v>
      </c>
      <c r="M21" s="383">
        <f t="shared" si="4"/>
        <v>23707.733976</v>
      </c>
      <c r="N21" s="383">
        <f t="shared" si="4"/>
        <v>23707.733976</v>
      </c>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262">
        <f t="shared" si="3"/>
        <v>118538.66988</v>
      </c>
      <c r="J22" s="383">
        <f t="shared" si="4"/>
        <v>23707.733976</v>
      </c>
      <c r="K22" s="383">
        <f t="shared" si="4"/>
        <v>23707.733976</v>
      </c>
      <c r="L22" s="383">
        <f t="shared" si="4"/>
        <v>23707.733976</v>
      </c>
      <c r="M22" s="383">
        <f t="shared" si="4"/>
        <v>23707.733976</v>
      </c>
      <c r="N22" s="383">
        <f t="shared" si="4"/>
        <v>23707.733976</v>
      </c>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262">
        <f t="shared" si="3"/>
        <v>118538.66988</v>
      </c>
      <c r="J23" s="383">
        <f t="shared" si="4"/>
        <v>23707.733976</v>
      </c>
      <c r="K23" s="383">
        <f t="shared" si="4"/>
        <v>23707.733976</v>
      </c>
      <c r="L23" s="383">
        <f t="shared" si="4"/>
        <v>23707.733976</v>
      </c>
      <c r="M23" s="383">
        <f t="shared" si="4"/>
        <v>23707.733976</v>
      </c>
      <c r="N23" s="383">
        <f t="shared" si="4"/>
        <v>23707.733976</v>
      </c>
    </row>
    <row r="24" spans="6:14" s="38" customFormat="1" ht="12" x14ac:dyDescent="0.2">
      <c r="F24" s="448"/>
      <c r="G24" s="41" t="str">
        <f>STRAT1_IND5</f>
        <v>Objetivo estratégico 1 Indicador 5</v>
      </c>
      <c r="H24" s="260" t="str">
        <f ca="1">OFFSET(Variables_Lu!$D$10,Basic_Setup!H38,0)</f>
        <v>Governance</v>
      </c>
      <c r="I24" s="262">
        <f t="shared" si="3"/>
        <v>0</v>
      </c>
      <c r="J24" s="383">
        <v>0</v>
      </c>
      <c r="K24" s="383">
        <v>0</v>
      </c>
      <c r="L24" s="383">
        <v>0</v>
      </c>
      <c r="M24" s="383">
        <v>0</v>
      </c>
      <c r="N24" s="383">
        <v>0</v>
      </c>
    </row>
    <row r="25" spans="6:14" s="38" customFormat="1" ht="12" x14ac:dyDescent="0.2">
      <c r="H25" s="152" t="s">
        <v>107</v>
      </c>
      <c r="I25" s="265">
        <f>SUM(I20:I24)</f>
        <v>474154.67952000001</v>
      </c>
      <c r="J25" s="265">
        <f t="shared" ref="J25:N25" si="5">SUM(J20:J24)</f>
        <v>94830.935903999998</v>
      </c>
      <c r="K25" s="265">
        <f t="shared" si="5"/>
        <v>94830.935903999998</v>
      </c>
      <c r="L25" s="265">
        <f t="shared" si="5"/>
        <v>94830.935903999998</v>
      </c>
      <c r="M25" s="265">
        <f t="shared" si="5"/>
        <v>94830.935903999998</v>
      </c>
      <c r="N25" s="265">
        <f t="shared" si="5"/>
        <v>94830.935903999998</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262">
        <f>SUM(J26:N26)</f>
        <v>6272671.2811500002</v>
      </c>
      <c r="J26" s="383">
        <f>59269334.94*6.35%/3</f>
        <v>1254534.2562299999</v>
      </c>
      <c r="K26" s="383">
        <f t="shared" ref="K26:N26" si="6">59269334.94*6.35%/3</f>
        <v>1254534.2562299999</v>
      </c>
      <c r="L26" s="383">
        <f t="shared" si="6"/>
        <v>1254534.2562299999</v>
      </c>
      <c r="M26" s="383">
        <f t="shared" si="6"/>
        <v>1254534.2562299999</v>
      </c>
      <c r="N26" s="383">
        <f t="shared" si="6"/>
        <v>1254534.2562299999</v>
      </c>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262">
        <f t="shared" ref="I27:I30" si="7">SUM(J27:N27)</f>
        <v>6272671.2811500002</v>
      </c>
      <c r="J27" s="383">
        <f t="shared" ref="J27:N28" si="8">59269334.94*6.35%/3</f>
        <v>1254534.2562299999</v>
      </c>
      <c r="K27" s="383">
        <f t="shared" si="8"/>
        <v>1254534.2562299999</v>
      </c>
      <c r="L27" s="383">
        <f t="shared" si="8"/>
        <v>1254534.2562299999</v>
      </c>
      <c r="M27" s="383">
        <f t="shared" si="8"/>
        <v>1254534.2562299999</v>
      </c>
      <c r="N27" s="383">
        <f t="shared" si="8"/>
        <v>1254534.2562299999</v>
      </c>
    </row>
    <row r="28" spans="6:14" s="38" customFormat="1" ht="22.8" x14ac:dyDescent="0.2">
      <c r="F28" s="447"/>
      <c r="G28" s="42" t="str">
        <f>STRAT2_IND3</f>
        <v>Se refuerzan las intervenciones comunitarias en materia de nutrición.</v>
      </c>
      <c r="H28" s="260" t="str">
        <f ca="1">OFFSET(Variables_Lu!$D$10,Basic_Setup!H42,0)</f>
        <v>Nutrition-specific</v>
      </c>
      <c r="I28" s="262">
        <f t="shared" si="7"/>
        <v>6272671.2811500002</v>
      </c>
      <c r="J28" s="383">
        <f t="shared" si="8"/>
        <v>1254534.2562299999</v>
      </c>
      <c r="K28" s="383">
        <f t="shared" si="8"/>
        <v>1254534.2562299999</v>
      </c>
      <c r="L28" s="383">
        <f t="shared" si="8"/>
        <v>1254534.2562299999</v>
      </c>
      <c r="M28" s="383">
        <f t="shared" si="8"/>
        <v>1254534.2562299999</v>
      </c>
      <c r="N28" s="383">
        <f t="shared" si="8"/>
        <v>1254534.2562299999</v>
      </c>
    </row>
    <row r="29" spans="6:14" s="38" customFormat="1" ht="12" x14ac:dyDescent="0.2">
      <c r="F29" s="447"/>
      <c r="G29" s="41" t="str">
        <f>STRAT2_IND4</f>
        <v>Objetivo estratégico 2 Indicador 4</v>
      </c>
      <c r="H29" s="260" t="str">
        <f ca="1">OFFSET(Variables_Lu!$D$10,Basic_Setup!H43,0)</f>
        <v>Nutrition-specific</v>
      </c>
      <c r="I29" s="262">
        <f t="shared" si="7"/>
        <v>0</v>
      </c>
      <c r="J29" s="383">
        <v>0</v>
      </c>
      <c r="K29" s="383">
        <v>0</v>
      </c>
      <c r="L29" s="383">
        <v>0</v>
      </c>
      <c r="M29" s="383">
        <v>0</v>
      </c>
      <c r="N29" s="383">
        <v>0</v>
      </c>
    </row>
    <row r="30" spans="6:14" s="38" customFormat="1" ht="12" x14ac:dyDescent="0.2">
      <c r="F30" s="448"/>
      <c r="G30" s="41" t="str">
        <f>STRAT2_IND5</f>
        <v>Objetivo estratégico 2 Indicador 5</v>
      </c>
      <c r="H30" s="260" t="str">
        <f ca="1">OFFSET(Variables_Lu!$D$10,Basic_Setup!H44,0)</f>
        <v>Nutrition-specific</v>
      </c>
      <c r="I30" s="262">
        <f t="shared" si="7"/>
        <v>0</v>
      </c>
      <c r="J30" s="383">
        <v>0</v>
      </c>
      <c r="K30" s="383">
        <v>0</v>
      </c>
      <c r="L30" s="383">
        <v>0</v>
      </c>
      <c r="M30" s="383">
        <v>0</v>
      </c>
      <c r="N30" s="383">
        <v>0</v>
      </c>
    </row>
    <row r="31" spans="6:14" s="38" customFormat="1" ht="12" x14ac:dyDescent="0.2">
      <c r="H31" s="152" t="s">
        <v>108</v>
      </c>
      <c r="I31" s="265">
        <f>SUM(I26:I30)</f>
        <v>18818013.843450002</v>
      </c>
      <c r="J31" s="265">
        <f t="shared" ref="J31:N31" si="9">SUM(J26:J30)</f>
        <v>3763602.7686899998</v>
      </c>
      <c r="K31" s="265">
        <f t="shared" si="9"/>
        <v>3763602.7686899998</v>
      </c>
      <c r="L31" s="265">
        <f t="shared" si="9"/>
        <v>3763602.7686899998</v>
      </c>
      <c r="M31" s="265">
        <f t="shared" si="9"/>
        <v>3763602.7686899998</v>
      </c>
      <c r="N31" s="265">
        <f t="shared" si="9"/>
        <v>3763602.7686899998</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262">
        <f>SUM(J32:N32)</f>
        <v>74175572.677410007</v>
      </c>
      <c r="J32" s="383">
        <f>59269334.94*50.06%/2</f>
        <v>14835114.535482001</v>
      </c>
      <c r="K32" s="383">
        <f t="shared" ref="K32:N33" si="10">59269334.94*50.06%/2</f>
        <v>14835114.535482001</v>
      </c>
      <c r="L32" s="383">
        <f t="shared" si="10"/>
        <v>14835114.535482001</v>
      </c>
      <c r="M32" s="383">
        <f t="shared" si="10"/>
        <v>14835114.535482001</v>
      </c>
      <c r="N32" s="383">
        <f t="shared" si="10"/>
        <v>14835114.535482001</v>
      </c>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262">
        <f t="shared" ref="I33:I36" si="11">SUM(J33:N33)</f>
        <v>74175572.677410007</v>
      </c>
      <c r="J33" s="383">
        <f>59269334.94*50.06%/2</f>
        <v>14835114.535482001</v>
      </c>
      <c r="K33" s="383">
        <f t="shared" si="10"/>
        <v>14835114.535482001</v>
      </c>
      <c r="L33" s="383">
        <f t="shared" si="10"/>
        <v>14835114.535482001</v>
      </c>
      <c r="M33" s="383">
        <f t="shared" si="10"/>
        <v>14835114.535482001</v>
      </c>
      <c r="N33" s="383">
        <f t="shared" si="10"/>
        <v>14835114.535482001</v>
      </c>
    </row>
    <row r="34" spans="6:14" s="38" customFormat="1" ht="12" x14ac:dyDescent="0.2">
      <c r="F34" s="447"/>
      <c r="G34" s="42" t="str">
        <f>STRAT3_IND3</f>
        <v>Objetivo estratégico 3 Indicador 3</v>
      </c>
      <c r="H34" s="260" t="str">
        <f ca="1">OFFSET(Variables_Lu!$D$10,Basic_Setup!H48,0)</f>
        <v>Nutrition-specific</v>
      </c>
      <c r="I34" s="262">
        <f t="shared" si="11"/>
        <v>0</v>
      </c>
      <c r="J34" s="383">
        <v>0</v>
      </c>
      <c r="K34" s="383">
        <v>0</v>
      </c>
      <c r="L34" s="383">
        <v>0</v>
      </c>
      <c r="M34" s="383">
        <v>0</v>
      </c>
      <c r="N34" s="383">
        <v>0</v>
      </c>
    </row>
    <row r="35" spans="6:14" s="38" customFormat="1" ht="12" x14ac:dyDescent="0.2">
      <c r="F35" s="447"/>
      <c r="G35" s="41" t="str">
        <f>STRAT3_IND4</f>
        <v>Objetivo estratégico 3 Indicador 4</v>
      </c>
      <c r="H35" s="260" t="str">
        <f ca="1">OFFSET(Variables_Lu!$D$10,Basic_Setup!H49,0)</f>
        <v>Nutrition-specific</v>
      </c>
      <c r="I35" s="262">
        <f t="shared" si="11"/>
        <v>0</v>
      </c>
      <c r="J35" s="383">
        <v>0</v>
      </c>
      <c r="K35" s="383">
        <v>0</v>
      </c>
      <c r="L35" s="383">
        <v>0</v>
      </c>
      <c r="M35" s="383">
        <v>0</v>
      </c>
      <c r="N35" s="383">
        <v>0</v>
      </c>
    </row>
    <row r="36" spans="6:14" s="38" customFormat="1" ht="12" x14ac:dyDescent="0.2">
      <c r="F36" s="448"/>
      <c r="G36" s="41" t="str">
        <f>STRAT3_IND5</f>
        <v>Objetivo estratégico 3 Indicador 5</v>
      </c>
      <c r="H36" s="260" t="str">
        <f ca="1">OFFSET(Variables_Lu!$D$10,Basic_Setup!H50,0)</f>
        <v>Nutrition-specific</v>
      </c>
      <c r="I36" s="262">
        <f t="shared" si="11"/>
        <v>0</v>
      </c>
      <c r="J36" s="383">
        <v>0</v>
      </c>
      <c r="K36" s="383">
        <v>0</v>
      </c>
      <c r="L36" s="383">
        <v>0</v>
      </c>
      <c r="M36" s="383">
        <v>0</v>
      </c>
      <c r="N36" s="383">
        <v>0</v>
      </c>
    </row>
    <row r="37" spans="6:14" ht="12" x14ac:dyDescent="0.2">
      <c r="H37" s="152" t="s">
        <v>109</v>
      </c>
      <c r="I37" s="265">
        <f>SUM(I32:I36)</f>
        <v>148351145.35482001</v>
      </c>
      <c r="J37" s="265">
        <f t="shared" ref="J37:N37" si="12">SUM(J32:J36)</f>
        <v>29670229.070964001</v>
      </c>
      <c r="K37" s="265">
        <f t="shared" si="12"/>
        <v>29670229.070964001</v>
      </c>
      <c r="L37" s="265">
        <f t="shared" si="12"/>
        <v>29670229.070964001</v>
      </c>
      <c r="M37" s="265">
        <f t="shared" si="12"/>
        <v>29670229.070964001</v>
      </c>
      <c r="N37" s="265">
        <f t="shared" si="12"/>
        <v>29670229.070964001</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262">
        <f>SUM(J38:N38)</f>
        <v>41755246.465230003</v>
      </c>
      <c r="J38" s="383">
        <f>59269334.94*42.27%/3</f>
        <v>8351049.2930460004</v>
      </c>
      <c r="K38" s="383">
        <f t="shared" ref="K38:N38" si="13">59269334.94*42.27%/3</f>
        <v>8351049.2930460004</v>
      </c>
      <c r="L38" s="383">
        <f t="shared" si="13"/>
        <v>8351049.2930460004</v>
      </c>
      <c r="M38" s="383">
        <f t="shared" si="13"/>
        <v>8351049.2930460004</v>
      </c>
      <c r="N38" s="383">
        <f t="shared" si="13"/>
        <v>8351049.2930460004</v>
      </c>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262">
        <f t="shared" ref="I39:I42" si="14">SUM(J39:N39)</f>
        <v>41755246.465230003</v>
      </c>
      <c r="J39" s="383">
        <f t="shared" ref="J39:N40" si="15">59269334.94*42.27%/3</f>
        <v>8351049.2930460004</v>
      </c>
      <c r="K39" s="383">
        <f t="shared" si="15"/>
        <v>8351049.2930460004</v>
      </c>
      <c r="L39" s="383">
        <f t="shared" si="15"/>
        <v>8351049.2930460004</v>
      </c>
      <c r="M39" s="383">
        <f t="shared" si="15"/>
        <v>8351049.2930460004</v>
      </c>
      <c r="N39" s="383">
        <f t="shared" si="15"/>
        <v>8351049.2930460004</v>
      </c>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262">
        <f t="shared" si="14"/>
        <v>41755246.465230003</v>
      </c>
      <c r="J40" s="383">
        <f t="shared" si="15"/>
        <v>8351049.2930460004</v>
      </c>
      <c r="K40" s="383">
        <f t="shared" si="15"/>
        <v>8351049.2930460004</v>
      </c>
      <c r="L40" s="383">
        <f t="shared" si="15"/>
        <v>8351049.2930460004</v>
      </c>
      <c r="M40" s="383">
        <f t="shared" si="15"/>
        <v>8351049.2930460004</v>
      </c>
      <c r="N40" s="383">
        <f t="shared" si="15"/>
        <v>8351049.2930460004</v>
      </c>
    </row>
    <row r="41" spans="6:14" ht="12" x14ac:dyDescent="0.2">
      <c r="F41" s="447"/>
      <c r="G41" s="41" t="str">
        <f>STRAT4_IND4</f>
        <v>Objetivo estratégico 4 Indicador 4</v>
      </c>
      <c r="H41" s="260" t="str">
        <f ca="1">OFFSET(Variables_Lu!$D$10,Basic_Setup!H55,0)</f>
        <v>Nutrition-specific</v>
      </c>
      <c r="I41" s="262">
        <f t="shared" si="14"/>
        <v>0</v>
      </c>
      <c r="J41" s="383">
        <v>0</v>
      </c>
      <c r="K41" s="383">
        <v>0</v>
      </c>
      <c r="L41" s="383">
        <v>0</v>
      </c>
      <c r="M41" s="383">
        <v>0</v>
      </c>
      <c r="N41" s="383">
        <v>0</v>
      </c>
    </row>
    <row r="42" spans="6:14" ht="12" x14ac:dyDescent="0.2">
      <c r="F42" s="448"/>
      <c r="G42" s="41" t="str">
        <f>STRAT4_IND5</f>
        <v>Objetivo estratégico 4 Indicador 5</v>
      </c>
      <c r="H42" s="260" t="str">
        <f ca="1">OFFSET(Variables_Lu!$D$10,Basic_Setup!H56,0)</f>
        <v>Nutrition-specific</v>
      </c>
      <c r="I42" s="262">
        <f t="shared" si="14"/>
        <v>0</v>
      </c>
      <c r="J42" s="383">
        <v>0</v>
      </c>
      <c r="K42" s="383">
        <v>0</v>
      </c>
      <c r="L42" s="383">
        <v>0</v>
      </c>
      <c r="M42" s="383">
        <v>0</v>
      </c>
      <c r="N42" s="383">
        <v>0</v>
      </c>
    </row>
    <row r="43" spans="6:14" ht="12" x14ac:dyDescent="0.2">
      <c r="H43" s="152" t="s">
        <v>110</v>
      </c>
      <c r="I43" s="265">
        <f>SUM(I38:I42)</f>
        <v>125265739.39569001</v>
      </c>
      <c r="J43" s="265">
        <f t="shared" ref="J43:N43" si="16">SUM(J38:J42)</f>
        <v>25053147.879138</v>
      </c>
      <c r="K43" s="265">
        <f t="shared" si="16"/>
        <v>25053147.879138</v>
      </c>
      <c r="L43" s="265">
        <f t="shared" si="16"/>
        <v>25053147.879138</v>
      </c>
      <c r="M43" s="265">
        <f t="shared" si="16"/>
        <v>25053147.879138</v>
      </c>
      <c r="N43" s="265">
        <f t="shared" si="16"/>
        <v>25053147.879138</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262">
        <f>SUM(J44:N44)</f>
        <v>1145873.8088399998</v>
      </c>
      <c r="J44" s="383">
        <f>59269334.94*1.16%/3</f>
        <v>229174.76176799997</v>
      </c>
      <c r="K44" s="383">
        <f t="shared" ref="K44:N44" si="17">59269334.94*1.16%/3</f>
        <v>229174.76176799997</v>
      </c>
      <c r="L44" s="383">
        <f t="shared" si="17"/>
        <v>229174.76176799997</v>
      </c>
      <c r="M44" s="383">
        <f t="shared" si="17"/>
        <v>229174.76176799997</v>
      </c>
      <c r="N44" s="383">
        <f t="shared" si="17"/>
        <v>229174.76176799997</v>
      </c>
    </row>
    <row r="45" spans="6:14" ht="22.8" x14ac:dyDescent="0.2">
      <c r="F45" s="447"/>
      <c r="G45" s="42" t="str">
        <f>STRAT5_IND2</f>
        <v>Se promueven dietas saludables y estilos de vida saludables para las personas.</v>
      </c>
      <c r="H45" s="260" t="str">
        <f ca="1">OFFSET(Variables_Lu!$D$10,Basic_Setup!H59,0)</f>
        <v>Nutrition-specific</v>
      </c>
      <c r="I45" s="262">
        <f t="shared" ref="I45:I48" si="18">SUM(J45:N45)</f>
        <v>1145873.8088399998</v>
      </c>
      <c r="J45" s="383">
        <f t="shared" ref="J45:N46" si="19">59269334.94*1.16%/3</f>
        <v>229174.76176799997</v>
      </c>
      <c r="K45" s="383">
        <f t="shared" si="19"/>
        <v>229174.76176799997</v>
      </c>
      <c r="L45" s="383">
        <f t="shared" si="19"/>
        <v>229174.76176799997</v>
      </c>
      <c r="M45" s="383">
        <f t="shared" si="19"/>
        <v>229174.76176799997</v>
      </c>
      <c r="N45" s="383">
        <f t="shared" si="19"/>
        <v>229174.76176799997</v>
      </c>
    </row>
    <row r="46" spans="6:14" ht="22.8" x14ac:dyDescent="0.2">
      <c r="F46" s="447"/>
      <c r="G46" s="42" t="str">
        <f>STRAT5_IND3</f>
        <v>Se promueven las buenas prácticas WASH a nivel comunitario y doméstico</v>
      </c>
      <c r="H46" s="260" t="str">
        <f ca="1">OFFSET(Variables_Lu!$D$10,Basic_Setup!H60,0)</f>
        <v>Nutrition-sensitive</v>
      </c>
      <c r="I46" s="262">
        <f t="shared" si="18"/>
        <v>1145873.8088399998</v>
      </c>
      <c r="J46" s="383">
        <f t="shared" si="19"/>
        <v>229174.76176799997</v>
      </c>
      <c r="K46" s="383">
        <f t="shared" si="19"/>
        <v>229174.76176799997</v>
      </c>
      <c r="L46" s="383">
        <f t="shared" si="19"/>
        <v>229174.76176799997</v>
      </c>
      <c r="M46" s="383">
        <f t="shared" si="19"/>
        <v>229174.76176799997</v>
      </c>
      <c r="N46" s="383">
        <f t="shared" si="19"/>
        <v>229174.76176799997</v>
      </c>
    </row>
    <row r="47" spans="6:14" ht="12" x14ac:dyDescent="0.2">
      <c r="F47" s="447"/>
      <c r="G47" s="41" t="str">
        <f>STRAT5_IND4</f>
        <v>Objetivo estratégico 5 Indicador 4</v>
      </c>
      <c r="H47" s="260" t="str">
        <f ca="1">OFFSET(Variables_Lu!$D$10,Basic_Setup!H61,0)</f>
        <v>Nutrition-specific</v>
      </c>
      <c r="I47" s="262">
        <f t="shared" si="18"/>
        <v>0</v>
      </c>
      <c r="J47" s="383">
        <v>0</v>
      </c>
      <c r="K47" s="383">
        <v>0</v>
      </c>
      <c r="L47" s="383">
        <v>0</v>
      </c>
      <c r="M47" s="383">
        <v>0</v>
      </c>
      <c r="N47" s="383">
        <v>0</v>
      </c>
    </row>
    <row r="48" spans="6:14" ht="12" x14ac:dyDescent="0.2">
      <c r="F48" s="448"/>
      <c r="G48" s="41" t="str">
        <f>STRAT5_IND5</f>
        <v>Objetivo estratégico 5 Indicador 5</v>
      </c>
      <c r="H48" s="260" t="str">
        <f ca="1">OFFSET(Variables_Lu!$D$10,Basic_Setup!H62,0)</f>
        <v>Nutrition-specific</v>
      </c>
      <c r="I48" s="262">
        <f t="shared" si="18"/>
        <v>0</v>
      </c>
      <c r="J48" s="383">
        <v>0</v>
      </c>
      <c r="K48" s="383">
        <v>0</v>
      </c>
      <c r="L48" s="383">
        <v>0</v>
      </c>
      <c r="M48" s="383">
        <v>0</v>
      </c>
      <c r="N48" s="383">
        <v>0</v>
      </c>
    </row>
    <row r="49" spans="6:14" ht="12" x14ac:dyDescent="0.2">
      <c r="H49" s="152" t="s">
        <v>111</v>
      </c>
      <c r="I49" s="265">
        <f>SUM(I44:I48)</f>
        <v>3437621.4265199993</v>
      </c>
      <c r="J49" s="265">
        <f t="shared" ref="J49:N49" si="20">SUM(J44:J48)</f>
        <v>687524.2853039999</v>
      </c>
      <c r="K49" s="265">
        <f t="shared" si="20"/>
        <v>687524.2853039999</v>
      </c>
      <c r="L49" s="265">
        <f t="shared" si="20"/>
        <v>687524.2853039999</v>
      </c>
      <c r="M49" s="265">
        <f t="shared" si="20"/>
        <v>687524.2853039999</v>
      </c>
      <c r="N49" s="265">
        <f t="shared" si="20"/>
        <v>687524.2853039999</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262">
        <f>SUM(J50:N50)</f>
        <v>0</v>
      </c>
      <c r="J50" s="37">
        <v>0</v>
      </c>
      <c r="K50" s="37">
        <v>0</v>
      </c>
      <c r="L50" s="37">
        <v>0</v>
      </c>
      <c r="M50" s="37">
        <v>0</v>
      </c>
      <c r="N50" s="37">
        <v>0</v>
      </c>
    </row>
    <row r="51" spans="6:14" ht="12" x14ac:dyDescent="0.2">
      <c r="F51" s="447"/>
      <c r="G51" s="42" t="str">
        <f>STRAT6_IND2</f>
        <v>Objetivo estratégico 6 Indicador 2</v>
      </c>
      <c r="H51" s="260" t="str">
        <f ca="1">OFFSET(Variables_Lu!$D$10,Basic_Setup!H65,0)</f>
        <v>Nutrition-specific</v>
      </c>
      <c r="I51" s="262">
        <f t="shared" ref="I51:I54" si="21">SUM(J51:N51)</f>
        <v>0</v>
      </c>
      <c r="J51" s="37">
        <v>0</v>
      </c>
      <c r="K51" s="37">
        <v>0</v>
      </c>
      <c r="L51" s="37">
        <v>0</v>
      </c>
      <c r="M51" s="37">
        <v>0</v>
      </c>
      <c r="N51" s="37">
        <v>0</v>
      </c>
    </row>
    <row r="52" spans="6:14" ht="12" x14ac:dyDescent="0.2">
      <c r="F52" s="447"/>
      <c r="G52" s="42" t="str">
        <f>STRAT6_IND3</f>
        <v>Objetivo estratégico 6 Indicador 3</v>
      </c>
      <c r="H52" s="260" t="str">
        <f ca="1">OFFSET(Variables_Lu!$D$10,Basic_Setup!H66,0)</f>
        <v>Nutrition-specific</v>
      </c>
      <c r="I52" s="262">
        <f t="shared" si="21"/>
        <v>0</v>
      </c>
      <c r="J52" s="37">
        <v>0</v>
      </c>
      <c r="K52" s="37">
        <v>0</v>
      </c>
      <c r="L52" s="37">
        <v>0</v>
      </c>
      <c r="M52" s="37">
        <v>0</v>
      </c>
      <c r="N52" s="37">
        <v>0</v>
      </c>
    </row>
    <row r="53" spans="6:14" ht="12" x14ac:dyDescent="0.2">
      <c r="F53" s="447"/>
      <c r="G53" s="41" t="str">
        <f>STRAT6_IND4</f>
        <v>Objetivo estratégico 6 Indicador 4</v>
      </c>
      <c r="H53" s="260" t="str">
        <f ca="1">OFFSET(Variables_Lu!$D$10,Basic_Setup!H67,0)</f>
        <v>Nutrition-specific</v>
      </c>
      <c r="I53" s="262">
        <f t="shared" si="21"/>
        <v>0</v>
      </c>
      <c r="J53" s="37">
        <v>0</v>
      </c>
      <c r="K53" s="37">
        <v>0</v>
      </c>
      <c r="L53" s="37">
        <v>0</v>
      </c>
      <c r="M53" s="37">
        <v>0</v>
      </c>
      <c r="N53" s="37">
        <v>0</v>
      </c>
    </row>
    <row r="54" spans="6:14" ht="12" x14ac:dyDescent="0.2">
      <c r="F54" s="448"/>
      <c r="G54" s="41" t="str">
        <f>STRAT6_IND5</f>
        <v>Objetivo estratégico 6 Indicador 5</v>
      </c>
      <c r="H54" s="260" t="str">
        <f ca="1">OFFSET(Variables_Lu!$D$10,Basic_Setup!H68,0)</f>
        <v>Nutrition-specific</v>
      </c>
      <c r="I54" s="262">
        <f t="shared" si="21"/>
        <v>0</v>
      </c>
      <c r="J54" s="37">
        <v>0</v>
      </c>
      <c r="K54" s="37">
        <v>0</v>
      </c>
      <c r="L54" s="37">
        <v>0</v>
      </c>
      <c r="M54" s="37">
        <v>0</v>
      </c>
      <c r="N54" s="37">
        <v>0</v>
      </c>
    </row>
    <row r="55" spans="6:14" ht="12" x14ac:dyDescent="0.2">
      <c r="H55" s="152" t="s">
        <v>159</v>
      </c>
      <c r="I55" s="265">
        <f>SUM(I50:I54)</f>
        <v>0</v>
      </c>
      <c r="J55" s="265">
        <f t="shared" ref="J55:N55" si="22">SUM(J50:J54)</f>
        <v>0</v>
      </c>
      <c r="K55" s="265">
        <f t="shared" si="22"/>
        <v>0</v>
      </c>
      <c r="L55" s="265">
        <f t="shared" si="22"/>
        <v>0</v>
      </c>
      <c r="M55" s="265">
        <f t="shared" si="22"/>
        <v>0</v>
      </c>
      <c r="N55" s="265">
        <f t="shared" si="22"/>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262">
        <f>SUM(J56:N56)</f>
        <v>0</v>
      </c>
      <c r="J56" s="37">
        <v>0</v>
      </c>
      <c r="K56" s="37">
        <v>0</v>
      </c>
      <c r="L56" s="37">
        <v>0</v>
      </c>
      <c r="M56" s="37">
        <v>0</v>
      </c>
      <c r="N56" s="37">
        <v>0</v>
      </c>
    </row>
    <row r="57" spans="6:14" ht="12" x14ac:dyDescent="0.2">
      <c r="F57" s="447"/>
      <c r="G57" s="42" t="str">
        <f>STRAT7_IND2</f>
        <v>Objetivo estratégico 7 Indicador 2</v>
      </c>
      <c r="H57" s="260" t="str">
        <f ca="1">OFFSET(Variables_Lu!$D$10,Basic_Setup!H71,0)</f>
        <v>Nutrition-specific</v>
      </c>
      <c r="I57" s="262">
        <f t="shared" ref="I57:I60" si="23">SUM(J57:N57)</f>
        <v>0</v>
      </c>
      <c r="J57" s="37">
        <v>0</v>
      </c>
      <c r="K57" s="37">
        <v>0</v>
      </c>
      <c r="L57" s="37">
        <v>0</v>
      </c>
      <c r="M57" s="37">
        <v>0</v>
      </c>
      <c r="N57" s="37">
        <v>0</v>
      </c>
    </row>
    <row r="58" spans="6:14" ht="12" x14ac:dyDescent="0.2">
      <c r="F58" s="447"/>
      <c r="G58" s="42" t="str">
        <f>STRAT7_IND3</f>
        <v>Objetivo estratégico 7 Indicador 3</v>
      </c>
      <c r="H58" s="260" t="str">
        <f ca="1">OFFSET(Variables_Lu!$D$10,Basic_Setup!H72,0)</f>
        <v>Nutrition-specific</v>
      </c>
      <c r="I58" s="262">
        <f t="shared" si="23"/>
        <v>0</v>
      </c>
      <c r="J58" s="37">
        <v>0</v>
      </c>
      <c r="K58" s="37">
        <v>0</v>
      </c>
      <c r="L58" s="37">
        <v>0</v>
      </c>
      <c r="M58" s="37">
        <v>0</v>
      </c>
      <c r="N58" s="37">
        <v>0</v>
      </c>
    </row>
    <row r="59" spans="6:14" ht="12" x14ac:dyDescent="0.2">
      <c r="F59" s="447"/>
      <c r="G59" s="41" t="str">
        <f>STRAT7_IND4</f>
        <v>Objetivo estratégico 7 Indicador 4</v>
      </c>
      <c r="H59" s="260" t="str">
        <f ca="1">OFFSET(Variables_Lu!$D$10,Basic_Setup!H73,0)</f>
        <v>Nutrition-specific</v>
      </c>
      <c r="I59" s="262">
        <f t="shared" si="23"/>
        <v>0</v>
      </c>
      <c r="J59" s="37">
        <v>0</v>
      </c>
      <c r="K59" s="37">
        <v>0</v>
      </c>
      <c r="L59" s="37">
        <v>0</v>
      </c>
      <c r="M59" s="37">
        <v>0</v>
      </c>
      <c r="N59" s="37">
        <v>0</v>
      </c>
    </row>
    <row r="60" spans="6:14" ht="12" x14ac:dyDescent="0.2">
      <c r="F60" s="448"/>
      <c r="G60" s="41" t="str">
        <f>STRAT7_IND5</f>
        <v>Objetivo estratégico 7 Indicador 5</v>
      </c>
      <c r="H60" s="260" t="str">
        <f ca="1">OFFSET(Variables_Lu!$D$10,Basic_Setup!H74,0)</f>
        <v>Nutrition-specific</v>
      </c>
      <c r="I60" s="262">
        <f t="shared" si="23"/>
        <v>0</v>
      </c>
      <c r="J60" s="37">
        <v>0</v>
      </c>
      <c r="K60" s="37">
        <v>0</v>
      </c>
      <c r="L60" s="37">
        <v>0</v>
      </c>
      <c r="M60" s="37">
        <v>0</v>
      </c>
      <c r="N60" s="37">
        <v>0</v>
      </c>
    </row>
    <row r="61" spans="6:14" ht="12" x14ac:dyDescent="0.2">
      <c r="H61" s="152" t="s">
        <v>160</v>
      </c>
      <c r="I61" s="265">
        <f>SUM(I56:I60)</f>
        <v>0</v>
      </c>
      <c r="J61" s="265">
        <f t="shared" ref="J61:N61" si="24">SUM(J56:J60)</f>
        <v>0</v>
      </c>
      <c r="K61" s="265">
        <f t="shared" si="24"/>
        <v>0</v>
      </c>
      <c r="L61" s="265">
        <f t="shared" si="24"/>
        <v>0</v>
      </c>
      <c r="M61" s="265">
        <f t="shared" si="24"/>
        <v>0</v>
      </c>
      <c r="N61" s="265">
        <f t="shared" si="24"/>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262">
        <f>SUM(J62:N62)</f>
        <v>0</v>
      </c>
      <c r="J62" s="37">
        <v>0</v>
      </c>
      <c r="K62" s="37">
        <v>0</v>
      </c>
      <c r="L62" s="37">
        <v>0</v>
      </c>
      <c r="M62" s="37">
        <v>0</v>
      </c>
      <c r="N62" s="37">
        <v>0</v>
      </c>
    </row>
    <row r="63" spans="6:14" ht="12" x14ac:dyDescent="0.2">
      <c r="F63" s="447"/>
      <c r="G63" s="42" t="str">
        <f>STRAT8_IND2</f>
        <v>Objetivo estratégico 8 Indicador 2</v>
      </c>
      <c r="H63" s="260" t="str">
        <f ca="1">OFFSET(Variables_Lu!$D$10,Basic_Setup!H77,0)</f>
        <v>Nutrition-specific</v>
      </c>
      <c r="I63" s="262">
        <f t="shared" ref="I63:I66" si="25">SUM(J63:N63)</f>
        <v>0</v>
      </c>
      <c r="J63" s="37">
        <v>0</v>
      </c>
      <c r="K63" s="37">
        <v>0</v>
      </c>
      <c r="L63" s="37">
        <v>0</v>
      </c>
      <c r="M63" s="37">
        <v>0</v>
      </c>
      <c r="N63" s="37">
        <v>0</v>
      </c>
    </row>
    <row r="64" spans="6:14" ht="12" x14ac:dyDescent="0.2">
      <c r="F64" s="447"/>
      <c r="G64" s="42" t="str">
        <f>STRAT8_IND3</f>
        <v>Objetivo estratégico 8 Indicador 3</v>
      </c>
      <c r="H64" s="260" t="str">
        <f ca="1">OFFSET(Variables_Lu!$D$10,Basic_Setup!H78,0)</f>
        <v>Nutrition-specific</v>
      </c>
      <c r="I64" s="262">
        <f t="shared" si="25"/>
        <v>0</v>
      </c>
      <c r="J64" s="37">
        <v>0</v>
      </c>
      <c r="K64" s="37">
        <v>0</v>
      </c>
      <c r="L64" s="37">
        <v>0</v>
      </c>
      <c r="M64" s="37">
        <v>0</v>
      </c>
      <c r="N64" s="37">
        <v>0</v>
      </c>
    </row>
    <row r="65" spans="6:14" ht="12" x14ac:dyDescent="0.2">
      <c r="F65" s="447"/>
      <c r="G65" s="41" t="str">
        <f>STRAT8_IND4</f>
        <v>Objetivo estratégico 8 Indicador 4</v>
      </c>
      <c r="H65" s="260" t="str">
        <f ca="1">OFFSET(Variables_Lu!$D$10,Basic_Setup!H79,0)</f>
        <v>Nutrition-specific</v>
      </c>
      <c r="I65" s="262">
        <f t="shared" si="25"/>
        <v>0</v>
      </c>
      <c r="J65" s="37">
        <v>0</v>
      </c>
      <c r="K65" s="37">
        <v>0</v>
      </c>
      <c r="L65" s="37">
        <v>0</v>
      </c>
      <c r="M65" s="37">
        <v>0</v>
      </c>
      <c r="N65" s="37">
        <v>0</v>
      </c>
    </row>
    <row r="66" spans="6:14" ht="12" x14ac:dyDescent="0.2">
      <c r="F66" s="448"/>
      <c r="G66" s="41" t="str">
        <f>STRAT8_IND5</f>
        <v>Objetivo estratégico 8 Indicador 5</v>
      </c>
      <c r="H66" s="260" t="str">
        <f ca="1">OFFSET(Variables_Lu!$D$10,Basic_Setup!H80,0)</f>
        <v>Nutrition-specific</v>
      </c>
      <c r="I66" s="262">
        <f t="shared" si="25"/>
        <v>0</v>
      </c>
      <c r="J66" s="37">
        <v>0</v>
      </c>
      <c r="K66" s="37">
        <v>0</v>
      </c>
      <c r="L66" s="37">
        <v>0</v>
      </c>
      <c r="M66" s="37">
        <v>0</v>
      </c>
      <c r="N66" s="37">
        <v>0</v>
      </c>
    </row>
    <row r="67" spans="6:14" ht="12" x14ac:dyDescent="0.2">
      <c r="H67" s="152" t="s">
        <v>161</v>
      </c>
      <c r="I67" s="265">
        <f>SUM(I62:I66)</f>
        <v>0</v>
      </c>
      <c r="J67" s="265">
        <f t="shared" ref="J67:N67" si="26">SUM(J62:J66)</f>
        <v>0</v>
      </c>
      <c r="K67" s="265">
        <f t="shared" si="26"/>
        <v>0</v>
      </c>
      <c r="L67" s="265">
        <f t="shared" si="26"/>
        <v>0</v>
      </c>
      <c r="M67" s="265">
        <f t="shared" si="26"/>
        <v>0</v>
      </c>
      <c r="N67" s="265">
        <f t="shared" si="26"/>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262">
        <f>SUM(J68:N68)</f>
        <v>0</v>
      </c>
      <c r="J68" s="37">
        <v>0</v>
      </c>
      <c r="K68" s="37">
        <v>0</v>
      </c>
      <c r="L68" s="37">
        <v>0</v>
      </c>
      <c r="M68" s="37">
        <v>0</v>
      </c>
      <c r="N68" s="37">
        <v>0</v>
      </c>
    </row>
    <row r="69" spans="6:14" ht="12" x14ac:dyDescent="0.2">
      <c r="F69" s="447"/>
      <c r="G69" s="42" t="str">
        <f>STRAT9_IND2</f>
        <v>Objetivo estratégico 9 Indicador 2</v>
      </c>
      <c r="H69" s="260" t="str">
        <f ca="1">OFFSET(Variables_Lu!$D$10,Basic_Setup!H83,0)</f>
        <v>Nutrition-specific</v>
      </c>
      <c r="I69" s="262">
        <f t="shared" ref="I69:I72" si="27">SUM(J69:N69)</f>
        <v>0</v>
      </c>
      <c r="J69" s="37">
        <v>0</v>
      </c>
      <c r="K69" s="37">
        <v>0</v>
      </c>
      <c r="L69" s="37">
        <v>0</v>
      </c>
      <c r="M69" s="37">
        <v>0</v>
      </c>
      <c r="N69" s="37">
        <v>0</v>
      </c>
    </row>
    <row r="70" spans="6:14" ht="12" x14ac:dyDescent="0.2">
      <c r="F70" s="447"/>
      <c r="G70" s="42" t="str">
        <f>STRAT9_IND3</f>
        <v>Objetivo estratégico 9 Indicador 3</v>
      </c>
      <c r="H70" s="260" t="str">
        <f ca="1">OFFSET(Variables_Lu!$D$10,Basic_Setup!H84,0)</f>
        <v>Nutrition-specific</v>
      </c>
      <c r="I70" s="262">
        <f t="shared" si="27"/>
        <v>0</v>
      </c>
      <c r="J70" s="37">
        <v>0</v>
      </c>
      <c r="K70" s="37">
        <v>0</v>
      </c>
      <c r="L70" s="37">
        <v>0</v>
      </c>
      <c r="M70" s="37">
        <v>0</v>
      </c>
      <c r="N70" s="37">
        <v>0</v>
      </c>
    </row>
    <row r="71" spans="6:14" ht="12" x14ac:dyDescent="0.2">
      <c r="F71" s="447"/>
      <c r="G71" s="41" t="str">
        <f>STRAT9_IND4</f>
        <v>Objetivo estratégico 9 Indicador 4</v>
      </c>
      <c r="H71" s="260" t="str">
        <f ca="1">OFFSET(Variables_Lu!$D$10,Basic_Setup!H85,0)</f>
        <v>Nutrition-specific</v>
      </c>
      <c r="I71" s="262">
        <f t="shared" si="27"/>
        <v>0</v>
      </c>
      <c r="J71" s="37">
        <v>0</v>
      </c>
      <c r="K71" s="37">
        <v>0</v>
      </c>
      <c r="L71" s="37">
        <v>0</v>
      </c>
      <c r="M71" s="37">
        <v>0</v>
      </c>
      <c r="N71" s="37">
        <v>0</v>
      </c>
    </row>
    <row r="72" spans="6:14" ht="12" x14ac:dyDescent="0.2">
      <c r="F72" s="448"/>
      <c r="G72" s="41" t="str">
        <f>STRAT9_IND5</f>
        <v>Objetivo estratégico 9 Indicador 5</v>
      </c>
      <c r="H72" s="260" t="str">
        <f ca="1">OFFSET(Variables_Lu!$D$10,Basic_Setup!H86,0)</f>
        <v>Nutrition-specific</v>
      </c>
      <c r="I72" s="262">
        <f t="shared" si="27"/>
        <v>0</v>
      </c>
      <c r="J72" s="37">
        <v>0</v>
      </c>
      <c r="K72" s="37">
        <v>0</v>
      </c>
      <c r="L72" s="37">
        <v>0</v>
      </c>
      <c r="M72" s="37">
        <v>0</v>
      </c>
      <c r="N72" s="37">
        <v>0</v>
      </c>
    </row>
    <row r="73" spans="6:14" ht="12" x14ac:dyDescent="0.2">
      <c r="H73" s="152" t="s">
        <v>162</v>
      </c>
      <c r="I73" s="265">
        <f>SUM(I68:I72)</f>
        <v>0</v>
      </c>
      <c r="J73" s="265">
        <f t="shared" ref="J73:N73" si="28">SUM(J68:J72)</f>
        <v>0</v>
      </c>
      <c r="K73" s="265">
        <f t="shared" si="28"/>
        <v>0</v>
      </c>
      <c r="L73" s="265">
        <f t="shared" si="28"/>
        <v>0</v>
      </c>
      <c r="M73" s="265">
        <f t="shared" si="28"/>
        <v>0</v>
      </c>
      <c r="N73" s="265">
        <f t="shared" si="28"/>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262">
        <f>SUM(J74:N74)</f>
        <v>0</v>
      </c>
      <c r="J74" s="37">
        <v>0</v>
      </c>
      <c r="K74" s="37">
        <v>0</v>
      </c>
      <c r="L74" s="37">
        <v>0</v>
      </c>
      <c r="M74" s="37">
        <v>0</v>
      </c>
      <c r="N74" s="37">
        <v>0</v>
      </c>
    </row>
    <row r="75" spans="6:14" ht="12" x14ac:dyDescent="0.2">
      <c r="F75" s="447"/>
      <c r="G75" s="42" t="str">
        <f>STRAT10_IND2</f>
        <v>Objetivo estratégico 10 Indicador 2</v>
      </c>
      <c r="H75" s="260" t="str">
        <f ca="1">OFFSET(Variables_Lu!$D$10,Basic_Setup!H89,0)</f>
        <v>Nutrition-specific</v>
      </c>
      <c r="I75" s="262">
        <f t="shared" ref="I75:I78" si="29">SUM(J75:N75)</f>
        <v>0</v>
      </c>
      <c r="J75" s="37">
        <v>0</v>
      </c>
      <c r="K75" s="37">
        <v>0</v>
      </c>
      <c r="L75" s="37">
        <v>0</v>
      </c>
      <c r="M75" s="37">
        <v>0</v>
      </c>
      <c r="N75" s="37">
        <v>0</v>
      </c>
    </row>
    <row r="76" spans="6:14" ht="12" x14ac:dyDescent="0.2">
      <c r="F76" s="447"/>
      <c r="G76" s="42" t="str">
        <f>STRAT10_IND3</f>
        <v>Objetivo estratégico 10 Indicador 3</v>
      </c>
      <c r="H76" s="260" t="str">
        <f ca="1">OFFSET(Variables_Lu!$D$10,Basic_Setup!H90,0)</f>
        <v>Nutrition-specific</v>
      </c>
      <c r="I76" s="262">
        <f t="shared" si="29"/>
        <v>0</v>
      </c>
      <c r="J76" s="37">
        <v>0</v>
      </c>
      <c r="K76" s="37">
        <v>0</v>
      </c>
      <c r="L76" s="37">
        <v>0</v>
      </c>
      <c r="M76" s="37">
        <v>0</v>
      </c>
      <c r="N76" s="37">
        <v>0</v>
      </c>
    </row>
    <row r="77" spans="6:14" ht="11.25" customHeight="1" x14ac:dyDescent="0.2">
      <c r="F77" s="447"/>
      <c r="G77" s="41" t="str">
        <f>STRAT10_IND4</f>
        <v>Objetivo estratégico 10 Indicador 4</v>
      </c>
      <c r="H77" s="260" t="str">
        <f ca="1">OFFSET(Variables_Lu!$D$10,Basic_Setup!H91,0)</f>
        <v>Nutrition-specific</v>
      </c>
      <c r="I77" s="262">
        <f t="shared" si="29"/>
        <v>0</v>
      </c>
      <c r="J77" s="37">
        <v>0</v>
      </c>
      <c r="K77" s="37">
        <v>0</v>
      </c>
      <c r="L77" s="37">
        <v>0</v>
      </c>
      <c r="M77" s="37">
        <v>0</v>
      </c>
      <c r="N77" s="37">
        <v>0</v>
      </c>
    </row>
    <row r="78" spans="6:14" ht="11.25" customHeight="1" x14ac:dyDescent="0.2">
      <c r="F78" s="448"/>
      <c r="G78" s="41" t="str">
        <f>STRAT10_IND5</f>
        <v>Objetivo estratégico 10 Indicador 5</v>
      </c>
      <c r="H78" s="260" t="str">
        <f ca="1">OFFSET(Variables_Lu!$D$10,Basic_Setup!H92,0)</f>
        <v>Nutrition-specific</v>
      </c>
      <c r="I78" s="262">
        <f t="shared" si="29"/>
        <v>0</v>
      </c>
      <c r="J78" s="37">
        <v>0</v>
      </c>
      <c r="K78" s="37">
        <v>0</v>
      </c>
      <c r="L78" s="37">
        <v>0</v>
      </c>
      <c r="M78" s="37">
        <v>0</v>
      </c>
      <c r="N78" s="37">
        <v>0</v>
      </c>
    </row>
    <row r="79" spans="6:14" ht="11.25" customHeight="1" x14ac:dyDescent="0.2">
      <c r="H79" s="152" t="s">
        <v>163</v>
      </c>
      <c r="I79" s="265">
        <f>SUM(I74:I78)</f>
        <v>0</v>
      </c>
      <c r="J79" s="265">
        <f t="shared" ref="J79:N79" si="30">SUM(J74:J78)</f>
        <v>0</v>
      </c>
      <c r="K79" s="265">
        <f t="shared" si="30"/>
        <v>0</v>
      </c>
      <c r="L79" s="265">
        <f t="shared" si="30"/>
        <v>0</v>
      </c>
      <c r="M79" s="265">
        <f t="shared" si="30"/>
        <v>0</v>
      </c>
      <c r="N79" s="265">
        <f t="shared" si="30"/>
        <v>0</v>
      </c>
    </row>
    <row r="80" spans="6:14" ht="11.25" customHeight="1" x14ac:dyDescent="0.2">
      <c r="I80" s="263"/>
    </row>
    <row r="81" spans="6:14" ht="12.6" thickBot="1" x14ac:dyDescent="0.25">
      <c r="H81" s="149" t="str">
        <f>"TOTAL - "&amp;$F$12</f>
        <v>TOTAL - Ministerio de Servicio Público</v>
      </c>
      <c r="I81" s="264">
        <f>SUM(I25,I31,I37,I43,I49,I55,I61,I67,I73,I79)</f>
        <v>296346674.69999999</v>
      </c>
      <c r="J81" s="264">
        <f>SUM(J25,J31,J37,J43,J49,J55,J61,J67,J73,J79)</f>
        <v>59269334.940000005</v>
      </c>
      <c r="K81" s="264">
        <f t="shared" ref="K81:N81" si="31">SUM(K25,K31,K37,K43,K49,K55,K61,K67,K73,K79)</f>
        <v>59269334.940000005</v>
      </c>
      <c r="L81" s="264">
        <f t="shared" si="31"/>
        <v>59269334.940000005</v>
      </c>
      <c r="M81" s="264">
        <f t="shared" si="31"/>
        <v>59269334.940000005</v>
      </c>
      <c r="N81" s="264">
        <f t="shared" si="31"/>
        <v>59269334.940000005</v>
      </c>
    </row>
    <row r="83" spans="6:14" ht="12" x14ac:dyDescent="0.2">
      <c r="F83" s="44" t="s">
        <v>171</v>
      </c>
    </row>
    <row r="84" spans="6:14" x14ac:dyDescent="0.2">
      <c r="F84" s="49"/>
    </row>
    <row r="85" spans="6:14" x14ac:dyDescent="0.2">
      <c r="F85" s="49"/>
    </row>
    <row r="86" spans="6:14" x14ac:dyDescent="0.2">
      <c r="F86" s="49"/>
    </row>
    <row r="87" spans="6:14" x14ac:dyDescent="0.2">
      <c r="F87" s="49"/>
    </row>
    <row r="90" spans="6:14" ht="12.6" thickBot="1" x14ac:dyDescent="0.25">
      <c r="F90" s="1" t="s">
        <v>411</v>
      </c>
      <c r="G90" s="1" t="s">
        <v>412</v>
      </c>
      <c r="H90" s="406" t="s">
        <v>472</v>
      </c>
      <c r="I90" s="253" t="s">
        <v>106</v>
      </c>
      <c r="J90" s="54" t="str">
        <f>CURR_INT_ABBR</f>
        <v>USD</v>
      </c>
      <c r="K90" s="54" t="str">
        <f>CURR_INT_ABBR</f>
        <v>USD</v>
      </c>
      <c r="L90" s="54" t="str">
        <f>CURR_INT_ABBR</f>
        <v>USD</v>
      </c>
      <c r="M90" s="54" t="str">
        <f>CURR_INT_ABBR</f>
        <v>USD</v>
      </c>
      <c r="N90" s="54" t="str">
        <f>CURR_INT_ABBR</f>
        <v>USD</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67">
        <f t="shared" ref="I91:N100" si="32">I20/EXCHANGE_RATE</f>
        <v>65.854816600000007</v>
      </c>
      <c r="J91" s="154">
        <f t="shared" si="32"/>
        <v>13.17096332</v>
      </c>
      <c r="K91" s="154">
        <f t="shared" si="32"/>
        <v>13.17096332</v>
      </c>
      <c r="L91" s="154">
        <f t="shared" si="32"/>
        <v>13.17096332</v>
      </c>
      <c r="M91" s="154">
        <f t="shared" si="32"/>
        <v>13.17096332</v>
      </c>
      <c r="N91" s="154">
        <f t="shared" si="32"/>
        <v>13.17096332</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67">
        <f t="shared" si="32"/>
        <v>65.854816600000007</v>
      </c>
      <c r="J92" s="154">
        <f t="shared" si="32"/>
        <v>13.17096332</v>
      </c>
      <c r="K92" s="154">
        <f t="shared" si="32"/>
        <v>13.17096332</v>
      </c>
      <c r="L92" s="154">
        <f t="shared" si="32"/>
        <v>13.17096332</v>
      </c>
      <c r="M92" s="154">
        <f t="shared" si="32"/>
        <v>13.17096332</v>
      </c>
      <c r="N92" s="154">
        <f t="shared" si="32"/>
        <v>13.17096332</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67">
        <f t="shared" si="32"/>
        <v>65.854816600000007</v>
      </c>
      <c r="J93" s="154">
        <f t="shared" si="32"/>
        <v>13.17096332</v>
      </c>
      <c r="K93" s="154">
        <f t="shared" si="32"/>
        <v>13.17096332</v>
      </c>
      <c r="L93" s="154">
        <f t="shared" si="32"/>
        <v>13.17096332</v>
      </c>
      <c r="M93" s="154">
        <f t="shared" si="32"/>
        <v>13.17096332</v>
      </c>
      <c r="N93" s="154">
        <f t="shared" si="32"/>
        <v>13.17096332</v>
      </c>
    </row>
    <row r="94" spans="6:14" ht="22.8" x14ac:dyDescent="0.2">
      <c r="F94" s="444"/>
      <c r="G94" s="41" t="str">
        <f>STRAT1_IND4</f>
        <v>El marco legislativo y reglamentario de la nutrición se ha fortalecido y está en funcionamiento.</v>
      </c>
      <c r="H94" s="268" t="str">
        <f ca="1">OFFSET(Variables_Lu!$D$10,Basic_Setup!H37,0)</f>
        <v>Governance</v>
      </c>
      <c r="I94" s="67">
        <f t="shared" si="32"/>
        <v>65.854816600000007</v>
      </c>
      <c r="J94" s="154">
        <f t="shared" si="32"/>
        <v>13.17096332</v>
      </c>
      <c r="K94" s="154">
        <f t="shared" si="32"/>
        <v>13.17096332</v>
      </c>
      <c r="L94" s="154">
        <f t="shared" si="32"/>
        <v>13.17096332</v>
      </c>
      <c r="M94" s="154">
        <f t="shared" si="32"/>
        <v>13.17096332</v>
      </c>
      <c r="N94" s="154">
        <f t="shared" si="32"/>
        <v>13.17096332</v>
      </c>
    </row>
    <row r="95" spans="6:14" ht="12.6" thickBot="1" x14ac:dyDescent="0.25">
      <c r="F95" s="445"/>
      <c r="G95" s="275" t="str">
        <f>STRAT1_IND5</f>
        <v>Objetivo estratégico 1 Indicador 5</v>
      </c>
      <c r="H95" s="270" t="str">
        <f ca="1">OFFSET(Variables_Lu!$D$10,Basic_Setup!H38,0)</f>
        <v>Governance</v>
      </c>
      <c r="I95" s="67">
        <f t="shared" si="32"/>
        <v>0</v>
      </c>
      <c r="J95" s="154">
        <f t="shared" si="32"/>
        <v>0</v>
      </c>
      <c r="K95" s="154">
        <f t="shared" si="32"/>
        <v>0</v>
      </c>
      <c r="L95" s="154">
        <f t="shared" si="32"/>
        <v>0</v>
      </c>
      <c r="M95" s="154">
        <f t="shared" si="32"/>
        <v>0</v>
      </c>
      <c r="N95" s="154">
        <f t="shared" si="32"/>
        <v>0</v>
      </c>
    </row>
    <row r="96" spans="6:14" ht="12.6" thickBot="1" x14ac:dyDescent="0.25">
      <c r="F96" s="38"/>
      <c r="G96" s="38"/>
      <c r="H96" s="152" t="s">
        <v>107</v>
      </c>
      <c r="I96" s="122">
        <f t="shared" si="32"/>
        <v>263.41926640000003</v>
      </c>
      <c r="J96" s="63">
        <f t="shared" si="32"/>
        <v>52.683853280000001</v>
      </c>
      <c r="K96" s="63">
        <f t="shared" si="32"/>
        <v>52.683853280000001</v>
      </c>
      <c r="L96" s="63">
        <f t="shared" si="32"/>
        <v>52.683853280000001</v>
      </c>
      <c r="M96" s="63">
        <f t="shared" si="32"/>
        <v>52.683853280000001</v>
      </c>
      <c r="N96" s="63">
        <f t="shared" si="32"/>
        <v>52.683853280000001</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67">
        <f t="shared" si="32"/>
        <v>3484.8173784166665</v>
      </c>
      <c r="J97" s="154">
        <f t="shared" si="32"/>
        <v>696.96347568333329</v>
      </c>
      <c r="K97" s="154">
        <f t="shared" si="32"/>
        <v>696.96347568333329</v>
      </c>
      <c r="L97" s="154">
        <f t="shared" si="32"/>
        <v>696.96347568333329</v>
      </c>
      <c r="M97" s="154">
        <f t="shared" si="32"/>
        <v>696.96347568333329</v>
      </c>
      <c r="N97" s="154">
        <f t="shared" si="32"/>
        <v>696.96347568333329</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67">
        <f t="shared" si="32"/>
        <v>3484.8173784166665</v>
      </c>
      <c r="J98" s="154">
        <f t="shared" si="32"/>
        <v>696.96347568333329</v>
      </c>
      <c r="K98" s="154">
        <f t="shared" si="32"/>
        <v>696.96347568333329</v>
      </c>
      <c r="L98" s="154">
        <f t="shared" si="32"/>
        <v>696.96347568333329</v>
      </c>
      <c r="M98" s="154">
        <f t="shared" si="32"/>
        <v>696.96347568333329</v>
      </c>
      <c r="N98" s="154">
        <f t="shared" si="32"/>
        <v>696.96347568333329</v>
      </c>
    </row>
    <row r="99" spans="6:14" ht="22.8" x14ac:dyDescent="0.2">
      <c r="F99" s="444"/>
      <c r="G99" s="42" t="str">
        <f>STRAT2_IND3</f>
        <v>Se refuerzan las intervenciones comunitarias en materia de nutrición.</v>
      </c>
      <c r="H99" s="268" t="str">
        <f ca="1">OFFSET(Variables_Lu!$D$10,Basic_Setup!H42,0)</f>
        <v>Nutrition-specific</v>
      </c>
      <c r="I99" s="67">
        <f t="shared" si="32"/>
        <v>3484.8173784166665</v>
      </c>
      <c r="J99" s="154">
        <f t="shared" si="32"/>
        <v>696.96347568333329</v>
      </c>
      <c r="K99" s="154">
        <f t="shared" si="32"/>
        <v>696.96347568333329</v>
      </c>
      <c r="L99" s="154">
        <f t="shared" si="32"/>
        <v>696.96347568333329</v>
      </c>
      <c r="M99" s="154">
        <f t="shared" si="32"/>
        <v>696.96347568333329</v>
      </c>
      <c r="N99" s="154">
        <f t="shared" si="32"/>
        <v>696.96347568333329</v>
      </c>
    </row>
    <row r="100" spans="6:14" ht="12" x14ac:dyDescent="0.2">
      <c r="F100" s="444"/>
      <c r="G100" s="41" t="str">
        <f>STRAT2_IND4</f>
        <v>Objetivo estratégico 2 Indicador 4</v>
      </c>
      <c r="H100" s="268" t="str">
        <f ca="1">OFFSET(Variables_Lu!$D$10,Basic_Setup!H43,0)</f>
        <v>Nutrition-specific</v>
      </c>
      <c r="I100" s="67">
        <f t="shared" si="32"/>
        <v>0</v>
      </c>
      <c r="J100" s="154">
        <f t="shared" si="32"/>
        <v>0</v>
      </c>
      <c r="K100" s="154">
        <f t="shared" si="32"/>
        <v>0</v>
      </c>
      <c r="L100" s="154">
        <f t="shared" si="32"/>
        <v>0</v>
      </c>
      <c r="M100" s="154">
        <f t="shared" si="32"/>
        <v>0</v>
      </c>
      <c r="N100" s="154">
        <f t="shared" si="32"/>
        <v>0</v>
      </c>
    </row>
    <row r="101" spans="6:14" ht="12.6" thickBot="1" x14ac:dyDescent="0.25">
      <c r="F101" s="445"/>
      <c r="G101" s="275" t="str">
        <f>STRAT2_IND5</f>
        <v>Objetivo estratégico 2 Indicador 5</v>
      </c>
      <c r="H101" s="270" t="str">
        <f ca="1">OFFSET(Variables_Lu!$D$10,Basic_Setup!H44,0)</f>
        <v>Nutrition-specific</v>
      </c>
      <c r="I101" s="67">
        <f t="shared" ref="I101:N110" si="33">I30/EXCHANGE_RATE</f>
        <v>0</v>
      </c>
      <c r="J101" s="154">
        <f t="shared" si="33"/>
        <v>0</v>
      </c>
      <c r="K101" s="154">
        <f t="shared" si="33"/>
        <v>0</v>
      </c>
      <c r="L101" s="154">
        <f t="shared" si="33"/>
        <v>0</v>
      </c>
      <c r="M101" s="154">
        <f t="shared" si="33"/>
        <v>0</v>
      </c>
      <c r="N101" s="154">
        <f t="shared" si="33"/>
        <v>0</v>
      </c>
    </row>
    <row r="102" spans="6:14" ht="12.6" thickBot="1" x14ac:dyDescent="0.25">
      <c r="F102" s="38"/>
      <c r="G102" s="38"/>
      <c r="H102" s="152" t="s">
        <v>108</v>
      </c>
      <c r="I102" s="122">
        <f t="shared" si="33"/>
        <v>10454.452135250001</v>
      </c>
      <c r="J102" s="63">
        <f t="shared" si="33"/>
        <v>2090.8904270499997</v>
      </c>
      <c r="K102" s="63">
        <f t="shared" si="33"/>
        <v>2090.8904270499997</v>
      </c>
      <c r="L102" s="63">
        <f t="shared" si="33"/>
        <v>2090.8904270499997</v>
      </c>
      <c r="M102" s="63">
        <f t="shared" si="33"/>
        <v>2090.8904270499997</v>
      </c>
      <c r="N102" s="63">
        <f t="shared" si="33"/>
        <v>2090.8904270499997</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67">
        <f t="shared" si="33"/>
        <v>41208.651487450006</v>
      </c>
      <c r="J103" s="154">
        <f t="shared" si="33"/>
        <v>8241.7302974899994</v>
      </c>
      <c r="K103" s="154">
        <f t="shared" si="33"/>
        <v>8241.7302974899994</v>
      </c>
      <c r="L103" s="154">
        <f t="shared" si="33"/>
        <v>8241.7302974899994</v>
      </c>
      <c r="M103" s="154">
        <f t="shared" si="33"/>
        <v>8241.7302974899994</v>
      </c>
      <c r="N103" s="154">
        <f t="shared" si="33"/>
        <v>8241.7302974899994</v>
      </c>
    </row>
    <row r="104" spans="6:14" ht="22.8" x14ac:dyDescent="0.2">
      <c r="F104" s="444"/>
      <c r="G104" s="42" t="str">
        <f>STRAT3_IND2</f>
        <v xml:space="preserve"> La seguridad alimentaria está garantizada para toda la nación.</v>
      </c>
      <c r="H104" s="268" t="str">
        <f ca="1">OFFSET(Variables_Lu!$D$10,Basic_Setup!H47,0)</f>
        <v>Nutrition-sensitive</v>
      </c>
      <c r="I104" s="67">
        <f t="shared" si="33"/>
        <v>41208.651487450006</v>
      </c>
      <c r="J104" s="154">
        <f t="shared" si="33"/>
        <v>8241.7302974899994</v>
      </c>
      <c r="K104" s="154">
        <f t="shared" si="33"/>
        <v>8241.7302974899994</v>
      </c>
      <c r="L104" s="154">
        <f t="shared" si="33"/>
        <v>8241.7302974899994</v>
      </c>
      <c r="M104" s="154">
        <f t="shared" si="33"/>
        <v>8241.7302974899994</v>
      </c>
      <c r="N104" s="154">
        <f t="shared" si="33"/>
        <v>8241.7302974899994</v>
      </c>
    </row>
    <row r="105" spans="6:14" ht="12" x14ac:dyDescent="0.2">
      <c r="F105" s="444"/>
      <c r="G105" s="42" t="str">
        <f>STRAT3_IND3</f>
        <v>Objetivo estratégico 3 Indicador 3</v>
      </c>
      <c r="H105" s="268" t="str">
        <f ca="1">OFFSET(Variables_Lu!$D$10,Basic_Setup!H48,0)</f>
        <v>Nutrition-specific</v>
      </c>
      <c r="I105" s="67">
        <f t="shared" si="33"/>
        <v>0</v>
      </c>
      <c r="J105" s="154">
        <f t="shared" si="33"/>
        <v>0</v>
      </c>
      <c r="K105" s="154">
        <f t="shared" si="33"/>
        <v>0</v>
      </c>
      <c r="L105" s="154">
        <f t="shared" si="33"/>
        <v>0</v>
      </c>
      <c r="M105" s="154">
        <f t="shared" si="33"/>
        <v>0</v>
      </c>
      <c r="N105" s="154">
        <f t="shared" si="33"/>
        <v>0</v>
      </c>
    </row>
    <row r="106" spans="6:14" ht="12" x14ac:dyDescent="0.2">
      <c r="F106" s="444"/>
      <c r="G106" s="41" t="str">
        <f>STRAT3_IND4</f>
        <v>Objetivo estratégico 3 Indicador 4</v>
      </c>
      <c r="H106" s="268" t="str">
        <f ca="1">OFFSET(Variables_Lu!$D$10,Basic_Setup!H49,0)</f>
        <v>Nutrition-specific</v>
      </c>
      <c r="I106" s="67">
        <f t="shared" si="33"/>
        <v>0</v>
      </c>
      <c r="J106" s="154">
        <f t="shared" si="33"/>
        <v>0</v>
      </c>
      <c r="K106" s="154">
        <f t="shared" si="33"/>
        <v>0</v>
      </c>
      <c r="L106" s="154">
        <f t="shared" si="33"/>
        <v>0</v>
      </c>
      <c r="M106" s="154">
        <f t="shared" si="33"/>
        <v>0</v>
      </c>
      <c r="N106" s="154">
        <f t="shared" si="33"/>
        <v>0</v>
      </c>
    </row>
    <row r="107" spans="6:14" ht="12.6" thickBot="1" x14ac:dyDescent="0.25">
      <c r="F107" s="445"/>
      <c r="G107" s="275" t="str">
        <f>STRAT3_IND5</f>
        <v>Objetivo estratégico 3 Indicador 5</v>
      </c>
      <c r="H107" s="270" t="str">
        <f ca="1">OFFSET(Variables_Lu!$D$10,Basic_Setup!H50,0)</f>
        <v>Nutrition-specific</v>
      </c>
      <c r="I107" s="67">
        <f t="shared" si="33"/>
        <v>0</v>
      </c>
      <c r="J107" s="154">
        <f t="shared" si="33"/>
        <v>0</v>
      </c>
      <c r="K107" s="154">
        <f t="shared" si="33"/>
        <v>0</v>
      </c>
      <c r="L107" s="154">
        <f t="shared" si="33"/>
        <v>0</v>
      </c>
      <c r="M107" s="154">
        <f t="shared" si="33"/>
        <v>0</v>
      </c>
      <c r="N107" s="154">
        <f t="shared" si="33"/>
        <v>0</v>
      </c>
    </row>
    <row r="108" spans="6:14" ht="12.6" thickBot="1" x14ac:dyDescent="0.25">
      <c r="H108" s="152" t="s">
        <v>109</v>
      </c>
      <c r="I108" s="122">
        <f t="shared" si="33"/>
        <v>82417.302974900012</v>
      </c>
      <c r="J108" s="63">
        <f t="shared" si="33"/>
        <v>16483.460594979999</v>
      </c>
      <c r="K108" s="63">
        <f t="shared" si="33"/>
        <v>16483.460594979999</v>
      </c>
      <c r="L108" s="63">
        <f t="shared" si="33"/>
        <v>16483.460594979999</v>
      </c>
      <c r="M108" s="63">
        <f t="shared" si="33"/>
        <v>16483.460594979999</v>
      </c>
      <c r="N108" s="63">
        <f t="shared" si="33"/>
        <v>16483.460594979999</v>
      </c>
    </row>
    <row r="109" spans="6:14" ht="24"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67">
        <f t="shared" si="33"/>
        <v>23197.359147350002</v>
      </c>
      <c r="J109" s="154">
        <f t="shared" si="33"/>
        <v>4639.4718294700006</v>
      </c>
      <c r="K109" s="154">
        <f t="shared" si="33"/>
        <v>4639.4718294700006</v>
      </c>
      <c r="L109" s="154">
        <f t="shared" si="33"/>
        <v>4639.4718294700006</v>
      </c>
      <c r="M109" s="154">
        <f t="shared" si="33"/>
        <v>4639.4718294700006</v>
      </c>
      <c r="N109" s="154">
        <f t="shared" si="33"/>
        <v>4639.4718294700006</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67">
        <f t="shared" si="33"/>
        <v>23197.359147350002</v>
      </c>
      <c r="J110" s="154">
        <f t="shared" si="33"/>
        <v>4639.4718294700006</v>
      </c>
      <c r="K110" s="154">
        <f t="shared" si="33"/>
        <v>4639.4718294700006</v>
      </c>
      <c r="L110" s="154">
        <f t="shared" si="33"/>
        <v>4639.4718294700006</v>
      </c>
      <c r="M110" s="154">
        <f t="shared" si="33"/>
        <v>4639.4718294700006</v>
      </c>
      <c r="N110" s="154">
        <f t="shared" si="33"/>
        <v>4639.4718294700006</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67">
        <f t="shared" ref="I111:N120" si="34">I40/EXCHANGE_RATE</f>
        <v>23197.359147350002</v>
      </c>
      <c r="J111" s="154">
        <f t="shared" si="34"/>
        <v>4639.4718294700006</v>
      </c>
      <c r="K111" s="154">
        <f t="shared" si="34"/>
        <v>4639.4718294700006</v>
      </c>
      <c r="L111" s="154">
        <f t="shared" si="34"/>
        <v>4639.4718294700006</v>
      </c>
      <c r="M111" s="154">
        <f t="shared" si="34"/>
        <v>4639.4718294700006</v>
      </c>
      <c r="N111" s="154">
        <f t="shared" si="34"/>
        <v>4639.4718294700006</v>
      </c>
    </row>
    <row r="112" spans="6:14" ht="12" x14ac:dyDescent="0.2">
      <c r="F112" s="444"/>
      <c r="G112" s="41" t="str">
        <f>STRAT4_IND4</f>
        <v>Objetivo estratégico 4 Indicador 4</v>
      </c>
      <c r="H112" s="268" t="str">
        <f ca="1">OFFSET(Variables_Lu!$D$10,Basic_Setup!H55,0)</f>
        <v>Nutrition-specific</v>
      </c>
      <c r="I112" s="67">
        <f t="shared" si="34"/>
        <v>0</v>
      </c>
      <c r="J112" s="154">
        <f t="shared" si="34"/>
        <v>0</v>
      </c>
      <c r="K112" s="154">
        <f t="shared" si="34"/>
        <v>0</v>
      </c>
      <c r="L112" s="154">
        <f t="shared" si="34"/>
        <v>0</v>
      </c>
      <c r="M112" s="154">
        <f t="shared" si="34"/>
        <v>0</v>
      </c>
      <c r="N112" s="154">
        <f t="shared" si="34"/>
        <v>0</v>
      </c>
    </row>
    <row r="113" spans="6:14" ht="12.6" thickBot="1" x14ac:dyDescent="0.25">
      <c r="F113" s="445"/>
      <c r="G113" s="275" t="str">
        <f>STRAT4_IND5</f>
        <v>Objetivo estratégico 4 Indicador 5</v>
      </c>
      <c r="H113" s="270" t="str">
        <f ca="1">OFFSET(Variables_Lu!$D$10,Basic_Setup!H56,0)</f>
        <v>Nutrition-specific</v>
      </c>
      <c r="I113" s="67">
        <f t="shared" si="34"/>
        <v>0</v>
      </c>
      <c r="J113" s="154">
        <f t="shared" si="34"/>
        <v>0</v>
      </c>
      <c r="K113" s="154">
        <f t="shared" si="34"/>
        <v>0</v>
      </c>
      <c r="L113" s="154">
        <f t="shared" si="34"/>
        <v>0</v>
      </c>
      <c r="M113" s="154">
        <f t="shared" si="34"/>
        <v>0</v>
      </c>
      <c r="N113" s="154">
        <f t="shared" si="34"/>
        <v>0</v>
      </c>
    </row>
    <row r="114" spans="6:14" ht="12.6" thickBot="1" x14ac:dyDescent="0.25">
      <c r="H114" s="152" t="s">
        <v>110</v>
      </c>
      <c r="I114" s="122">
        <f t="shared" si="34"/>
        <v>69592.077442050009</v>
      </c>
      <c r="J114" s="63">
        <f t="shared" si="34"/>
        <v>13918.415488410001</v>
      </c>
      <c r="K114" s="63">
        <f t="shared" si="34"/>
        <v>13918.415488410001</v>
      </c>
      <c r="L114" s="63">
        <f t="shared" si="34"/>
        <v>13918.415488410001</v>
      </c>
      <c r="M114" s="63">
        <f t="shared" si="34"/>
        <v>13918.415488410001</v>
      </c>
      <c r="N114" s="63">
        <f t="shared" si="34"/>
        <v>13918.415488410001</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67">
        <f t="shared" si="34"/>
        <v>636.59656046666657</v>
      </c>
      <c r="J115" s="154">
        <f t="shared" si="34"/>
        <v>127.31931209333331</v>
      </c>
      <c r="K115" s="154">
        <f t="shared" si="34"/>
        <v>127.31931209333331</v>
      </c>
      <c r="L115" s="154">
        <f t="shared" si="34"/>
        <v>127.31931209333331</v>
      </c>
      <c r="M115" s="154">
        <f t="shared" si="34"/>
        <v>127.31931209333331</v>
      </c>
      <c r="N115" s="154">
        <f t="shared" si="34"/>
        <v>127.31931209333331</v>
      </c>
    </row>
    <row r="116" spans="6:14" ht="22.8" x14ac:dyDescent="0.2">
      <c r="F116" s="444"/>
      <c r="G116" s="42" t="str">
        <f>STRAT5_IND2</f>
        <v>Se promueven dietas saludables y estilos de vida saludables para las personas.</v>
      </c>
      <c r="H116" s="268" t="str">
        <f ca="1">OFFSET(Variables_Lu!$D$10,Basic_Setup!H59,0)</f>
        <v>Nutrition-specific</v>
      </c>
      <c r="I116" s="67">
        <f t="shared" si="34"/>
        <v>636.59656046666657</v>
      </c>
      <c r="J116" s="154">
        <f t="shared" si="34"/>
        <v>127.31931209333331</v>
      </c>
      <c r="K116" s="154">
        <f t="shared" si="34"/>
        <v>127.31931209333331</v>
      </c>
      <c r="L116" s="154">
        <f t="shared" si="34"/>
        <v>127.31931209333331</v>
      </c>
      <c r="M116" s="154">
        <f t="shared" si="34"/>
        <v>127.31931209333331</v>
      </c>
      <c r="N116" s="154">
        <f t="shared" si="34"/>
        <v>127.31931209333331</v>
      </c>
    </row>
    <row r="117" spans="6:14" ht="22.8" x14ac:dyDescent="0.2">
      <c r="F117" s="444"/>
      <c r="G117" s="42" t="str">
        <f>STRAT5_IND3</f>
        <v>Se promueven las buenas prácticas WASH a nivel comunitario y doméstico</v>
      </c>
      <c r="H117" s="268" t="str">
        <f ca="1">OFFSET(Variables_Lu!$D$10,Basic_Setup!H60,0)</f>
        <v>Nutrition-sensitive</v>
      </c>
      <c r="I117" s="67">
        <f t="shared" si="34"/>
        <v>636.59656046666657</v>
      </c>
      <c r="J117" s="154">
        <f t="shared" si="34"/>
        <v>127.31931209333331</v>
      </c>
      <c r="K117" s="154">
        <f t="shared" si="34"/>
        <v>127.31931209333331</v>
      </c>
      <c r="L117" s="154">
        <f t="shared" si="34"/>
        <v>127.31931209333331</v>
      </c>
      <c r="M117" s="154">
        <f t="shared" si="34"/>
        <v>127.31931209333331</v>
      </c>
      <c r="N117" s="154">
        <f t="shared" si="34"/>
        <v>127.31931209333331</v>
      </c>
    </row>
    <row r="118" spans="6:14" ht="12" x14ac:dyDescent="0.2">
      <c r="F118" s="444"/>
      <c r="G118" s="41" t="str">
        <f>STRAT5_IND4</f>
        <v>Objetivo estratégico 5 Indicador 4</v>
      </c>
      <c r="H118" s="268" t="str">
        <f ca="1">OFFSET(Variables_Lu!$D$10,Basic_Setup!H61,0)</f>
        <v>Nutrition-specific</v>
      </c>
      <c r="I118" s="67">
        <f t="shared" si="34"/>
        <v>0</v>
      </c>
      <c r="J118" s="154">
        <f t="shared" si="34"/>
        <v>0</v>
      </c>
      <c r="K118" s="154">
        <f t="shared" si="34"/>
        <v>0</v>
      </c>
      <c r="L118" s="154">
        <f t="shared" si="34"/>
        <v>0</v>
      </c>
      <c r="M118" s="154">
        <f t="shared" si="34"/>
        <v>0</v>
      </c>
      <c r="N118" s="154">
        <f t="shared" si="34"/>
        <v>0</v>
      </c>
    </row>
    <row r="119" spans="6:14" ht="12.6" thickBot="1" x14ac:dyDescent="0.25">
      <c r="F119" s="445"/>
      <c r="G119" s="275" t="str">
        <f>STRAT5_IND5</f>
        <v>Objetivo estratégico 5 Indicador 5</v>
      </c>
      <c r="H119" s="270" t="str">
        <f ca="1">OFFSET(Variables_Lu!$D$10,Basic_Setup!H62,0)</f>
        <v>Nutrition-specific</v>
      </c>
      <c r="I119" s="67">
        <f t="shared" si="34"/>
        <v>0</v>
      </c>
      <c r="J119" s="154">
        <f t="shared" si="34"/>
        <v>0</v>
      </c>
      <c r="K119" s="154">
        <f t="shared" si="34"/>
        <v>0</v>
      </c>
      <c r="L119" s="154">
        <f t="shared" si="34"/>
        <v>0</v>
      </c>
      <c r="M119" s="154">
        <f t="shared" si="34"/>
        <v>0</v>
      </c>
      <c r="N119" s="154">
        <f t="shared" si="34"/>
        <v>0</v>
      </c>
    </row>
    <row r="120" spans="6:14" ht="12.6" thickBot="1" x14ac:dyDescent="0.25">
      <c r="H120" s="152" t="s">
        <v>111</v>
      </c>
      <c r="I120" s="122">
        <f t="shared" si="34"/>
        <v>1909.7896813999996</v>
      </c>
      <c r="J120" s="63">
        <f t="shared" si="34"/>
        <v>381.95793627999996</v>
      </c>
      <c r="K120" s="63">
        <f t="shared" si="34"/>
        <v>381.95793627999996</v>
      </c>
      <c r="L120" s="63">
        <f t="shared" si="34"/>
        <v>381.95793627999996</v>
      </c>
      <c r="M120" s="63">
        <f t="shared" si="34"/>
        <v>381.95793627999996</v>
      </c>
      <c r="N120" s="63">
        <f t="shared" si="34"/>
        <v>381.95793627999996</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67">
        <f t="shared" ref="I121:N130" si="35">I50/EXCHANGE_RATE</f>
        <v>0</v>
      </c>
      <c r="J121" s="154">
        <f t="shared" si="35"/>
        <v>0</v>
      </c>
      <c r="K121" s="154">
        <f t="shared" si="35"/>
        <v>0</v>
      </c>
      <c r="L121" s="154">
        <f t="shared" si="35"/>
        <v>0</v>
      </c>
      <c r="M121" s="154">
        <f t="shared" si="35"/>
        <v>0</v>
      </c>
      <c r="N121" s="154">
        <f t="shared" si="35"/>
        <v>0</v>
      </c>
    </row>
    <row r="122" spans="6:14" ht="12" x14ac:dyDescent="0.2">
      <c r="F122" s="444"/>
      <c r="G122" s="42" t="str">
        <f>STRAT6_IND2</f>
        <v>Objetivo estratégico 6 Indicador 2</v>
      </c>
      <c r="H122" s="268" t="str">
        <f ca="1">OFFSET(Variables_Lu!$D$10,Basic_Setup!H65,0)</f>
        <v>Nutrition-specific</v>
      </c>
      <c r="I122" s="67">
        <f t="shared" si="35"/>
        <v>0</v>
      </c>
      <c r="J122" s="154">
        <f t="shared" si="35"/>
        <v>0</v>
      </c>
      <c r="K122" s="154">
        <f t="shared" si="35"/>
        <v>0</v>
      </c>
      <c r="L122" s="154">
        <f t="shared" si="35"/>
        <v>0</v>
      </c>
      <c r="M122" s="154">
        <f t="shared" si="35"/>
        <v>0</v>
      </c>
      <c r="N122" s="154">
        <f t="shared" si="35"/>
        <v>0</v>
      </c>
    </row>
    <row r="123" spans="6:14" ht="12" x14ac:dyDescent="0.2">
      <c r="F123" s="444"/>
      <c r="G123" s="42" t="str">
        <f>STRAT6_IND3</f>
        <v>Objetivo estratégico 6 Indicador 3</v>
      </c>
      <c r="H123" s="268" t="str">
        <f ca="1">OFFSET(Variables_Lu!$D$10,Basic_Setup!H66,0)</f>
        <v>Nutrition-specific</v>
      </c>
      <c r="I123" s="67">
        <f t="shared" si="35"/>
        <v>0</v>
      </c>
      <c r="J123" s="154">
        <f t="shared" si="35"/>
        <v>0</v>
      </c>
      <c r="K123" s="154">
        <f t="shared" si="35"/>
        <v>0</v>
      </c>
      <c r="L123" s="154">
        <f t="shared" si="35"/>
        <v>0</v>
      </c>
      <c r="M123" s="154">
        <f t="shared" si="35"/>
        <v>0</v>
      </c>
      <c r="N123" s="154">
        <f t="shared" si="35"/>
        <v>0</v>
      </c>
    </row>
    <row r="124" spans="6:14" ht="12" x14ac:dyDescent="0.2">
      <c r="F124" s="444"/>
      <c r="G124" s="41" t="str">
        <f>STRAT6_IND4</f>
        <v>Objetivo estratégico 6 Indicador 4</v>
      </c>
      <c r="H124" s="268" t="str">
        <f ca="1">OFFSET(Variables_Lu!$D$10,Basic_Setup!H67,0)</f>
        <v>Nutrition-specific</v>
      </c>
      <c r="I124" s="67">
        <f t="shared" si="35"/>
        <v>0</v>
      </c>
      <c r="J124" s="154">
        <f t="shared" si="35"/>
        <v>0</v>
      </c>
      <c r="K124" s="154">
        <f t="shared" si="35"/>
        <v>0</v>
      </c>
      <c r="L124" s="154">
        <f t="shared" si="35"/>
        <v>0</v>
      </c>
      <c r="M124" s="154">
        <f t="shared" si="35"/>
        <v>0</v>
      </c>
      <c r="N124" s="154">
        <f t="shared" si="35"/>
        <v>0</v>
      </c>
    </row>
    <row r="125" spans="6:14" ht="12.6" thickBot="1" x14ac:dyDescent="0.25">
      <c r="F125" s="445"/>
      <c r="G125" s="275" t="str">
        <f>STRAT6_IND5</f>
        <v>Objetivo estratégico 6 Indicador 5</v>
      </c>
      <c r="H125" s="270" t="str">
        <f ca="1">OFFSET(Variables_Lu!$D$10,Basic_Setup!H68,0)</f>
        <v>Nutrition-specific</v>
      </c>
      <c r="I125" s="67">
        <f t="shared" si="35"/>
        <v>0</v>
      </c>
      <c r="J125" s="154">
        <f t="shared" si="35"/>
        <v>0</v>
      </c>
      <c r="K125" s="154">
        <f t="shared" si="35"/>
        <v>0</v>
      </c>
      <c r="L125" s="154">
        <f t="shared" si="35"/>
        <v>0</v>
      </c>
      <c r="M125" s="154">
        <f t="shared" si="35"/>
        <v>0</v>
      </c>
      <c r="N125" s="154">
        <f t="shared" si="35"/>
        <v>0</v>
      </c>
    </row>
    <row r="126" spans="6:14" ht="12.6" thickBot="1" x14ac:dyDescent="0.25">
      <c r="H126" s="152" t="s">
        <v>159</v>
      </c>
      <c r="I126" s="122">
        <f t="shared" si="35"/>
        <v>0</v>
      </c>
      <c r="J126" s="63">
        <f t="shared" si="35"/>
        <v>0</v>
      </c>
      <c r="K126" s="63">
        <f t="shared" si="35"/>
        <v>0</v>
      </c>
      <c r="L126" s="63">
        <f t="shared" si="35"/>
        <v>0</v>
      </c>
      <c r="M126" s="63">
        <f t="shared" si="35"/>
        <v>0</v>
      </c>
      <c r="N126" s="63">
        <f t="shared" si="35"/>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67">
        <f t="shared" si="35"/>
        <v>0</v>
      </c>
      <c r="J127" s="154">
        <f t="shared" si="35"/>
        <v>0</v>
      </c>
      <c r="K127" s="154">
        <f t="shared" si="35"/>
        <v>0</v>
      </c>
      <c r="L127" s="154">
        <f t="shared" si="35"/>
        <v>0</v>
      </c>
      <c r="M127" s="154">
        <f t="shared" si="35"/>
        <v>0</v>
      </c>
      <c r="N127" s="154">
        <f t="shared" si="35"/>
        <v>0</v>
      </c>
    </row>
    <row r="128" spans="6:14" ht="12" x14ac:dyDescent="0.2">
      <c r="F128" s="444"/>
      <c r="G128" s="42" t="str">
        <f>STRAT7_IND2</f>
        <v>Objetivo estratégico 7 Indicador 2</v>
      </c>
      <c r="H128" s="268" t="str">
        <f ca="1">OFFSET(Variables_Lu!$D$10,Basic_Setup!H71,0)</f>
        <v>Nutrition-specific</v>
      </c>
      <c r="I128" s="67">
        <f t="shared" si="35"/>
        <v>0</v>
      </c>
      <c r="J128" s="154">
        <f t="shared" si="35"/>
        <v>0</v>
      </c>
      <c r="K128" s="154">
        <f t="shared" si="35"/>
        <v>0</v>
      </c>
      <c r="L128" s="154">
        <f t="shared" si="35"/>
        <v>0</v>
      </c>
      <c r="M128" s="154">
        <f t="shared" si="35"/>
        <v>0</v>
      </c>
      <c r="N128" s="154">
        <f t="shared" si="35"/>
        <v>0</v>
      </c>
    </row>
    <row r="129" spans="6:14" ht="12" x14ac:dyDescent="0.2">
      <c r="F129" s="444"/>
      <c r="G129" s="42" t="str">
        <f>STRAT7_IND3</f>
        <v>Objetivo estratégico 7 Indicador 3</v>
      </c>
      <c r="H129" s="268" t="str">
        <f ca="1">OFFSET(Variables_Lu!$D$10,Basic_Setup!H72,0)</f>
        <v>Nutrition-specific</v>
      </c>
      <c r="I129" s="67">
        <f t="shared" si="35"/>
        <v>0</v>
      </c>
      <c r="J129" s="154">
        <f t="shared" si="35"/>
        <v>0</v>
      </c>
      <c r="K129" s="154">
        <f t="shared" si="35"/>
        <v>0</v>
      </c>
      <c r="L129" s="154">
        <f t="shared" si="35"/>
        <v>0</v>
      </c>
      <c r="M129" s="154">
        <f t="shared" si="35"/>
        <v>0</v>
      </c>
      <c r="N129" s="154">
        <f t="shared" si="35"/>
        <v>0</v>
      </c>
    </row>
    <row r="130" spans="6:14" ht="12" x14ac:dyDescent="0.2">
      <c r="F130" s="444"/>
      <c r="G130" s="41" t="str">
        <f>STRAT7_IND4</f>
        <v>Objetivo estratégico 7 Indicador 4</v>
      </c>
      <c r="H130" s="268" t="str">
        <f ca="1">OFFSET(Variables_Lu!$D$10,Basic_Setup!H73,0)</f>
        <v>Nutrition-specific</v>
      </c>
      <c r="I130" s="67">
        <f t="shared" si="35"/>
        <v>0</v>
      </c>
      <c r="J130" s="154">
        <f t="shared" si="35"/>
        <v>0</v>
      </c>
      <c r="K130" s="154">
        <f t="shared" si="35"/>
        <v>0</v>
      </c>
      <c r="L130" s="154">
        <f t="shared" si="35"/>
        <v>0</v>
      </c>
      <c r="M130" s="154">
        <f t="shared" si="35"/>
        <v>0</v>
      </c>
      <c r="N130" s="154">
        <f t="shared" si="35"/>
        <v>0</v>
      </c>
    </row>
    <row r="131" spans="6:14" ht="12.6" thickBot="1" x14ac:dyDescent="0.25">
      <c r="F131" s="445"/>
      <c r="G131" s="275" t="str">
        <f>STRAT7_IND5</f>
        <v>Objetivo estratégico 7 Indicador 5</v>
      </c>
      <c r="H131" s="270" t="str">
        <f ca="1">OFFSET(Variables_Lu!$D$10,Basic_Setup!H74,0)</f>
        <v>Nutrition-specific</v>
      </c>
      <c r="I131" s="67">
        <f t="shared" ref="I131:N140" si="36">I60/EXCHANGE_RATE</f>
        <v>0</v>
      </c>
      <c r="J131" s="154">
        <f t="shared" si="36"/>
        <v>0</v>
      </c>
      <c r="K131" s="154">
        <f t="shared" si="36"/>
        <v>0</v>
      </c>
      <c r="L131" s="154">
        <f t="shared" si="36"/>
        <v>0</v>
      </c>
      <c r="M131" s="154">
        <f t="shared" si="36"/>
        <v>0</v>
      </c>
      <c r="N131" s="154">
        <f t="shared" si="36"/>
        <v>0</v>
      </c>
    </row>
    <row r="132" spans="6:14" ht="12.6" thickBot="1" x14ac:dyDescent="0.25">
      <c r="H132" s="152" t="s">
        <v>160</v>
      </c>
      <c r="I132" s="122">
        <f t="shared" si="36"/>
        <v>0</v>
      </c>
      <c r="J132" s="63">
        <f t="shared" si="36"/>
        <v>0</v>
      </c>
      <c r="K132" s="63">
        <f t="shared" si="36"/>
        <v>0</v>
      </c>
      <c r="L132" s="63">
        <f t="shared" si="36"/>
        <v>0</v>
      </c>
      <c r="M132" s="63">
        <f t="shared" si="36"/>
        <v>0</v>
      </c>
      <c r="N132" s="63">
        <f t="shared" si="36"/>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67">
        <f t="shared" si="36"/>
        <v>0</v>
      </c>
      <c r="J133" s="154">
        <f t="shared" si="36"/>
        <v>0</v>
      </c>
      <c r="K133" s="154">
        <f t="shared" si="36"/>
        <v>0</v>
      </c>
      <c r="L133" s="154">
        <f t="shared" si="36"/>
        <v>0</v>
      </c>
      <c r="M133" s="154">
        <f t="shared" si="36"/>
        <v>0</v>
      </c>
      <c r="N133" s="154">
        <f t="shared" si="36"/>
        <v>0</v>
      </c>
    </row>
    <row r="134" spans="6:14" ht="12" x14ac:dyDescent="0.2">
      <c r="F134" s="444"/>
      <c r="G134" s="42" t="str">
        <f>STRAT8_IND2</f>
        <v>Objetivo estratégico 8 Indicador 2</v>
      </c>
      <c r="H134" s="268" t="str">
        <f ca="1">OFFSET(Variables_Lu!$D$10,Basic_Setup!H77,0)</f>
        <v>Nutrition-specific</v>
      </c>
      <c r="I134" s="67">
        <f t="shared" si="36"/>
        <v>0</v>
      </c>
      <c r="J134" s="154">
        <f t="shared" si="36"/>
        <v>0</v>
      </c>
      <c r="K134" s="154">
        <f t="shared" si="36"/>
        <v>0</v>
      </c>
      <c r="L134" s="154">
        <f t="shared" si="36"/>
        <v>0</v>
      </c>
      <c r="M134" s="154">
        <f t="shared" si="36"/>
        <v>0</v>
      </c>
      <c r="N134" s="154">
        <f t="shared" si="36"/>
        <v>0</v>
      </c>
    </row>
    <row r="135" spans="6:14" ht="12" x14ac:dyDescent="0.2">
      <c r="F135" s="444"/>
      <c r="G135" s="42" t="str">
        <f>STRAT8_IND3</f>
        <v>Objetivo estratégico 8 Indicador 3</v>
      </c>
      <c r="H135" s="268" t="str">
        <f ca="1">OFFSET(Variables_Lu!$D$10,Basic_Setup!H78,0)</f>
        <v>Nutrition-specific</v>
      </c>
      <c r="I135" s="67">
        <f t="shared" si="36"/>
        <v>0</v>
      </c>
      <c r="J135" s="154">
        <f t="shared" si="36"/>
        <v>0</v>
      </c>
      <c r="K135" s="154">
        <f t="shared" si="36"/>
        <v>0</v>
      </c>
      <c r="L135" s="154">
        <f t="shared" si="36"/>
        <v>0</v>
      </c>
      <c r="M135" s="154">
        <f t="shared" si="36"/>
        <v>0</v>
      </c>
      <c r="N135" s="154">
        <f t="shared" si="36"/>
        <v>0</v>
      </c>
    </row>
    <row r="136" spans="6:14" ht="12" x14ac:dyDescent="0.2">
      <c r="F136" s="444"/>
      <c r="G136" s="41" t="str">
        <f>STRAT8_IND4</f>
        <v>Objetivo estratégico 8 Indicador 4</v>
      </c>
      <c r="H136" s="268" t="str">
        <f ca="1">OFFSET(Variables_Lu!$D$10,Basic_Setup!H79,0)</f>
        <v>Nutrition-specific</v>
      </c>
      <c r="I136" s="67">
        <f t="shared" si="36"/>
        <v>0</v>
      </c>
      <c r="J136" s="154">
        <f t="shared" si="36"/>
        <v>0</v>
      </c>
      <c r="K136" s="154">
        <f t="shared" si="36"/>
        <v>0</v>
      </c>
      <c r="L136" s="154">
        <f t="shared" si="36"/>
        <v>0</v>
      </c>
      <c r="M136" s="154">
        <f t="shared" si="36"/>
        <v>0</v>
      </c>
      <c r="N136" s="154">
        <f t="shared" si="36"/>
        <v>0</v>
      </c>
    </row>
    <row r="137" spans="6:14" ht="12.6" thickBot="1" x14ac:dyDescent="0.25">
      <c r="F137" s="445"/>
      <c r="G137" s="275" t="str">
        <f>STRAT8_IND5</f>
        <v>Objetivo estratégico 8 Indicador 5</v>
      </c>
      <c r="H137" s="270" t="str">
        <f ca="1">OFFSET(Variables_Lu!$D$10,Basic_Setup!H80,0)</f>
        <v>Nutrition-specific</v>
      </c>
      <c r="I137" s="67">
        <f t="shared" si="36"/>
        <v>0</v>
      </c>
      <c r="J137" s="154">
        <f t="shared" si="36"/>
        <v>0</v>
      </c>
      <c r="K137" s="154">
        <f t="shared" si="36"/>
        <v>0</v>
      </c>
      <c r="L137" s="154">
        <f t="shared" si="36"/>
        <v>0</v>
      </c>
      <c r="M137" s="154">
        <f t="shared" si="36"/>
        <v>0</v>
      </c>
      <c r="N137" s="154">
        <f t="shared" si="36"/>
        <v>0</v>
      </c>
    </row>
    <row r="138" spans="6:14" ht="12.6" thickBot="1" x14ac:dyDescent="0.25">
      <c r="H138" s="152" t="s">
        <v>161</v>
      </c>
      <c r="I138" s="122">
        <f t="shared" si="36"/>
        <v>0</v>
      </c>
      <c r="J138" s="63">
        <f t="shared" si="36"/>
        <v>0</v>
      </c>
      <c r="K138" s="63">
        <f t="shared" si="36"/>
        <v>0</v>
      </c>
      <c r="L138" s="63">
        <f t="shared" si="36"/>
        <v>0</v>
      </c>
      <c r="M138" s="63">
        <f t="shared" si="36"/>
        <v>0</v>
      </c>
      <c r="N138" s="63">
        <f t="shared" si="36"/>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67">
        <f t="shared" si="36"/>
        <v>0</v>
      </c>
      <c r="J139" s="154">
        <f t="shared" si="36"/>
        <v>0</v>
      </c>
      <c r="K139" s="154">
        <f t="shared" si="36"/>
        <v>0</v>
      </c>
      <c r="L139" s="154">
        <f t="shared" si="36"/>
        <v>0</v>
      </c>
      <c r="M139" s="154">
        <f t="shared" si="36"/>
        <v>0</v>
      </c>
      <c r="N139" s="154">
        <f t="shared" si="36"/>
        <v>0</v>
      </c>
    </row>
    <row r="140" spans="6:14" ht="12" x14ac:dyDescent="0.2">
      <c r="F140" s="444"/>
      <c r="G140" s="42" t="str">
        <f>STRAT9_IND2</f>
        <v>Objetivo estratégico 9 Indicador 2</v>
      </c>
      <c r="H140" s="268" t="str">
        <f ca="1">OFFSET(Variables_Lu!$D$10,Basic_Setup!H83,0)</f>
        <v>Nutrition-specific</v>
      </c>
      <c r="I140" s="67">
        <f t="shared" si="36"/>
        <v>0</v>
      </c>
      <c r="J140" s="154">
        <f t="shared" si="36"/>
        <v>0</v>
      </c>
      <c r="K140" s="154">
        <f t="shared" si="36"/>
        <v>0</v>
      </c>
      <c r="L140" s="154">
        <f t="shared" si="36"/>
        <v>0</v>
      </c>
      <c r="M140" s="154">
        <f t="shared" si="36"/>
        <v>0</v>
      </c>
      <c r="N140" s="154">
        <f t="shared" si="36"/>
        <v>0</v>
      </c>
    </row>
    <row r="141" spans="6:14" ht="12" x14ac:dyDescent="0.2">
      <c r="F141" s="444"/>
      <c r="G141" s="42" t="str">
        <f>STRAT9_IND3</f>
        <v>Objetivo estratégico 9 Indicador 3</v>
      </c>
      <c r="H141" s="268" t="str">
        <f ca="1">OFFSET(Variables_Lu!$D$10,Basic_Setup!H84,0)</f>
        <v>Nutrition-specific</v>
      </c>
      <c r="I141" s="67">
        <f t="shared" ref="I141:N150" si="37">I70/EXCHANGE_RATE</f>
        <v>0</v>
      </c>
      <c r="J141" s="154">
        <f t="shared" si="37"/>
        <v>0</v>
      </c>
      <c r="K141" s="154">
        <f t="shared" si="37"/>
        <v>0</v>
      </c>
      <c r="L141" s="154">
        <f t="shared" si="37"/>
        <v>0</v>
      </c>
      <c r="M141" s="154">
        <f t="shared" si="37"/>
        <v>0</v>
      </c>
      <c r="N141" s="154">
        <f t="shared" si="37"/>
        <v>0</v>
      </c>
    </row>
    <row r="142" spans="6:14" ht="12" x14ac:dyDescent="0.2">
      <c r="F142" s="444"/>
      <c r="G142" s="41" t="str">
        <f>STRAT9_IND4</f>
        <v>Objetivo estratégico 9 Indicador 4</v>
      </c>
      <c r="H142" s="268" t="str">
        <f ca="1">OFFSET(Variables_Lu!$D$10,Basic_Setup!H85,0)</f>
        <v>Nutrition-specific</v>
      </c>
      <c r="I142" s="67">
        <f t="shared" si="37"/>
        <v>0</v>
      </c>
      <c r="J142" s="154">
        <f t="shared" si="37"/>
        <v>0</v>
      </c>
      <c r="K142" s="154">
        <f t="shared" si="37"/>
        <v>0</v>
      </c>
      <c r="L142" s="154">
        <f t="shared" si="37"/>
        <v>0</v>
      </c>
      <c r="M142" s="154">
        <f t="shared" si="37"/>
        <v>0</v>
      </c>
      <c r="N142" s="154">
        <f t="shared" si="37"/>
        <v>0</v>
      </c>
    </row>
    <row r="143" spans="6:14" ht="12.6" thickBot="1" x14ac:dyDescent="0.25">
      <c r="F143" s="445"/>
      <c r="G143" s="275" t="str">
        <f>STRAT9_IND5</f>
        <v>Objetivo estratégico 9 Indicador 5</v>
      </c>
      <c r="H143" s="270" t="str">
        <f ca="1">OFFSET(Variables_Lu!$D$10,Basic_Setup!H86,0)</f>
        <v>Nutrition-specific</v>
      </c>
      <c r="I143" s="67">
        <f t="shared" si="37"/>
        <v>0</v>
      </c>
      <c r="J143" s="154">
        <f t="shared" si="37"/>
        <v>0</v>
      </c>
      <c r="K143" s="154">
        <f t="shared" si="37"/>
        <v>0</v>
      </c>
      <c r="L143" s="154">
        <f t="shared" si="37"/>
        <v>0</v>
      </c>
      <c r="M143" s="154">
        <f t="shared" si="37"/>
        <v>0</v>
      </c>
      <c r="N143" s="154">
        <f t="shared" si="37"/>
        <v>0</v>
      </c>
    </row>
    <row r="144" spans="6:14" ht="12.6" thickBot="1" x14ac:dyDescent="0.25">
      <c r="H144" s="152" t="s">
        <v>162</v>
      </c>
      <c r="I144" s="122">
        <f t="shared" si="37"/>
        <v>0</v>
      </c>
      <c r="J144" s="63">
        <f t="shared" si="37"/>
        <v>0</v>
      </c>
      <c r="K144" s="63">
        <f t="shared" si="37"/>
        <v>0</v>
      </c>
      <c r="L144" s="63">
        <f t="shared" si="37"/>
        <v>0</v>
      </c>
      <c r="M144" s="63">
        <f t="shared" si="37"/>
        <v>0</v>
      </c>
      <c r="N144" s="63">
        <f t="shared" si="37"/>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67">
        <f t="shared" si="37"/>
        <v>0</v>
      </c>
      <c r="J145" s="154">
        <f t="shared" si="37"/>
        <v>0</v>
      </c>
      <c r="K145" s="154">
        <f t="shared" si="37"/>
        <v>0</v>
      </c>
      <c r="L145" s="154">
        <f t="shared" si="37"/>
        <v>0</v>
      </c>
      <c r="M145" s="154">
        <f t="shared" si="37"/>
        <v>0</v>
      </c>
      <c r="N145" s="154">
        <f t="shared" si="37"/>
        <v>0</v>
      </c>
    </row>
    <row r="146" spans="1:14" ht="12" x14ac:dyDescent="0.2">
      <c r="F146" s="444"/>
      <c r="G146" s="42" t="str">
        <f>STRAT10_IND2</f>
        <v>Objetivo estratégico 10 Indicador 2</v>
      </c>
      <c r="H146" s="268" t="str">
        <f ca="1">OFFSET(Variables_Lu!$D$10,Basic_Setup!H89,0)</f>
        <v>Nutrition-specific</v>
      </c>
      <c r="I146" s="67">
        <f t="shared" si="37"/>
        <v>0</v>
      </c>
      <c r="J146" s="154">
        <f t="shared" si="37"/>
        <v>0</v>
      </c>
      <c r="K146" s="154">
        <f t="shared" si="37"/>
        <v>0</v>
      </c>
      <c r="L146" s="154">
        <f t="shared" si="37"/>
        <v>0</v>
      </c>
      <c r="M146" s="154">
        <f t="shared" si="37"/>
        <v>0</v>
      </c>
      <c r="N146" s="154">
        <f t="shared" si="37"/>
        <v>0</v>
      </c>
    </row>
    <row r="147" spans="1:14" ht="12" x14ac:dyDescent="0.2">
      <c r="F147" s="444"/>
      <c r="G147" s="42" t="str">
        <f>STRAT10_IND3</f>
        <v>Objetivo estratégico 10 Indicador 3</v>
      </c>
      <c r="H147" s="268" t="str">
        <f ca="1">OFFSET(Variables_Lu!$D$10,Basic_Setup!H90,0)</f>
        <v>Nutrition-specific</v>
      </c>
      <c r="I147" s="67">
        <f t="shared" si="37"/>
        <v>0</v>
      </c>
      <c r="J147" s="154">
        <f t="shared" si="37"/>
        <v>0</v>
      </c>
      <c r="K147" s="154">
        <f t="shared" si="37"/>
        <v>0</v>
      </c>
      <c r="L147" s="154">
        <f t="shared" si="37"/>
        <v>0</v>
      </c>
      <c r="M147" s="154">
        <f t="shared" si="37"/>
        <v>0</v>
      </c>
      <c r="N147" s="154">
        <f t="shared" si="37"/>
        <v>0</v>
      </c>
    </row>
    <row r="148" spans="1:14" ht="12" x14ac:dyDescent="0.2">
      <c r="F148" s="444"/>
      <c r="G148" s="41" t="str">
        <f>STRAT10_IND4</f>
        <v>Objetivo estratégico 10 Indicador 4</v>
      </c>
      <c r="H148" s="268" t="str">
        <f ca="1">OFFSET(Variables_Lu!$D$10,Basic_Setup!H91,0)</f>
        <v>Nutrition-specific</v>
      </c>
      <c r="I148" s="67">
        <f t="shared" si="37"/>
        <v>0</v>
      </c>
      <c r="J148" s="154">
        <f t="shared" si="37"/>
        <v>0</v>
      </c>
      <c r="K148" s="154">
        <f t="shared" si="37"/>
        <v>0</v>
      </c>
      <c r="L148" s="154">
        <f t="shared" si="37"/>
        <v>0</v>
      </c>
      <c r="M148" s="154">
        <f t="shared" si="37"/>
        <v>0</v>
      </c>
      <c r="N148" s="154">
        <f t="shared" si="37"/>
        <v>0</v>
      </c>
    </row>
    <row r="149" spans="1:14" ht="12.6" thickBot="1" x14ac:dyDescent="0.25">
      <c r="F149" s="445"/>
      <c r="G149" s="275" t="str">
        <f>STRAT10_IND5</f>
        <v>Objetivo estratégico 10 Indicador 5</v>
      </c>
      <c r="H149" s="270" t="str">
        <f ca="1">OFFSET(Variables_Lu!$D$10,Basic_Setup!H92,0)</f>
        <v>Nutrition-specific</v>
      </c>
      <c r="I149" s="67">
        <f t="shared" si="37"/>
        <v>0</v>
      </c>
      <c r="J149" s="154">
        <f t="shared" si="37"/>
        <v>0</v>
      </c>
      <c r="K149" s="154">
        <f t="shared" si="37"/>
        <v>0</v>
      </c>
      <c r="L149" s="154">
        <f t="shared" si="37"/>
        <v>0</v>
      </c>
      <c r="M149" s="154">
        <f t="shared" si="37"/>
        <v>0</v>
      </c>
      <c r="N149" s="154">
        <f t="shared" si="37"/>
        <v>0</v>
      </c>
    </row>
    <row r="150" spans="1:14" ht="12" x14ac:dyDescent="0.2">
      <c r="H150" s="152" t="s">
        <v>163</v>
      </c>
      <c r="I150" s="122">
        <f t="shared" si="37"/>
        <v>0</v>
      </c>
      <c r="J150" s="63">
        <f t="shared" si="37"/>
        <v>0</v>
      </c>
      <c r="K150" s="63">
        <f t="shared" si="37"/>
        <v>0</v>
      </c>
      <c r="L150" s="63">
        <f t="shared" si="37"/>
        <v>0</v>
      </c>
      <c r="M150" s="63">
        <f t="shared" si="37"/>
        <v>0</v>
      </c>
      <c r="N150" s="63">
        <f t="shared" si="37"/>
        <v>0</v>
      </c>
    </row>
    <row r="151" spans="1:14" x14ac:dyDescent="0.2">
      <c r="I151" s="231"/>
      <c r="J151" s="231"/>
      <c r="K151" s="231"/>
      <c r="L151" s="231"/>
      <c r="M151" s="231"/>
      <c r="N151" s="231"/>
    </row>
    <row r="152" spans="1:14" ht="12.6" thickBot="1" x14ac:dyDescent="0.25">
      <c r="H152" s="149" t="str">
        <f>"TOTAL - "&amp;$F$12</f>
        <v>TOTAL - Ministerio de Servicio Público</v>
      </c>
      <c r="I152" s="65">
        <f t="shared" ref="I152:N152" si="38">I81/EXCHANGE_RATE</f>
        <v>164637.04149999999</v>
      </c>
      <c r="J152" s="65">
        <f t="shared" si="38"/>
        <v>32927.408300000003</v>
      </c>
      <c r="K152" s="65">
        <f t="shared" si="38"/>
        <v>32927.408300000003</v>
      </c>
      <c r="L152" s="65">
        <f t="shared" si="38"/>
        <v>32927.408300000003</v>
      </c>
      <c r="M152" s="65">
        <f t="shared" si="38"/>
        <v>32927.408300000003</v>
      </c>
      <c r="N152" s="65">
        <f t="shared" si="38"/>
        <v>32927.408300000003</v>
      </c>
    </row>
    <row r="153" spans="1:14" ht="12" x14ac:dyDescent="0.2">
      <c r="I153" s="149"/>
    </row>
    <row r="155" spans="1:14" x14ac:dyDescent="0.2">
      <c r="A155" s="39" t="s">
        <v>76</v>
      </c>
      <c r="B155" s="40" t="str">
        <f>"Summary of "&amp;Government5&amp;" - by Result/Indicator Type"</f>
        <v>Summary of Ministerio de Servicio Público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f ca="1">I159/$I$162</f>
        <v>0.5821666666666665</v>
      </c>
      <c r="I159" s="68">
        <f ca="1">SUM(J159:N159)</f>
        <v>172523155.78784999</v>
      </c>
      <c r="J159" s="325">
        <f t="shared" ref="J159:N161" ca="1" si="39">J166*EXCHANGE_RATE</f>
        <v>34504631.157569997</v>
      </c>
      <c r="K159" s="325">
        <f t="shared" ca="1" si="39"/>
        <v>34504631.157569997</v>
      </c>
      <c r="L159" s="325">
        <f t="shared" ca="1" si="39"/>
        <v>34504631.157569997</v>
      </c>
      <c r="M159" s="325">
        <f t="shared" ca="1" si="39"/>
        <v>34504631.157569997</v>
      </c>
      <c r="N159" s="325">
        <f t="shared" ca="1" si="39"/>
        <v>34504631.157569997</v>
      </c>
    </row>
    <row r="160" spans="1:14" ht="12" x14ac:dyDescent="0.2">
      <c r="F160" s="38" t="str">
        <f>Lu_Nutrition_Sensitive</f>
        <v>Nutrition-sensitive</v>
      </c>
      <c r="G160" s="38"/>
      <c r="H160" s="289">
        <f t="shared" ref="H160:H161" ca="1" si="40">I160/$I$162</f>
        <v>0.41623333333333329</v>
      </c>
      <c r="I160" s="69">
        <f ca="1">SUM(J160:N160)</f>
        <v>123349364.23263</v>
      </c>
      <c r="J160" s="325">
        <f t="shared" ca="1" si="39"/>
        <v>24669872.846526001</v>
      </c>
      <c r="K160" s="325">
        <f t="shared" ca="1" si="39"/>
        <v>24669872.846526001</v>
      </c>
      <c r="L160" s="325">
        <f t="shared" ca="1" si="39"/>
        <v>24669872.846526001</v>
      </c>
      <c r="M160" s="325">
        <f t="shared" ca="1" si="39"/>
        <v>24669872.846526001</v>
      </c>
      <c r="N160" s="325">
        <f t="shared" ca="1" si="39"/>
        <v>24669872.846526001</v>
      </c>
    </row>
    <row r="161" spans="6:14" ht="12" x14ac:dyDescent="0.2">
      <c r="F161" s="38" t="str">
        <f>Lu_Governance</f>
        <v>Governance</v>
      </c>
      <c r="G161" s="38"/>
      <c r="H161" s="289">
        <f t="shared" ca="1" si="40"/>
        <v>1.5999999999999999E-3</v>
      </c>
      <c r="I161" s="69">
        <f ca="1">SUM(J161:N161)</f>
        <v>474154.67952000001</v>
      </c>
      <c r="J161" s="325">
        <f t="shared" ca="1" si="39"/>
        <v>94830.935903999998</v>
      </c>
      <c r="K161" s="325">
        <f t="shared" ca="1" si="39"/>
        <v>94830.935903999998</v>
      </c>
      <c r="L161" s="325">
        <f t="shared" ca="1" si="39"/>
        <v>94830.935903999998</v>
      </c>
      <c r="M161" s="325">
        <f t="shared" ca="1" si="39"/>
        <v>94830.935903999998</v>
      </c>
      <c r="N161" s="325">
        <f t="shared" ca="1" si="39"/>
        <v>94830.935903999998</v>
      </c>
    </row>
    <row r="162" spans="6:14" ht="12" x14ac:dyDescent="0.2">
      <c r="F162" s="324" t="str">
        <f>"TOTAL - "&amp;Summary_Govt_Contributions!$F$12&amp;" ("&amp;CURR_LCU_ABBR&amp;")"</f>
        <v>TOTAL - TODAS las contribuciones de las agencias gubernamentales (GOZ)</v>
      </c>
      <c r="G162" s="74"/>
      <c r="H162" s="291">
        <f ca="1">SUM(H159:H161)</f>
        <v>0.99999999999999978</v>
      </c>
      <c r="I162" s="57">
        <f ca="1">SUM(J162:N162)</f>
        <v>296346674.70000005</v>
      </c>
      <c r="J162" s="55">
        <f ca="1">SUM(J159:J161)</f>
        <v>59269334.940000005</v>
      </c>
      <c r="K162" s="55">
        <f t="shared" ref="K162:N162" ca="1" si="41">SUM(K159:K161)</f>
        <v>59269334.940000005</v>
      </c>
      <c r="L162" s="55">
        <f t="shared" ca="1" si="41"/>
        <v>59269334.940000005</v>
      </c>
      <c r="M162" s="55">
        <f t="shared" ca="1" si="41"/>
        <v>59269334.940000005</v>
      </c>
      <c r="N162" s="55">
        <f t="shared" ca="1" si="41"/>
        <v>59269334.940000005</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f ca="1">I166/$I$169</f>
        <v>0.5821666666666665</v>
      </c>
      <c r="I166" s="404">
        <f ca="1">SUM(J166:N166)</f>
        <v>95846.197659916652</v>
      </c>
      <c r="J166" s="405">
        <f ca="1">SUMIF($H$91:$H$149,Lu_Nutrition_Specific,J$91:J$149)</f>
        <v>19169.23953198333</v>
      </c>
      <c r="K166" s="405">
        <f ca="1">SUMIF($H$91:$H$149,Lu_Nutrition_Specific,K$91:K$149)</f>
        <v>19169.23953198333</v>
      </c>
      <c r="L166" s="405">
        <f ca="1">SUMIF($H$91:$H$149,Lu_Nutrition_Specific,L$91:L$149)</f>
        <v>19169.23953198333</v>
      </c>
      <c r="M166" s="405">
        <f ca="1">SUMIF($H$91:$H$149,Lu_Nutrition_Specific,M$91:M$149)</f>
        <v>19169.23953198333</v>
      </c>
      <c r="N166" s="405">
        <f ca="1">SUMIF($H$91:$H$149,Lu_Nutrition_Specific,N$91:N$149)</f>
        <v>19169.23953198333</v>
      </c>
    </row>
    <row r="167" spans="6:14" ht="12" x14ac:dyDescent="0.2">
      <c r="F167" t="str">
        <f>Lu_Nutrition_Sensitive</f>
        <v>Nutrition-sensitive</v>
      </c>
      <c r="H167" s="289">
        <f t="shared" ref="H167:H168" ca="1" si="42">I167/$I$169</f>
        <v>0.41623333333333334</v>
      </c>
      <c r="I167" s="404">
        <f t="shared" ref="I167:I168" ca="1" si="43">SUM(J167:N167)</f>
        <v>68527.42457368334</v>
      </c>
      <c r="J167" s="405">
        <f ca="1">SUMIF($H$91:$H$149,Lu_Nutrition_Sensitive,J$91:J$149)</f>
        <v>13705.484914736668</v>
      </c>
      <c r="K167" s="405">
        <f ca="1">SUMIF($H$91:$H$149,Lu_Nutrition_Sensitive,K$91:K$149)</f>
        <v>13705.484914736668</v>
      </c>
      <c r="L167" s="405">
        <f ca="1">SUMIF($H$91:$H$149,Lu_Nutrition_Sensitive,L$91:L$149)</f>
        <v>13705.484914736668</v>
      </c>
      <c r="M167" s="405">
        <f ca="1">SUMIF($H$91:$H$149,Lu_Nutrition_Sensitive,M$91:M$149)</f>
        <v>13705.484914736668</v>
      </c>
      <c r="N167" s="405">
        <f ca="1">SUMIF($H$91:$H$149,Lu_Nutrition_Sensitive,N$91:N$149)</f>
        <v>13705.484914736668</v>
      </c>
    </row>
    <row r="168" spans="6:14" ht="12" x14ac:dyDescent="0.2">
      <c r="F168" t="str">
        <f>Lu_Governance</f>
        <v>Governance</v>
      </c>
      <c r="H168" s="289">
        <f t="shared" ca="1" si="42"/>
        <v>1.5999999999999999E-3</v>
      </c>
      <c r="I168" s="404">
        <f t="shared" ca="1" si="43"/>
        <v>263.41926640000003</v>
      </c>
      <c r="J168" s="405">
        <f ca="1">SUMIF($H$91:$H$149,Lu_Governance,J$91:J$149)</f>
        <v>52.683853280000001</v>
      </c>
      <c r="K168" s="405">
        <f ca="1">SUMIF($H$91:$H$149,Lu_Governance,K$91:K$149)</f>
        <v>52.683853280000001</v>
      </c>
      <c r="L168" s="405">
        <f ca="1">SUMIF($H$91:$H$149,Lu_Governance,L$91:L$149)</f>
        <v>52.683853280000001</v>
      </c>
      <c r="M168" s="405">
        <f ca="1">SUMIF($H$91:$H$149,Lu_Governance,M$91:M$149)</f>
        <v>52.683853280000001</v>
      </c>
      <c r="N168" s="405">
        <f ca="1">SUMIF($H$91:$H$149,Lu_Governance,N$91:N$149)</f>
        <v>52.683853280000001</v>
      </c>
    </row>
    <row r="169" spans="6:14" ht="12" x14ac:dyDescent="0.2">
      <c r="F169" s="324" t="str">
        <f>"TOTAL - "&amp;Summary_Govt_Contributions!$F$12&amp;" ("&amp;CURR_INT_ABBR&amp;")"</f>
        <v>TOTAL - TODAS las contribuciones de las agencias gubernamentales (USD)</v>
      </c>
      <c r="G169" s="74"/>
      <c r="H169" s="291">
        <f ca="1">SUM(H166:H168)</f>
        <v>0.99999999999999989</v>
      </c>
      <c r="I169" s="295">
        <f ca="1">SUM(J169:N169)</f>
        <v>164637.04150000002</v>
      </c>
      <c r="J169" s="55">
        <f ca="1">SUM(J166:J168)</f>
        <v>32927.408300000003</v>
      </c>
      <c r="K169" s="55">
        <f t="shared" ref="K169:N169" ca="1" si="44">SUM(K166:K168)</f>
        <v>32927.408300000003</v>
      </c>
      <c r="L169" s="55">
        <f t="shared" ca="1" si="44"/>
        <v>32927.408300000003</v>
      </c>
      <c r="M169" s="55">
        <f t="shared" ca="1" si="44"/>
        <v>32927.408300000003</v>
      </c>
      <c r="N169" s="55">
        <f t="shared" ca="1" si="44"/>
        <v>32927.408300000003</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4 J74:N78 J26:N30 J32:N36 J38:N42 J50:N54 J56:N60 J62:N66 J68:N72 J145:N149 J139:N143 J127:N131 J133:N137 J115:N119 J109:N113 J103:N107 J121:N125 J91:N95 J97:N101 J44:N48" xr:uid="{00000000-0002-0000-0F00-000000000000}">
      <formula1>NOT(ISERROR(J20/1))</formula1>
    </dataValidation>
  </dataValidations>
  <hyperlinks>
    <hyperlink ref="A4" r:id="rId1" tooltip="Go to Top of Sheet" xr:uid="{00000000-0004-0000-0F00-000000000000}"/>
    <hyperlink ref="B4" location="HL_Sheet_Main_23" tooltip="Go to Previous Sheet" display="ç" xr:uid="{00000000-0004-0000-0F00-000001000000}"/>
    <hyperlink ref="C4" location="HL_Sheet_Main_25" tooltip="Go to Next Sheet" display="è" xr:uid="{00000000-0004-0000-0F00-000002000000}"/>
    <hyperlink ref="B3" location="HL_Home" tooltip="Go to Table of Contents" display="Go to Table of Contents" xr:uid="{00000000-0004-0000-0F00-000003000000}"/>
    <hyperlink ref="A14" location="Summary_Govt_Contributions!B14" tooltip="Click to follow hyperlink." display="ð" xr:uid="{00000000-0004-0000-0F00-000004000000}"/>
    <hyperlink ref="A155" location="Summary_Govt_Contributions!B14" tooltip="Click to follow hyperlink." display="ð" xr:uid="{00000000-0004-0000-0F00-000005000000}"/>
  </hyperlinks>
  <pageMargins left="0.4" right="0.4" top="0.6" bottom="1" header="0" footer="0.3"/>
  <pageSetup orientation="landscape" r:id="rId2"/>
  <headerFooter>
    <oddFooter>&amp;L&amp;F
&amp;A
Printed: &amp;T on &amp;D&amp;C&amp;",Bold"Sheet 2.g.
Page &amp;P of &amp;N</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N169"/>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2.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Government6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F12" s="276" t="str">
        <f>Government6</f>
        <v>Ministerio de Salud Pública y Lucha contra el SIDA</v>
      </c>
      <c r="G12" s="60"/>
    </row>
    <row r="13" spans="1:14" s="38" customFormat="1" x14ac:dyDescent="0.2">
      <c r="G13"/>
    </row>
    <row r="14" spans="1:14" s="38" customFormat="1" x14ac:dyDescent="0.2">
      <c r="A14" s="39" t="s">
        <v>76</v>
      </c>
      <c r="B14" s="40" t="str">
        <f>"Planned Annual Contributions by "&amp;Government6&amp;" - by Strategic Objective and Result/Indicator"</f>
        <v>Planned Annual Contributions by Ministerio de Salud Pública y Lucha contra el SIDA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253" t="s">
        <v>106</v>
      </c>
      <c r="J19" s="54" t="str">
        <f>CURR_LCU_ABBR</f>
        <v>GOZ</v>
      </c>
      <c r="K19" s="54" t="str">
        <f>CURR_LCU_ABBR</f>
        <v>GOZ</v>
      </c>
      <c r="L19" s="54" t="str">
        <f>CURR_LCU_ABBR</f>
        <v>GOZ</v>
      </c>
      <c r="M19" s="54" t="str">
        <f>CURR_LCU_ABBR</f>
        <v>GOZ</v>
      </c>
      <c r="N19" s="54" t="str">
        <f>CURR_LCU_ABBR</f>
        <v>GOZ</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262">
        <f>SUM(J20:N20)</f>
        <v>41659343.486504994</v>
      </c>
      <c r="J20" s="37">
        <f>20829671743.2525*0.16%/4</f>
        <v>8331868.6973009994</v>
      </c>
      <c r="K20" s="383">
        <f t="shared" ref="K20:N20" si="2">20829671743.2525*0.16%/4</f>
        <v>8331868.6973009994</v>
      </c>
      <c r="L20" s="383">
        <f t="shared" si="2"/>
        <v>8331868.6973009994</v>
      </c>
      <c r="M20" s="383">
        <f t="shared" si="2"/>
        <v>8331868.6973009994</v>
      </c>
      <c r="N20" s="383">
        <f t="shared" si="2"/>
        <v>8331868.6973009994</v>
      </c>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262">
        <f t="shared" ref="I21:I24" si="3">SUM(J21:N21)</f>
        <v>41659343.486504994</v>
      </c>
      <c r="J21" s="383">
        <f t="shared" ref="J21:N23" si="4">20829671743.2525*0.16%/4</f>
        <v>8331868.6973009994</v>
      </c>
      <c r="K21" s="383">
        <f t="shared" si="4"/>
        <v>8331868.6973009994</v>
      </c>
      <c r="L21" s="383">
        <f t="shared" si="4"/>
        <v>8331868.6973009994</v>
      </c>
      <c r="M21" s="383">
        <f t="shared" si="4"/>
        <v>8331868.6973009994</v>
      </c>
      <c r="N21" s="383">
        <f t="shared" si="4"/>
        <v>8331868.6973009994</v>
      </c>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262">
        <f t="shared" si="3"/>
        <v>41659343.486504994</v>
      </c>
      <c r="J22" s="383">
        <f t="shared" si="4"/>
        <v>8331868.6973009994</v>
      </c>
      <c r="K22" s="383">
        <f t="shared" si="4"/>
        <v>8331868.6973009994</v>
      </c>
      <c r="L22" s="383">
        <f t="shared" si="4"/>
        <v>8331868.6973009994</v>
      </c>
      <c r="M22" s="383">
        <f t="shared" si="4"/>
        <v>8331868.6973009994</v>
      </c>
      <c r="N22" s="383">
        <f t="shared" si="4"/>
        <v>8331868.6973009994</v>
      </c>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262">
        <f t="shared" si="3"/>
        <v>41659343.486504994</v>
      </c>
      <c r="J23" s="383">
        <f t="shared" si="4"/>
        <v>8331868.6973009994</v>
      </c>
      <c r="K23" s="383">
        <f t="shared" si="4"/>
        <v>8331868.6973009994</v>
      </c>
      <c r="L23" s="383">
        <f t="shared" si="4"/>
        <v>8331868.6973009994</v>
      </c>
      <c r="M23" s="383">
        <f t="shared" si="4"/>
        <v>8331868.6973009994</v>
      </c>
      <c r="N23" s="383">
        <f t="shared" si="4"/>
        <v>8331868.6973009994</v>
      </c>
    </row>
    <row r="24" spans="6:14" s="38" customFormat="1" ht="12" x14ac:dyDescent="0.2">
      <c r="F24" s="448"/>
      <c r="G24" s="41" t="str">
        <f>STRAT1_IND5</f>
        <v>Objetivo estratégico 1 Indicador 5</v>
      </c>
      <c r="H24" s="260" t="str">
        <f ca="1">OFFSET(Variables_Lu!$D$10,Basic_Setup!H38,0)</f>
        <v>Governance</v>
      </c>
      <c r="I24" s="262">
        <f t="shared" si="3"/>
        <v>0</v>
      </c>
      <c r="J24" s="383">
        <v>0</v>
      </c>
      <c r="K24" s="383">
        <v>0</v>
      </c>
      <c r="L24" s="383">
        <v>0</v>
      </c>
      <c r="M24" s="383">
        <v>0</v>
      </c>
      <c r="N24" s="383">
        <v>0</v>
      </c>
    </row>
    <row r="25" spans="6:14" s="38" customFormat="1" ht="12" x14ac:dyDescent="0.2">
      <c r="H25" s="152" t="s">
        <v>107</v>
      </c>
      <c r="I25" s="265">
        <f>SUM(I20:I24)</f>
        <v>166637373.94601998</v>
      </c>
      <c r="J25" s="265">
        <f t="shared" ref="J25:N25" si="5">SUM(J20:J24)</f>
        <v>33327474.789203998</v>
      </c>
      <c r="K25" s="265">
        <f t="shared" si="5"/>
        <v>33327474.789203998</v>
      </c>
      <c r="L25" s="265">
        <f t="shared" si="5"/>
        <v>33327474.789203998</v>
      </c>
      <c r="M25" s="265">
        <f t="shared" si="5"/>
        <v>33327474.789203998</v>
      </c>
      <c r="N25" s="265">
        <f t="shared" si="5"/>
        <v>33327474.789203998</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262">
        <f>SUM(J26:N26)</f>
        <v>2204473592.8275561</v>
      </c>
      <c r="J26" s="383">
        <f>20829671743.2525*6.35%/3</f>
        <v>440894718.56551123</v>
      </c>
      <c r="K26" s="383">
        <f t="shared" ref="K26:N26" si="6">20829671743.2525*6.35%/3</f>
        <v>440894718.56551123</v>
      </c>
      <c r="L26" s="383">
        <f t="shared" si="6"/>
        <v>440894718.56551123</v>
      </c>
      <c r="M26" s="383">
        <f t="shared" si="6"/>
        <v>440894718.56551123</v>
      </c>
      <c r="N26" s="383">
        <f t="shared" si="6"/>
        <v>440894718.56551123</v>
      </c>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262">
        <f t="shared" ref="I27:I30" si="7">SUM(J27:N27)</f>
        <v>2204473592.8275561</v>
      </c>
      <c r="J27" s="383">
        <f t="shared" ref="J27:N28" si="8">20829671743.2525*6.35%/3</f>
        <v>440894718.56551123</v>
      </c>
      <c r="K27" s="383">
        <f t="shared" si="8"/>
        <v>440894718.56551123</v>
      </c>
      <c r="L27" s="383">
        <f t="shared" si="8"/>
        <v>440894718.56551123</v>
      </c>
      <c r="M27" s="383">
        <f t="shared" si="8"/>
        <v>440894718.56551123</v>
      </c>
      <c r="N27" s="383">
        <f t="shared" si="8"/>
        <v>440894718.56551123</v>
      </c>
    </row>
    <row r="28" spans="6:14" s="38" customFormat="1" ht="22.8" x14ac:dyDescent="0.2">
      <c r="F28" s="447"/>
      <c r="G28" s="42" t="str">
        <f>STRAT2_IND3</f>
        <v>Se refuerzan las intervenciones comunitarias en materia de nutrición.</v>
      </c>
      <c r="H28" s="260" t="str">
        <f ca="1">OFFSET(Variables_Lu!$D$10,Basic_Setup!H42,0)</f>
        <v>Nutrition-specific</v>
      </c>
      <c r="I28" s="262">
        <f t="shared" si="7"/>
        <v>2204473592.8275561</v>
      </c>
      <c r="J28" s="383">
        <f t="shared" si="8"/>
        <v>440894718.56551123</v>
      </c>
      <c r="K28" s="383">
        <f t="shared" si="8"/>
        <v>440894718.56551123</v>
      </c>
      <c r="L28" s="383">
        <f t="shared" si="8"/>
        <v>440894718.56551123</v>
      </c>
      <c r="M28" s="383">
        <f t="shared" si="8"/>
        <v>440894718.56551123</v>
      </c>
      <c r="N28" s="383">
        <f t="shared" si="8"/>
        <v>440894718.56551123</v>
      </c>
    </row>
    <row r="29" spans="6:14" s="38" customFormat="1" ht="12" x14ac:dyDescent="0.2">
      <c r="F29" s="447"/>
      <c r="G29" s="41" t="str">
        <f>STRAT2_IND4</f>
        <v>Objetivo estratégico 2 Indicador 4</v>
      </c>
      <c r="H29" s="260" t="str">
        <f ca="1">OFFSET(Variables_Lu!$D$10,Basic_Setup!H43,0)</f>
        <v>Nutrition-specific</v>
      </c>
      <c r="I29" s="262">
        <f t="shared" si="7"/>
        <v>0</v>
      </c>
      <c r="J29" s="383">
        <v>0</v>
      </c>
      <c r="K29" s="383">
        <v>0</v>
      </c>
      <c r="L29" s="383">
        <v>0</v>
      </c>
      <c r="M29" s="383">
        <v>0</v>
      </c>
      <c r="N29" s="383">
        <v>0</v>
      </c>
    </row>
    <row r="30" spans="6:14" s="38" customFormat="1" ht="12" x14ac:dyDescent="0.2">
      <c r="F30" s="448"/>
      <c r="G30" s="41" t="str">
        <f>STRAT2_IND5</f>
        <v>Objetivo estratégico 2 Indicador 5</v>
      </c>
      <c r="H30" s="260" t="str">
        <f ca="1">OFFSET(Variables_Lu!$D$10,Basic_Setup!H44,0)</f>
        <v>Nutrition-specific</v>
      </c>
      <c r="I30" s="262">
        <f t="shared" si="7"/>
        <v>0</v>
      </c>
      <c r="J30" s="383">
        <v>0</v>
      </c>
      <c r="K30" s="383">
        <v>0</v>
      </c>
      <c r="L30" s="383">
        <v>0</v>
      </c>
      <c r="M30" s="383">
        <v>0</v>
      </c>
      <c r="N30" s="383">
        <v>0</v>
      </c>
    </row>
    <row r="31" spans="6:14" s="38" customFormat="1" ht="12" x14ac:dyDescent="0.2">
      <c r="H31" s="152" t="s">
        <v>108</v>
      </c>
      <c r="I31" s="265">
        <f>SUM(I26:I30)</f>
        <v>6613420778.4826679</v>
      </c>
      <c r="J31" s="265">
        <f t="shared" ref="J31:N31" si="9">SUM(J26:J30)</f>
        <v>1322684155.6965337</v>
      </c>
      <c r="K31" s="265">
        <f t="shared" si="9"/>
        <v>1322684155.6965337</v>
      </c>
      <c r="L31" s="265">
        <f t="shared" si="9"/>
        <v>1322684155.6965337</v>
      </c>
      <c r="M31" s="265">
        <f t="shared" si="9"/>
        <v>1322684155.6965337</v>
      </c>
      <c r="N31" s="265">
        <f t="shared" si="9"/>
        <v>1322684155.6965337</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262">
        <f>SUM(J32:N32)</f>
        <v>26068334186.680504</v>
      </c>
      <c r="J32" s="383">
        <f>20829671743.2525*50.06%/2</f>
        <v>5213666837.3361006</v>
      </c>
      <c r="K32" s="383">
        <f t="shared" ref="K32:N33" si="10">20829671743.2525*50.06%/2</f>
        <v>5213666837.3361006</v>
      </c>
      <c r="L32" s="383">
        <f t="shared" si="10"/>
        <v>5213666837.3361006</v>
      </c>
      <c r="M32" s="383">
        <f t="shared" si="10"/>
        <v>5213666837.3361006</v>
      </c>
      <c r="N32" s="383">
        <f t="shared" si="10"/>
        <v>5213666837.3361006</v>
      </c>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262">
        <f t="shared" ref="I33:I36" si="11">SUM(J33:N33)</f>
        <v>26068334186.680504</v>
      </c>
      <c r="J33" s="383">
        <f>20829671743.2525*50.06%/2</f>
        <v>5213666837.3361006</v>
      </c>
      <c r="K33" s="383">
        <f t="shared" si="10"/>
        <v>5213666837.3361006</v>
      </c>
      <c r="L33" s="383">
        <f t="shared" si="10"/>
        <v>5213666837.3361006</v>
      </c>
      <c r="M33" s="383">
        <f t="shared" si="10"/>
        <v>5213666837.3361006</v>
      </c>
      <c r="N33" s="383">
        <f t="shared" si="10"/>
        <v>5213666837.3361006</v>
      </c>
    </row>
    <row r="34" spans="6:14" s="38" customFormat="1" ht="12" x14ac:dyDescent="0.2">
      <c r="F34" s="447"/>
      <c r="G34" s="42" t="str">
        <f>STRAT3_IND3</f>
        <v>Objetivo estratégico 3 Indicador 3</v>
      </c>
      <c r="H34" s="260" t="str">
        <f ca="1">OFFSET(Variables_Lu!$D$10,Basic_Setup!H48,0)</f>
        <v>Nutrition-specific</v>
      </c>
      <c r="I34" s="262">
        <f t="shared" si="11"/>
        <v>0</v>
      </c>
      <c r="J34" s="383">
        <v>0</v>
      </c>
      <c r="K34" s="383">
        <v>0</v>
      </c>
      <c r="L34" s="383">
        <v>0</v>
      </c>
      <c r="M34" s="383">
        <v>0</v>
      </c>
      <c r="N34" s="383">
        <v>0</v>
      </c>
    </row>
    <row r="35" spans="6:14" s="38" customFormat="1" ht="12" x14ac:dyDescent="0.2">
      <c r="F35" s="447"/>
      <c r="G35" s="41" t="str">
        <f>STRAT3_IND4</f>
        <v>Objetivo estratégico 3 Indicador 4</v>
      </c>
      <c r="H35" s="260" t="str">
        <f ca="1">OFFSET(Variables_Lu!$D$10,Basic_Setup!H49,0)</f>
        <v>Nutrition-specific</v>
      </c>
      <c r="I35" s="262">
        <f t="shared" si="11"/>
        <v>0</v>
      </c>
      <c r="J35" s="383">
        <v>0</v>
      </c>
      <c r="K35" s="383">
        <v>0</v>
      </c>
      <c r="L35" s="383">
        <v>0</v>
      </c>
      <c r="M35" s="383">
        <v>0</v>
      </c>
      <c r="N35" s="383">
        <v>0</v>
      </c>
    </row>
    <row r="36" spans="6:14" s="38" customFormat="1" ht="12" x14ac:dyDescent="0.2">
      <c r="F36" s="448"/>
      <c r="G36" s="41" t="str">
        <f>STRAT3_IND5</f>
        <v>Objetivo estratégico 3 Indicador 5</v>
      </c>
      <c r="H36" s="260" t="str">
        <f ca="1">OFFSET(Variables_Lu!$D$10,Basic_Setup!H50,0)</f>
        <v>Nutrition-specific</v>
      </c>
      <c r="I36" s="262">
        <f t="shared" si="11"/>
        <v>0</v>
      </c>
      <c r="J36" s="383">
        <v>0</v>
      </c>
      <c r="K36" s="383">
        <v>0</v>
      </c>
      <c r="L36" s="383">
        <v>0</v>
      </c>
      <c r="M36" s="383">
        <v>0</v>
      </c>
      <c r="N36" s="383">
        <v>0</v>
      </c>
    </row>
    <row r="37" spans="6:14" ht="12" x14ac:dyDescent="0.2">
      <c r="H37" s="152" t="s">
        <v>109</v>
      </c>
      <c r="I37" s="265">
        <f>SUM(I32:I36)</f>
        <v>52136668373.361008</v>
      </c>
      <c r="J37" s="265">
        <f t="shared" ref="J37:N37" si="12">SUM(J32:J36)</f>
        <v>10427333674.672201</v>
      </c>
      <c r="K37" s="265">
        <f t="shared" si="12"/>
        <v>10427333674.672201</v>
      </c>
      <c r="L37" s="265">
        <f t="shared" si="12"/>
        <v>10427333674.672201</v>
      </c>
      <c r="M37" s="265">
        <f t="shared" si="12"/>
        <v>10427333674.672201</v>
      </c>
      <c r="N37" s="265">
        <f t="shared" si="12"/>
        <v>10427333674.672201</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262">
        <f>SUM(J38:N38)</f>
        <v>14674503743.121386</v>
      </c>
      <c r="J38" s="383">
        <f>20829671743.2525*42.27%/3</f>
        <v>2934900748.6242771</v>
      </c>
      <c r="K38" s="383">
        <f t="shared" ref="K38:N38" si="13">20829671743.2525*42.27%/3</f>
        <v>2934900748.6242771</v>
      </c>
      <c r="L38" s="383">
        <f t="shared" si="13"/>
        <v>2934900748.6242771</v>
      </c>
      <c r="M38" s="383">
        <f t="shared" si="13"/>
        <v>2934900748.6242771</v>
      </c>
      <c r="N38" s="383">
        <f t="shared" si="13"/>
        <v>2934900748.6242771</v>
      </c>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262">
        <f t="shared" ref="I39:I42" si="14">SUM(J39:N39)</f>
        <v>14674503743.121386</v>
      </c>
      <c r="J39" s="383">
        <f t="shared" ref="J39:N40" si="15">20829671743.2525*42.27%/3</f>
        <v>2934900748.6242771</v>
      </c>
      <c r="K39" s="383">
        <f t="shared" si="15"/>
        <v>2934900748.6242771</v>
      </c>
      <c r="L39" s="383">
        <f t="shared" si="15"/>
        <v>2934900748.6242771</v>
      </c>
      <c r="M39" s="383">
        <f t="shared" si="15"/>
        <v>2934900748.6242771</v>
      </c>
      <c r="N39" s="383">
        <f t="shared" si="15"/>
        <v>2934900748.6242771</v>
      </c>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262">
        <f t="shared" si="14"/>
        <v>14674503743.121386</v>
      </c>
      <c r="J40" s="383">
        <f t="shared" si="15"/>
        <v>2934900748.6242771</v>
      </c>
      <c r="K40" s="383">
        <f t="shared" si="15"/>
        <v>2934900748.6242771</v>
      </c>
      <c r="L40" s="383">
        <f t="shared" si="15"/>
        <v>2934900748.6242771</v>
      </c>
      <c r="M40" s="383">
        <f t="shared" si="15"/>
        <v>2934900748.6242771</v>
      </c>
      <c r="N40" s="383">
        <f t="shared" si="15"/>
        <v>2934900748.6242771</v>
      </c>
    </row>
    <row r="41" spans="6:14" ht="12" x14ac:dyDescent="0.2">
      <c r="F41" s="447"/>
      <c r="G41" s="41" t="str">
        <f>STRAT4_IND4</f>
        <v>Objetivo estratégico 4 Indicador 4</v>
      </c>
      <c r="H41" s="260" t="str">
        <f ca="1">OFFSET(Variables_Lu!$D$10,Basic_Setup!H55,0)</f>
        <v>Nutrition-specific</v>
      </c>
      <c r="I41" s="262">
        <f t="shared" si="14"/>
        <v>0</v>
      </c>
      <c r="J41" s="383">
        <v>0</v>
      </c>
      <c r="K41" s="383">
        <v>0</v>
      </c>
      <c r="L41" s="383">
        <v>0</v>
      </c>
      <c r="M41" s="383">
        <v>0</v>
      </c>
      <c r="N41" s="383">
        <v>0</v>
      </c>
    </row>
    <row r="42" spans="6:14" ht="12" x14ac:dyDescent="0.2">
      <c r="F42" s="448"/>
      <c r="G42" s="41" t="str">
        <f>STRAT4_IND5</f>
        <v>Objetivo estratégico 4 Indicador 5</v>
      </c>
      <c r="H42" s="260" t="str">
        <f ca="1">OFFSET(Variables_Lu!$D$10,Basic_Setup!H56,0)</f>
        <v>Nutrition-specific</v>
      </c>
      <c r="I42" s="262">
        <f t="shared" si="14"/>
        <v>0</v>
      </c>
      <c r="J42" s="383">
        <v>0</v>
      </c>
      <c r="K42" s="383">
        <v>0</v>
      </c>
      <c r="L42" s="383">
        <v>0</v>
      </c>
      <c r="M42" s="383">
        <v>0</v>
      </c>
      <c r="N42" s="383">
        <v>0</v>
      </c>
    </row>
    <row r="43" spans="6:14" ht="12" x14ac:dyDescent="0.2">
      <c r="H43" s="152" t="s">
        <v>110</v>
      </c>
      <c r="I43" s="265">
        <f>SUM(I38:I42)</f>
        <v>44023511229.364159</v>
      </c>
      <c r="J43" s="265">
        <f t="shared" ref="J43:N43" si="16">SUM(J38:J42)</f>
        <v>8804702245.8728313</v>
      </c>
      <c r="K43" s="265">
        <f t="shared" si="16"/>
        <v>8804702245.8728313</v>
      </c>
      <c r="L43" s="265">
        <f t="shared" si="16"/>
        <v>8804702245.8728313</v>
      </c>
      <c r="M43" s="265">
        <f t="shared" si="16"/>
        <v>8804702245.8728313</v>
      </c>
      <c r="N43" s="265">
        <f t="shared" si="16"/>
        <v>8804702245.8728313</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262">
        <f>SUM(J44:N44)</f>
        <v>402706987.03621501</v>
      </c>
      <c r="J44" s="383">
        <f>20829671743.2525*1.16%/3</f>
        <v>80541397.407242998</v>
      </c>
      <c r="K44" s="383">
        <f t="shared" ref="K44:N44" si="17">20829671743.2525*1.16%/3</f>
        <v>80541397.407242998</v>
      </c>
      <c r="L44" s="383">
        <f t="shared" si="17"/>
        <v>80541397.407242998</v>
      </c>
      <c r="M44" s="383">
        <f t="shared" si="17"/>
        <v>80541397.407242998</v>
      </c>
      <c r="N44" s="383">
        <f t="shared" si="17"/>
        <v>80541397.407242998</v>
      </c>
    </row>
    <row r="45" spans="6:14" ht="22.8" x14ac:dyDescent="0.2">
      <c r="F45" s="447"/>
      <c r="G45" s="42" t="str">
        <f>STRAT5_IND2</f>
        <v>Se promueven dietas saludables y estilos de vida saludables para las personas.</v>
      </c>
      <c r="H45" s="260" t="str">
        <f ca="1">OFFSET(Variables_Lu!$D$10,Basic_Setup!H59,0)</f>
        <v>Nutrition-specific</v>
      </c>
      <c r="I45" s="262">
        <f t="shared" ref="I45:I48" si="18">SUM(J45:N45)</f>
        <v>402706987.03621501</v>
      </c>
      <c r="J45" s="383">
        <f t="shared" ref="J45:N46" si="19">20829671743.2525*1.16%/3</f>
        <v>80541397.407242998</v>
      </c>
      <c r="K45" s="383">
        <f t="shared" si="19"/>
        <v>80541397.407242998</v>
      </c>
      <c r="L45" s="383">
        <f t="shared" si="19"/>
        <v>80541397.407242998</v>
      </c>
      <c r="M45" s="383">
        <f t="shared" si="19"/>
        <v>80541397.407242998</v>
      </c>
      <c r="N45" s="383">
        <f t="shared" si="19"/>
        <v>80541397.407242998</v>
      </c>
    </row>
    <row r="46" spans="6:14" ht="22.8" x14ac:dyDescent="0.2">
      <c r="F46" s="447"/>
      <c r="G46" s="42" t="str">
        <f>STRAT5_IND3</f>
        <v>Se promueven las buenas prácticas WASH a nivel comunitario y doméstico</v>
      </c>
      <c r="H46" s="260" t="str">
        <f ca="1">OFFSET(Variables_Lu!$D$10,Basic_Setup!H60,0)</f>
        <v>Nutrition-sensitive</v>
      </c>
      <c r="I46" s="262">
        <f t="shared" si="18"/>
        <v>402706987.03621501</v>
      </c>
      <c r="J46" s="383">
        <f t="shared" si="19"/>
        <v>80541397.407242998</v>
      </c>
      <c r="K46" s="383">
        <f t="shared" si="19"/>
        <v>80541397.407242998</v>
      </c>
      <c r="L46" s="383">
        <f t="shared" si="19"/>
        <v>80541397.407242998</v>
      </c>
      <c r="M46" s="383">
        <f t="shared" si="19"/>
        <v>80541397.407242998</v>
      </c>
      <c r="N46" s="383">
        <f t="shared" si="19"/>
        <v>80541397.407242998</v>
      </c>
    </row>
    <row r="47" spans="6:14" ht="12" x14ac:dyDescent="0.2">
      <c r="F47" s="447"/>
      <c r="G47" s="41" t="str">
        <f>STRAT5_IND4</f>
        <v>Objetivo estratégico 5 Indicador 4</v>
      </c>
      <c r="H47" s="260" t="str">
        <f ca="1">OFFSET(Variables_Lu!$D$10,Basic_Setup!H61,0)</f>
        <v>Nutrition-specific</v>
      </c>
      <c r="I47" s="262">
        <f t="shared" si="18"/>
        <v>0</v>
      </c>
      <c r="J47" s="383">
        <v>0</v>
      </c>
      <c r="K47" s="383">
        <v>0</v>
      </c>
      <c r="L47" s="383">
        <v>0</v>
      </c>
      <c r="M47" s="383">
        <v>0</v>
      </c>
      <c r="N47" s="383">
        <v>0</v>
      </c>
    </row>
    <row r="48" spans="6:14" ht="12" x14ac:dyDescent="0.2">
      <c r="F48" s="448"/>
      <c r="G48" s="41" t="str">
        <f>STRAT5_IND5</f>
        <v>Objetivo estratégico 5 Indicador 5</v>
      </c>
      <c r="H48" s="260" t="str">
        <f ca="1">OFFSET(Variables_Lu!$D$10,Basic_Setup!H62,0)</f>
        <v>Nutrition-specific</v>
      </c>
      <c r="I48" s="262">
        <f t="shared" si="18"/>
        <v>0</v>
      </c>
      <c r="J48" s="383">
        <v>0</v>
      </c>
      <c r="K48" s="383">
        <v>0</v>
      </c>
      <c r="L48" s="383">
        <v>0</v>
      </c>
      <c r="M48" s="383">
        <v>0</v>
      </c>
      <c r="N48" s="383">
        <v>0</v>
      </c>
    </row>
    <row r="49" spans="6:14" ht="12" x14ac:dyDescent="0.2">
      <c r="H49" s="152" t="s">
        <v>111</v>
      </c>
      <c r="I49" s="265">
        <f>SUM(I44:I48)</f>
        <v>1208120961.108645</v>
      </c>
      <c r="J49" s="265">
        <f t="shared" ref="J49:N49" si="20">SUM(J44:J48)</f>
        <v>241624192.22172898</v>
      </c>
      <c r="K49" s="265">
        <f t="shared" si="20"/>
        <v>241624192.22172898</v>
      </c>
      <c r="L49" s="265">
        <f t="shared" si="20"/>
        <v>241624192.22172898</v>
      </c>
      <c r="M49" s="265">
        <f t="shared" si="20"/>
        <v>241624192.22172898</v>
      </c>
      <c r="N49" s="265">
        <f t="shared" si="20"/>
        <v>241624192.22172898</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262">
        <f>SUM(J50:N50)</f>
        <v>0</v>
      </c>
      <c r="J50" s="37">
        <v>0</v>
      </c>
      <c r="K50" s="37">
        <v>0</v>
      </c>
      <c r="L50" s="37">
        <v>0</v>
      </c>
      <c r="M50" s="37">
        <v>0</v>
      </c>
      <c r="N50" s="37">
        <v>0</v>
      </c>
    </row>
    <row r="51" spans="6:14" ht="12" x14ac:dyDescent="0.2">
      <c r="F51" s="447"/>
      <c r="G51" s="42" t="str">
        <f>STRAT6_IND2</f>
        <v>Objetivo estratégico 6 Indicador 2</v>
      </c>
      <c r="H51" s="260" t="str">
        <f ca="1">OFFSET(Variables_Lu!$D$10,Basic_Setup!H65,0)</f>
        <v>Nutrition-specific</v>
      </c>
      <c r="I51" s="262">
        <f t="shared" ref="I51:I54" si="21">SUM(J51:N51)</f>
        <v>0</v>
      </c>
      <c r="J51" s="37">
        <v>0</v>
      </c>
      <c r="K51" s="37">
        <v>0</v>
      </c>
      <c r="L51" s="37">
        <v>0</v>
      </c>
      <c r="M51" s="37">
        <v>0</v>
      </c>
      <c r="N51" s="37">
        <v>0</v>
      </c>
    </row>
    <row r="52" spans="6:14" ht="12" x14ac:dyDescent="0.2">
      <c r="F52" s="447"/>
      <c r="G52" s="42" t="str">
        <f>STRAT6_IND3</f>
        <v>Objetivo estratégico 6 Indicador 3</v>
      </c>
      <c r="H52" s="260" t="str">
        <f ca="1">OFFSET(Variables_Lu!$D$10,Basic_Setup!H66,0)</f>
        <v>Nutrition-specific</v>
      </c>
      <c r="I52" s="262">
        <f t="shared" si="21"/>
        <v>0</v>
      </c>
      <c r="J52" s="37">
        <v>0</v>
      </c>
      <c r="K52" s="37">
        <v>0</v>
      </c>
      <c r="L52" s="37">
        <v>0</v>
      </c>
      <c r="M52" s="37">
        <v>0</v>
      </c>
      <c r="N52" s="37">
        <v>0</v>
      </c>
    </row>
    <row r="53" spans="6:14" ht="12" x14ac:dyDescent="0.2">
      <c r="F53" s="447"/>
      <c r="G53" s="41" t="str">
        <f>STRAT6_IND4</f>
        <v>Objetivo estratégico 6 Indicador 4</v>
      </c>
      <c r="H53" s="260" t="str">
        <f ca="1">OFFSET(Variables_Lu!$D$10,Basic_Setup!H67,0)</f>
        <v>Nutrition-specific</v>
      </c>
      <c r="I53" s="262">
        <f t="shared" si="21"/>
        <v>0</v>
      </c>
      <c r="J53" s="37">
        <v>0</v>
      </c>
      <c r="K53" s="37">
        <v>0</v>
      </c>
      <c r="L53" s="37">
        <v>0</v>
      </c>
      <c r="M53" s="37">
        <v>0</v>
      </c>
      <c r="N53" s="37">
        <v>0</v>
      </c>
    </row>
    <row r="54" spans="6:14" ht="12" x14ac:dyDescent="0.2">
      <c r="F54" s="448"/>
      <c r="G54" s="41" t="str">
        <f>STRAT6_IND5</f>
        <v>Objetivo estratégico 6 Indicador 5</v>
      </c>
      <c r="H54" s="260" t="str">
        <f ca="1">OFFSET(Variables_Lu!$D$10,Basic_Setup!H68,0)</f>
        <v>Nutrition-specific</v>
      </c>
      <c r="I54" s="262">
        <f t="shared" si="21"/>
        <v>0</v>
      </c>
      <c r="J54" s="37">
        <v>0</v>
      </c>
      <c r="K54" s="37">
        <v>0</v>
      </c>
      <c r="L54" s="37">
        <v>0</v>
      </c>
      <c r="M54" s="37">
        <v>0</v>
      </c>
      <c r="N54" s="37">
        <v>0</v>
      </c>
    </row>
    <row r="55" spans="6:14" ht="12" x14ac:dyDescent="0.2">
      <c r="H55" s="152" t="s">
        <v>159</v>
      </c>
      <c r="I55" s="265">
        <f>SUM(I50:I54)</f>
        <v>0</v>
      </c>
      <c r="J55" s="265">
        <f t="shared" ref="J55:N55" si="22">SUM(J50:J54)</f>
        <v>0</v>
      </c>
      <c r="K55" s="265">
        <f t="shared" si="22"/>
        <v>0</v>
      </c>
      <c r="L55" s="265">
        <f t="shared" si="22"/>
        <v>0</v>
      </c>
      <c r="M55" s="265">
        <f t="shared" si="22"/>
        <v>0</v>
      </c>
      <c r="N55" s="265">
        <f t="shared" si="22"/>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262">
        <f>SUM(J56:N56)</f>
        <v>0</v>
      </c>
      <c r="J56" s="37">
        <v>0</v>
      </c>
      <c r="K56" s="37">
        <v>0</v>
      </c>
      <c r="L56" s="37">
        <v>0</v>
      </c>
      <c r="M56" s="37">
        <v>0</v>
      </c>
      <c r="N56" s="37">
        <v>0</v>
      </c>
    </row>
    <row r="57" spans="6:14" ht="12" x14ac:dyDescent="0.2">
      <c r="F57" s="447"/>
      <c r="G57" s="42" t="str">
        <f>STRAT7_IND2</f>
        <v>Objetivo estratégico 7 Indicador 2</v>
      </c>
      <c r="H57" s="260" t="str">
        <f ca="1">OFFSET(Variables_Lu!$D$10,Basic_Setup!H71,0)</f>
        <v>Nutrition-specific</v>
      </c>
      <c r="I57" s="262">
        <f t="shared" ref="I57:I60" si="23">SUM(J57:N57)</f>
        <v>0</v>
      </c>
      <c r="J57" s="37">
        <v>0</v>
      </c>
      <c r="K57" s="37">
        <v>0</v>
      </c>
      <c r="L57" s="37">
        <v>0</v>
      </c>
      <c r="M57" s="37">
        <v>0</v>
      </c>
      <c r="N57" s="37">
        <v>0</v>
      </c>
    </row>
    <row r="58" spans="6:14" ht="12" x14ac:dyDescent="0.2">
      <c r="F58" s="447"/>
      <c r="G58" s="42" t="str">
        <f>STRAT7_IND3</f>
        <v>Objetivo estratégico 7 Indicador 3</v>
      </c>
      <c r="H58" s="260" t="str">
        <f ca="1">OFFSET(Variables_Lu!$D$10,Basic_Setup!H72,0)</f>
        <v>Nutrition-specific</v>
      </c>
      <c r="I58" s="262">
        <f t="shared" si="23"/>
        <v>0</v>
      </c>
      <c r="J58" s="37">
        <v>0</v>
      </c>
      <c r="K58" s="37">
        <v>0</v>
      </c>
      <c r="L58" s="37">
        <v>0</v>
      </c>
      <c r="M58" s="37">
        <v>0</v>
      </c>
      <c r="N58" s="37">
        <v>0</v>
      </c>
    </row>
    <row r="59" spans="6:14" ht="12" x14ac:dyDescent="0.2">
      <c r="F59" s="447"/>
      <c r="G59" s="41" t="str">
        <f>STRAT7_IND4</f>
        <v>Objetivo estratégico 7 Indicador 4</v>
      </c>
      <c r="H59" s="260" t="str">
        <f ca="1">OFFSET(Variables_Lu!$D$10,Basic_Setup!H73,0)</f>
        <v>Nutrition-specific</v>
      </c>
      <c r="I59" s="262">
        <f t="shared" si="23"/>
        <v>0</v>
      </c>
      <c r="J59" s="37">
        <v>0</v>
      </c>
      <c r="K59" s="37">
        <v>0</v>
      </c>
      <c r="L59" s="37">
        <v>0</v>
      </c>
      <c r="M59" s="37">
        <v>0</v>
      </c>
      <c r="N59" s="37">
        <v>0</v>
      </c>
    </row>
    <row r="60" spans="6:14" ht="12" x14ac:dyDescent="0.2">
      <c r="F60" s="448"/>
      <c r="G60" s="41" t="str">
        <f>STRAT7_IND5</f>
        <v>Objetivo estratégico 7 Indicador 5</v>
      </c>
      <c r="H60" s="260" t="str">
        <f ca="1">OFFSET(Variables_Lu!$D$10,Basic_Setup!H74,0)</f>
        <v>Nutrition-specific</v>
      </c>
      <c r="I60" s="262">
        <f t="shared" si="23"/>
        <v>0</v>
      </c>
      <c r="J60" s="37">
        <v>0</v>
      </c>
      <c r="K60" s="37">
        <v>0</v>
      </c>
      <c r="L60" s="37">
        <v>0</v>
      </c>
      <c r="M60" s="37">
        <v>0</v>
      </c>
      <c r="N60" s="37">
        <v>0</v>
      </c>
    </row>
    <row r="61" spans="6:14" ht="12" x14ac:dyDescent="0.2">
      <c r="H61" s="152" t="s">
        <v>160</v>
      </c>
      <c r="I61" s="265">
        <f>SUM(I56:I60)</f>
        <v>0</v>
      </c>
      <c r="J61" s="265">
        <f t="shared" ref="J61:N61" si="24">SUM(J56:J60)</f>
        <v>0</v>
      </c>
      <c r="K61" s="265">
        <f t="shared" si="24"/>
        <v>0</v>
      </c>
      <c r="L61" s="265">
        <f t="shared" si="24"/>
        <v>0</v>
      </c>
      <c r="M61" s="265">
        <f t="shared" si="24"/>
        <v>0</v>
      </c>
      <c r="N61" s="265">
        <f t="shared" si="24"/>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262">
        <f>SUM(J62:N62)</f>
        <v>0</v>
      </c>
      <c r="J62" s="37">
        <v>0</v>
      </c>
      <c r="K62" s="37">
        <v>0</v>
      </c>
      <c r="L62" s="37">
        <v>0</v>
      </c>
      <c r="M62" s="37">
        <v>0</v>
      </c>
      <c r="N62" s="37">
        <v>0</v>
      </c>
    </row>
    <row r="63" spans="6:14" ht="12" x14ac:dyDescent="0.2">
      <c r="F63" s="447"/>
      <c r="G63" s="42" t="str">
        <f>STRAT8_IND2</f>
        <v>Objetivo estratégico 8 Indicador 2</v>
      </c>
      <c r="H63" s="260" t="str">
        <f ca="1">OFFSET(Variables_Lu!$D$10,Basic_Setup!H77,0)</f>
        <v>Nutrition-specific</v>
      </c>
      <c r="I63" s="262">
        <f t="shared" ref="I63:I66" si="25">SUM(J63:N63)</f>
        <v>0</v>
      </c>
      <c r="J63" s="37">
        <v>0</v>
      </c>
      <c r="K63" s="37">
        <v>0</v>
      </c>
      <c r="L63" s="37">
        <v>0</v>
      </c>
      <c r="M63" s="37">
        <v>0</v>
      </c>
      <c r="N63" s="37">
        <v>0</v>
      </c>
    </row>
    <row r="64" spans="6:14" ht="12" x14ac:dyDescent="0.2">
      <c r="F64" s="447"/>
      <c r="G64" s="42" t="str">
        <f>STRAT8_IND3</f>
        <v>Objetivo estratégico 8 Indicador 3</v>
      </c>
      <c r="H64" s="260" t="str">
        <f ca="1">OFFSET(Variables_Lu!$D$10,Basic_Setup!H78,0)</f>
        <v>Nutrition-specific</v>
      </c>
      <c r="I64" s="262">
        <f t="shared" si="25"/>
        <v>0</v>
      </c>
      <c r="J64" s="37">
        <v>0</v>
      </c>
      <c r="K64" s="37">
        <v>0</v>
      </c>
      <c r="L64" s="37">
        <v>0</v>
      </c>
      <c r="M64" s="37">
        <v>0</v>
      </c>
      <c r="N64" s="37">
        <v>0</v>
      </c>
    </row>
    <row r="65" spans="6:14" ht="12" x14ac:dyDescent="0.2">
      <c r="F65" s="447"/>
      <c r="G65" s="41" t="str">
        <f>STRAT8_IND4</f>
        <v>Objetivo estratégico 8 Indicador 4</v>
      </c>
      <c r="H65" s="260" t="str">
        <f ca="1">OFFSET(Variables_Lu!$D$10,Basic_Setup!H79,0)</f>
        <v>Nutrition-specific</v>
      </c>
      <c r="I65" s="262">
        <f t="shared" si="25"/>
        <v>0</v>
      </c>
      <c r="J65" s="37">
        <v>0</v>
      </c>
      <c r="K65" s="37">
        <v>0</v>
      </c>
      <c r="L65" s="37">
        <v>0</v>
      </c>
      <c r="M65" s="37">
        <v>0</v>
      </c>
      <c r="N65" s="37">
        <v>0</v>
      </c>
    </row>
    <row r="66" spans="6:14" ht="12" x14ac:dyDescent="0.2">
      <c r="F66" s="448"/>
      <c r="G66" s="41" t="str">
        <f>STRAT8_IND5</f>
        <v>Objetivo estratégico 8 Indicador 5</v>
      </c>
      <c r="H66" s="260" t="str">
        <f ca="1">OFFSET(Variables_Lu!$D$10,Basic_Setup!H80,0)</f>
        <v>Nutrition-specific</v>
      </c>
      <c r="I66" s="262">
        <f t="shared" si="25"/>
        <v>0</v>
      </c>
      <c r="J66" s="37">
        <v>0</v>
      </c>
      <c r="K66" s="37">
        <v>0</v>
      </c>
      <c r="L66" s="37">
        <v>0</v>
      </c>
      <c r="M66" s="37">
        <v>0</v>
      </c>
      <c r="N66" s="37">
        <v>0</v>
      </c>
    </row>
    <row r="67" spans="6:14" ht="12" x14ac:dyDescent="0.2">
      <c r="H67" s="152" t="s">
        <v>161</v>
      </c>
      <c r="I67" s="265">
        <f>SUM(I62:I66)</f>
        <v>0</v>
      </c>
      <c r="J67" s="265">
        <f t="shared" ref="J67:N67" si="26">SUM(J62:J66)</f>
        <v>0</v>
      </c>
      <c r="K67" s="265">
        <f t="shared" si="26"/>
        <v>0</v>
      </c>
      <c r="L67" s="265">
        <f t="shared" si="26"/>
        <v>0</v>
      </c>
      <c r="M67" s="265">
        <f t="shared" si="26"/>
        <v>0</v>
      </c>
      <c r="N67" s="265">
        <f t="shared" si="26"/>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262">
        <f>SUM(J68:N68)</f>
        <v>0</v>
      </c>
      <c r="J68" s="37">
        <v>0</v>
      </c>
      <c r="K68" s="37">
        <v>0</v>
      </c>
      <c r="L68" s="37">
        <v>0</v>
      </c>
      <c r="M68" s="37">
        <v>0</v>
      </c>
      <c r="N68" s="37">
        <v>0</v>
      </c>
    </row>
    <row r="69" spans="6:14" ht="12" x14ac:dyDescent="0.2">
      <c r="F69" s="447"/>
      <c r="G69" s="42" t="str">
        <f>STRAT9_IND2</f>
        <v>Objetivo estratégico 9 Indicador 2</v>
      </c>
      <c r="H69" s="260" t="str">
        <f ca="1">OFFSET(Variables_Lu!$D$10,Basic_Setup!H83,0)</f>
        <v>Nutrition-specific</v>
      </c>
      <c r="I69" s="262">
        <f t="shared" ref="I69:I72" si="27">SUM(J69:N69)</f>
        <v>0</v>
      </c>
      <c r="J69" s="37">
        <v>0</v>
      </c>
      <c r="K69" s="37">
        <v>0</v>
      </c>
      <c r="L69" s="37">
        <v>0</v>
      </c>
      <c r="M69" s="37">
        <v>0</v>
      </c>
      <c r="N69" s="37">
        <v>0</v>
      </c>
    </row>
    <row r="70" spans="6:14" ht="12" x14ac:dyDescent="0.2">
      <c r="F70" s="447"/>
      <c r="G70" s="42" t="str">
        <f>STRAT9_IND3</f>
        <v>Objetivo estratégico 9 Indicador 3</v>
      </c>
      <c r="H70" s="260" t="str">
        <f ca="1">OFFSET(Variables_Lu!$D$10,Basic_Setup!H84,0)</f>
        <v>Nutrition-specific</v>
      </c>
      <c r="I70" s="262">
        <f t="shared" si="27"/>
        <v>0</v>
      </c>
      <c r="J70" s="37">
        <v>0</v>
      </c>
      <c r="K70" s="37">
        <v>0</v>
      </c>
      <c r="L70" s="37">
        <v>0</v>
      </c>
      <c r="M70" s="37">
        <v>0</v>
      </c>
      <c r="N70" s="37">
        <v>0</v>
      </c>
    </row>
    <row r="71" spans="6:14" ht="12" x14ac:dyDescent="0.2">
      <c r="F71" s="447"/>
      <c r="G71" s="41" t="str">
        <f>STRAT9_IND4</f>
        <v>Objetivo estratégico 9 Indicador 4</v>
      </c>
      <c r="H71" s="260" t="str">
        <f ca="1">OFFSET(Variables_Lu!$D$10,Basic_Setup!H85,0)</f>
        <v>Nutrition-specific</v>
      </c>
      <c r="I71" s="262">
        <f t="shared" si="27"/>
        <v>0</v>
      </c>
      <c r="J71" s="37">
        <v>0</v>
      </c>
      <c r="K71" s="37">
        <v>0</v>
      </c>
      <c r="L71" s="37">
        <v>0</v>
      </c>
      <c r="M71" s="37">
        <v>0</v>
      </c>
      <c r="N71" s="37">
        <v>0</v>
      </c>
    </row>
    <row r="72" spans="6:14" ht="12" x14ac:dyDescent="0.2">
      <c r="F72" s="448"/>
      <c r="G72" s="41" t="str">
        <f>STRAT9_IND5</f>
        <v>Objetivo estratégico 9 Indicador 5</v>
      </c>
      <c r="H72" s="260" t="str">
        <f ca="1">OFFSET(Variables_Lu!$D$10,Basic_Setup!H86,0)</f>
        <v>Nutrition-specific</v>
      </c>
      <c r="I72" s="262">
        <f t="shared" si="27"/>
        <v>0</v>
      </c>
      <c r="J72" s="37">
        <v>0</v>
      </c>
      <c r="K72" s="37">
        <v>0</v>
      </c>
      <c r="L72" s="37">
        <v>0</v>
      </c>
      <c r="M72" s="37">
        <v>0</v>
      </c>
      <c r="N72" s="37">
        <v>0</v>
      </c>
    </row>
    <row r="73" spans="6:14" ht="12" x14ac:dyDescent="0.2">
      <c r="H73" s="152" t="s">
        <v>162</v>
      </c>
      <c r="I73" s="265">
        <f>SUM(I68:I72)</f>
        <v>0</v>
      </c>
      <c r="J73" s="265">
        <f t="shared" ref="J73:N73" si="28">SUM(J68:J72)</f>
        <v>0</v>
      </c>
      <c r="K73" s="265">
        <f t="shared" si="28"/>
        <v>0</v>
      </c>
      <c r="L73" s="265">
        <f t="shared" si="28"/>
        <v>0</v>
      </c>
      <c r="M73" s="265">
        <f t="shared" si="28"/>
        <v>0</v>
      </c>
      <c r="N73" s="265">
        <f t="shared" si="28"/>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262">
        <f>SUM(J74:N74)</f>
        <v>0</v>
      </c>
      <c r="J74" s="37">
        <v>0</v>
      </c>
      <c r="K74" s="37">
        <v>0</v>
      </c>
      <c r="L74" s="37">
        <v>0</v>
      </c>
      <c r="M74" s="37">
        <v>0</v>
      </c>
      <c r="N74" s="37">
        <v>0</v>
      </c>
    </row>
    <row r="75" spans="6:14" ht="12" x14ac:dyDescent="0.2">
      <c r="F75" s="447"/>
      <c r="G75" s="42" t="str">
        <f>STRAT10_IND2</f>
        <v>Objetivo estratégico 10 Indicador 2</v>
      </c>
      <c r="H75" s="260" t="str">
        <f ca="1">OFFSET(Variables_Lu!$D$10,Basic_Setup!H89,0)</f>
        <v>Nutrition-specific</v>
      </c>
      <c r="I75" s="262">
        <f t="shared" ref="I75:I78" si="29">SUM(J75:N75)</f>
        <v>0</v>
      </c>
      <c r="J75" s="37">
        <v>0</v>
      </c>
      <c r="K75" s="37">
        <v>0</v>
      </c>
      <c r="L75" s="37">
        <v>0</v>
      </c>
      <c r="M75" s="37">
        <v>0</v>
      </c>
      <c r="N75" s="37">
        <v>0</v>
      </c>
    </row>
    <row r="76" spans="6:14" ht="12" x14ac:dyDescent="0.2">
      <c r="F76" s="447"/>
      <c r="G76" s="42" t="str">
        <f>STRAT10_IND3</f>
        <v>Objetivo estratégico 10 Indicador 3</v>
      </c>
      <c r="H76" s="260" t="str">
        <f ca="1">OFFSET(Variables_Lu!$D$10,Basic_Setup!H90,0)</f>
        <v>Nutrition-specific</v>
      </c>
      <c r="I76" s="262">
        <f t="shared" si="29"/>
        <v>0</v>
      </c>
      <c r="J76" s="37">
        <v>0</v>
      </c>
      <c r="K76" s="37">
        <v>0</v>
      </c>
      <c r="L76" s="37">
        <v>0</v>
      </c>
      <c r="M76" s="37">
        <v>0</v>
      </c>
      <c r="N76" s="37">
        <v>0</v>
      </c>
    </row>
    <row r="77" spans="6:14" ht="11.25" customHeight="1" x14ac:dyDescent="0.2">
      <c r="F77" s="447"/>
      <c r="G77" s="41" t="str">
        <f>STRAT10_IND4</f>
        <v>Objetivo estratégico 10 Indicador 4</v>
      </c>
      <c r="H77" s="260" t="str">
        <f ca="1">OFFSET(Variables_Lu!$D$10,Basic_Setup!H91,0)</f>
        <v>Nutrition-specific</v>
      </c>
      <c r="I77" s="262">
        <f t="shared" si="29"/>
        <v>0</v>
      </c>
      <c r="J77" s="37">
        <v>0</v>
      </c>
      <c r="K77" s="37">
        <v>0</v>
      </c>
      <c r="L77" s="37">
        <v>0</v>
      </c>
      <c r="M77" s="37">
        <v>0</v>
      </c>
      <c r="N77" s="37">
        <v>0</v>
      </c>
    </row>
    <row r="78" spans="6:14" ht="11.25" customHeight="1" x14ac:dyDescent="0.2">
      <c r="F78" s="448"/>
      <c r="G78" s="41" t="str">
        <f>STRAT10_IND5</f>
        <v>Objetivo estratégico 10 Indicador 5</v>
      </c>
      <c r="H78" s="260" t="str">
        <f ca="1">OFFSET(Variables_Lu!$D$10,Basic_Setup!H92,0)</f>
        <v>Nutrition-specific</v>
      </c>
      <c r="I78" s="262">
        <f t="shared" si="29"/>
        <v>0</v>
      </c>
      <c r="J78" s="37">
        <v>0</v>
      </c>
      <c r="K78" s="37">
        <v>0</v>
      </c>
      <c r="L78" s="37">
        <v>0</v>
      </c>
      <c r="M78" s="37">
        <v>0</v>
      </c>
      <c r="N78" s="37">
        <v>0</v>
      </c>
    </row>
    <row r="79" spans="6:14" ht="11.25" customHeight="1" x14ac:dyDescent="0.2">
      <c r="H79" s="152" t="s">
        <v>163</v>
      </c>
      <c r="I79" s="265">
        <f>SUM(I74:I78)</f>
        <v>0</v>
      </c>
      <c r="J79" s="265">
        <f t="shared" ref="J79:N79" si="30">SUM(J74:J78)</f>
        <v>0</v>
      </c>
      <c r="K79" s="265">
        <f t="shared" si="30"/>
        <v>0</v>
      </c>
      <c r="L79" s="265">
        <f t="shared" si="30"/>
        <v>0</v>
      </c>
      <c r="M79" s="265">
        <f t="shared" si="30"/>
        <v>0</v>
      </c>
      <c r="N79" s="265">
        <f t="shared" si="30"/>
        <v>0</v>
      </c>
    </row>
    <row r="80" spans="6:14" ht="11.25" customHeight="1" x14ac:dyDescent="0.2">
      <c r="I80" s="263"/>
    </row>
    <row r="81" spans="6:14" ht="12.6" thickBot="1" x14ac:dyDescent="0.25">
      <c r="H81" s="149" t="str">
        <f>"TOTAL - "&amp;$F$12</f>
        <v>TOTAL - Ministerio de Salud Pública y Lucha contra el SIDA</v>
      </c>
      <c r="I81" s="264">
        <f>SUM(I25,I31,I37,I43,I49,I55,I61,I67,I73,I79)</f>
        <v>104148358716.2625</v>
      </c>
      <c r="J81" s="264">
        <f>SUM(J25,J31,J37,J43,J49,J55,J61,J67,J73,J79)</f>
        <v>20829671743.252499</v>
      </c>
      <c r="K81" s="264">
        <f t="shared" ref="K81:N81" si="31">SUM(K25,K31,K37,K43,K49,K55,K61,K67,K73,K79)</f>
        <v>20829671743.252499</v>
      </c>
      <c r="L81" s="264">
        <f t="shared" si="31"/>
        <v>20829671743.252499</v>
      </c>
      <c r="M81" s="264">
        <f t="shared" si="31"/>
        <v>20829671743.252499</v>
      </c>
      <c r="N81" s="264">
        <f t="shared" si="31"/>
        <v>20829671743.252499</v>
      </c>
    </row>
    <row r="83" spans="6:14" ht="12" x14ac:dyDescent="0.2">
      <c r="F83" s="44" t="s">
        <v>171</v>
      </c>
    </row>
    <row r="84" spans="6:14" x14ac:dyDescent="0.2">
      <c r="F84" s="49"/>
    </row>
    <row r="85" spans="6:14" x14ac:dyDescent="0.2">
      <c r="F85" s="49"/>
    </row>
    <row r="86" spans="6:14" x14ac:dyDescent="0.2">
      <c r="F86" s="49"/>
    </row>
    <row r="87" spans="6:14" x14ac:dyDescent="0.2">
      <c r="F87" s="49"/>
    </row>
    <row r="90" spans="6:14" ht="12.6" thickBot="1" x14ac:dyDescent="0.25">
      <c r="F90" s="1" t="s">
        <v>411</v>
      </c>
      <c r="G90" s="1" t="s">
        <v>412</v>
      </c>
      <c r="H90" s="406" t="s">
        <v>472</v>
      </c>
      <c r="I90" s="253" t="s">
        <v>106</v>
      </c>
      <c r="J90" s="54" t="str">
        <f>CURR_INT_ABBR</f>
        <v>USD</v>
      </c>
      <c r="K90" s="54" t="str">
        <f>CURR_INT_ABBR</f>
        <v>USD</v>
      </c>
      <c r="L90" s="54" t="str">
        <f>CURR_INT_ABBR</f>
        <v>USD</v>
      </c>
      <c r="M90" s="54" t="str">
        <f>CURR_INT_ABBR</f>
        <v>USD</v>
      </c>
      <c r="N90" s="54" t="str">
        <f>CURR_INT_ABBR</f>
        <v>USD</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67">
        <f t="shared" ref="I91:N100" si="32">I20/EXCHANGE_RATE</f>
        <v>23144.079714724998</v>
      </c>
      <c r="J91" s="154">
        <f t="shared" si="32"/>
        <v>4628.8159429449997</v>
      </c>
      <c r="K91" s="154">
        <f t="shared" si="32"/>
        <v>4628.8159429449997</v>
      </c>
      <c r="L91" s="154">
        <f t="shared" si="32"/>
        <v>4628.8159429449997</v>
      </c>
      <c r="M91" s="154">
        <f t="shared" si="32"/>
        <v>4628.8159429449997</v>
      </c>
      <c r="N91" s="154">
        <f t="shared" si="32"/>
        <v>4628.8159429449997</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67">
        <f t="shared" si="32"/>
        <v>23144.079714724998</v>
      </c>
      <c r="J92" s="154">
        <f t="shared" si="32"/>
        <v>4628.8159429449997</v>
      </c>
      <c r="K92" s="154">
        <f t="shared" si="32"/>
        <v>4628.8159429449997</v>
      </c>
      <c r="L92" s="154">
        <f t="shared" si="32"/>
        <v>4628.8159429449997</v>
      </c>
      <c r="M92" s="154">
        <f t="shared" si="32"/>
        <v>4628.8159429449997</v>
      </c>
      <c r="N92" s="154">
        <f t="shared" si="32"/>
        <v>4628.8159429449997</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67">
        <f t="shared" si="32"/>
        <v>23144.079714724998</v>
      </c>
      <c r="J93" s="154">
        <f t="shared" si="32"/>
        <v>4628.8159429449997</v>
      </c>
      <c r="K93" s="154">
        <f t="shared" si="32"/>
        <v>4628.8159429449997</v>
      </c>
      <c r="L93" s="154">
        <f t="shared" si="32"/>
        <v>4628.8159429449997</v>
      </c>
      <c r="M93" s="154">
        <f t="shared" si="32"/>
        <v>4628.8159429449997</v>
      </c>
      <c r="N93" s="154">
        <f t="shared" si="32"/>
        <v>4628.8159429449997</v>
      </c>
    </row>
    <row r="94" spans="6:14" ht="22.8" x14ac:dyDescent="0.2">
      <c r="F94" s="444"/>
      <c r="G94" s="41" t="str">
        <f>STRAT1_IND4</f>
        <v>El marco legislativo y reglamentario de la nutrición se ha fortalecido y está en funcionamiento.</v>
      </c>
      <c r="H94" s="268" t="str">
        <f ca="1">OFFSET(Variables_Lu!$D$10,Basic_Setup!H37,0)</f>
        <v>Governance</v>
      </c>
      <c r="I94" s="67">
        <f t="shared" si="32"/>
        <v>23144.079714724998</v>
      </c>
      <c r="J94" s="154">
        <f t="shared" si="32"/>
        <v>4628.8159429449997</v>
      </c>
      <c r="K94" s="154">
        <f t="shared" si="32"/>
        <v>4628.8159429449997</v>
      </c>
      <c r="L94" s="154">
        <f t="shared" si="32"/>
        <v>4628.8159429449997</v>
      </c>
      <c r="M94" s="154">
        <f t="shared" si="32"/>
        <v>4628.8159429449997</v>
      </c>
      <c r="N94" s="154">
        <f t="shared" si="32"/>
        <v>4628.8159429449997</v>
      </c>
    </row>
    <row r="95" spans="6:14" ht="12.6" thickBot="1" x14ac:dyDescent="0.25">
      <c r="F95" s="445"/>
      <c r="G95" s="275" t="str">
        <f>STRAT1_IND5</f>
        <v>Objetivo estratégico 1 Indicador 5</v>
      </c>
      <c r="H95" s="270" t="str">
        <f ca="1">OFFSET(Variables_Lu!$D$10,Basic_Setup!H38,0)</f>
        <v>Governance</v>
      </c>
      <c r="I95" s="67">
        <f t="shared" si="32"/>
        <v>0</v>
      </c>
      <c r="J95" s="154">
        <f t="shared" si="32"/>
        <v>0</v>
      </c>
      <c r="K95" s="154">
        <f t="shared" si="32"/>
        <v>0</v>
      </c>
      <c r="L95" s="154">
        <f t="shared" si="32"/>
        <v>0</v>
      </c>
      <c r="M95" s="154">
        <f t="shared" si="32"/>
        <v>0</v>
      </c>
      <c r="N95" s="154">
        <f t="shared" si="32"/>
        <v>0</v>
      </c>
    </row>
    <row r="96" spans="6:14" ht="12.6" thickBot="1" x14ac:dyDescent="0.25">
      <c r="F96" s="38"/>
      <c r="G96" s="38"/>
      <c r="H96" s="152" t="s">
        <v>107</v>
      </c>
      <c r="I96" s="122">
        <f t="shared" si="32"/>
        <v>92576.318858899991</v>
      </c>
      <c r="J96" s="63">
        <f t="shared" si="32"/>
        <v>18515.263771779999</v>
      </c>
      <c r="K96" s="63">
        <f t="shared" si="32"/>
        <v>18515.263771779999</v>
      </c>
      <c r="L96" s="63">
        <f t="shared" si="32"/>
        <v>18515.263771779999</v>
      </c>
      <c r="M96" s="63">
        <f t="shared" si="32"/>
        <v>18515.263771779999</v>
      </c>
      <c r="N96" s="63">
        <f t="shared" si="32"/>
        <v>18515.263771779999</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67">
        <f t="shared" si="32"/>
        <v>1224707.5515708646</v>
      </c>
      <c r="J97" s="154">
        <f t="shared" si="32"/>
        <v>244941.51031417289</v>
      </c>
      <c r="K97" s="154">
        <f t="shared" si="32"/>
        <v>244941.51031417289</v>
      </c>
      <c r="L97" s="154">
        <f t="shared" si="32"/>
        <v>244941.51031417289</v>
      </c>
      <c r="M97" s="154">
        <f t="shared" si="32"/>
        <v>244941.51031417289</v>
      </c>
      <c r="N97" s="154">
        <f t="shared" si="32"/>
        <v>244941.51031417289</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67">
        <f t="shared" si="32"/>
        <v>1224707.5515708646</v>
      </c>
      <c r="J98" s="154">
        <f t="shared" si="32"/>
        <v>244941.51031417289</v>
      </c>
      <c r="K98" s="154">
        <f t="shared" si="32"/>
        <v>244941.51031417289</v>
      </c>
      <c r="L98" s="154">
        <f t="shared" si="32"/>
        <v>244941.51031417289</v>
      </c>
      <c r="M98" s="154">
        <f t="shared" si="32"/>
        <v>244941.51031417289</v>
      </c>
      <c r="N98" s="154">
        <f t="shared" si="32"/>
        <v>244941.51031417289</v>
      </c>
    </row>
    <row r="99" spans="6:14" ht="22.8" x14ac:dyDescent="0.2">
      <c r="F99" s="444"/>
      <c r="G99" s="42" t="str">
        <f>STRAT2_IND3</f>
        <v>Se refuerzan las intervenciones comunitarias en materia de nutrición.</v>
      </c>
      <c r="H99" s="268" t="str">
        <f ca="1">OFFSET(Variables_Lu!$D$10,Basic_Setup!H42,0)</f>
        <v>Nutrition-specific</v>
      </c>
      <c r="I99" s="67">
        <f t="shared" si="32"/>
        <v>1224707.5515708646</v>
      </c>
      <c r="J99" s="154">
        <f t="shared" si="32"/>
        <v>244941.51031417289</v>
      </c>
      <c r="K99" s="154">
        <f t="shared" si="32"/>
        <v>244941.51031417289</v>
      </c>
      <c r="L99" s="154">
        <f t="shared" si="32"/>
        <v>244941.51031417289</v>
      </c>
      <c r="M99" s="154">
        <f t="shared" si="32"/>
        <v>244941.51031417289</v>
      </c>
      <c r="N99" s="154">
        <f t="shared" si="32"/>
        <v>244941.51031417289</v>
      </c>
    </row>
    <row r="100" spans="6:14" ht="12" x14ac:dyDescent="0.2">
      <c r="F100" s="444"/>
      <c r="G100" s="41" t="str">
        <f>STRAT2_IND4</f>
        <v>Objetivo estratégico 2 Indicador 4</v>
      </c>
      <c r="H100" s="268" t="str">
        <f ca="1">OFFSET(Variables_Lu!$D$10,Basic_Setup!H43,0)</f>
        <v>Nutrition-specific</v>
      </c>
      <c r="I100" s="67">
        <f t="shared" si="32"/>
        <v>0</v>
      </c>
      <c r="J100" s="154">
        <f t="shared" si="32"/>
        <v>0</v>
      </c>
      <c r="K100" s="154">
        <f t="shared" si="32"/>
        <v>0</v>
      </c>
      <c r="L100" s="154">
        <f t="shared" si="32"/>
        <v>0</v>
      </c>
      <c r="M100" s="154">
        <f t="shared" si="32"/>
        <v>0</v>
      </c>
      <c r="N100" s="154">
        <f t="shared" si="32"/>
        <v>0</v>
      </c>
    </row>
    <row r="101" spans="6:14" ht="12.6" thickBot="1" x14ac:dyDescent="0.25">
      <c r="F101" s="445"/>
      <c r="G101" s="275" t="str">
        <f>STRAT2_IND5</f>
        <v>Objetivo estratégico 2 Indicador 5</v>
      </c>
      <c r="H101" s="270" t="str">
        <f ca="1">OFFSET(Variables_Lu!$D$10,Basic_Setup!H44,0)</f>
        <v>Nutrition-specific</v>
      </c>
      <c r="I101" s="67">
        <f t="shared" ref="I101:N110" si="33">I30/EXCHANGE_RATE</f>
        <v>0</v>
      </c>
      <c r="J101" s="154">
        <f t="shared" si="33"/>
        <v>0</v>
      </c>
      <c r="K101" s="154">
        <f t="shared" si="33"/>
        <v>0</v>
      </c>
      <c r="L101" s="154">
        <f t="shared" si="33"/>
        <v>0</v>
      </c>
      <c r="M101" s="154">
        <f t="shared" si="33"/>
        <v>0</v>
      </c>
      <c r="N101" s="154">
        <f t="shared" si="33"/>
        <v>0</v>
      </c>
    </row>
    <row r="102" spans="6:14" ht="12.6" thickBot="1" x14ac:dyDescent="0.25">
      <c r="F102" s="38"/>
      <c r="G102" s="38"/>
      <c r="H102" s="152" t="s">
        <v>108</v>
      </c>
      <c r="I102" s="122">
        <f t="shared" si="33"/>
        <v>3674122.6547125932</v>
      </c>
      <c r="J102" s="63">
        <f t="shared" si="33"/>
        <v>734824.53094251873</v>
      </c>
      <c r="K102" s="63">
        <f t="shared" si="33"/>
        <v>734824.53094251873</v>
      </c>
      <c r="L102" s="63">
        <f t="shared" si="33"/>
        <v>734824.53094251873</v>
      </c>
      <c r="M102" s="63">
        <f t="shared" si="33"/>
        <v>734824.53094251873</v>
      </c>
      <c r="N102" s="63">
        <f t="shared" si="33"/>
        <v>734824.53094251873</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67">
        <f t="shared" si="33"/>
        <v>14482407.881489169</v>
      </c>
      <c r="J103" s="154">
        <f t="shared" si="33"/>
        <v>2896481.5762978336</v>
      </c>
      <c r="K103" s="154">
        <f t="shared" si="33"/>
        <v>2896481.5762978336</v>
      </c>
      <c r="L103" s="154">
        <f t="shared" si="33"/>
        <v>2896481.5762978336</v>
      </c>
      <c r="M103" s="154">
        <f t="shared" si="33"/>
        <v>2896481.5762978336</v>
      </c>
      <c r="N103" s="154">
        <f t="shared" si="33"/>
        <v>2896481.5762978336</v>
      </c>
    </row>
    <row r="104" spans="6:14" ht="22.8" x14ac:dyDescent="0.2">
      <c r="F104" s="444"/>
      <c r="G104" s="42" t="str">
        <f>STRAT3_IND2</f>
        <v xml:space="preserve"> La seguridad alimentaria está garantizada para toda la nación.</v>
      </c>
      <c r="H104" s="268" t="str">
        <f ca="1">OFFSET(Variables_Lu!$D$10,Basic_Setup!H47,0)</f>
        <v>Nutrition-sensitive</v>
      </c>
      <c r="I104" s="67">
        <f t="shared" si="33"/>
        <v>14482407.881489169</v>
      </c>
      <c r="J104" s="154">
        <f t="shared" si="33"/>
        <v>2896481.5762978336</v>
      </c>
      <c r="K104" s="154">
        <f t="shared" si="33"/>
        <v>2896481.5762978336</v>
      </c>
      <c r="L104" s="154">
        <f t="shared" si="33"/>
        <v>2896481.5762978336</v>
      </c>
      <c r="M104" s="154">
        <f t="shared" si="33"/>
        <v>2896481.5762978336</v>
      </c>
      <c r="N104" s="154">
        <f t="shared" si="33"/>
        <v>2896481.5762978336</v>
      </c>
    </row>
    <row r="105" spans="6:14" ht="12" x14ac:dyDescent="0.2">
      <c r="F105" s="444"/>
      <c r="G105" s="42" t="str">
        <f>STRAT3_IND3</f>
        <v>Objetivo estratégico 3 Indicador 3</v>
      </c>
      <c r="H105" s="268" t="str">
        <f ca="1">OFFSET(Variables_Lu!$D$10,Basic_Setup!H48,0)</f>
        <v>Nutrition-specific</v>
      </c>
      <c r="I105" s="67">
        <f t="shared" si="33"/>
        <v>0</v>
      </c>
      <c r="J105" s="154">
        <f t="shared" si="33"/>
        <v>0</v>
      </c>
      <c r="K105" s="154">
        <f t="shared" si="33"/>
        <v>0</v>
      </c>
      <c r="L105" s="154">
        <f t="shared" si="33"/>
        <v>0</v>
      </c>
      <c r="M105" s="154">
        <f t="shared" si="33"/>
        <v>0</v>
      </c>
      <c r="N105" s="154">
        <f t="shared" si="33"/>
        <v>0</v>
      </c>
    </row>
    <row r="106" spans="6:14" ht="12" x14ac:dyDescent="0.2">
      <c r="F106" s="444"/>
      <c r="G106" s="41" t="str">
        <f>STRAT3_IND4</f>
        <v>Objetivo estratégico 3 Indicador 4</v>
      </c>
      <c r="H106" s="268" t="str">
        <f ca="1">OFFSET(Variables_Lu!$D$10,Basic_Setup!H49,0)</f>
        <v>Nutrition-specific</v>
      </c>
      <c r="I106" s="67">
        <f t="shared" si="33"/>
        <v>0</v>
      </c>
      <c r="J106" s="154">
        <f t="shared" si="33"/>
        <v>0</v>
      </c>
      <c r="K106" s="154">
        <f t="shared" si="33"/>
        <v>0</v>
      </c>
      <c r="L106" s="154">
        <f t="shared" si="33"/>
        <v>0</v>
      </c>
      <c r="M106" s="154">
        <f t="shared" si="33"/>
        <v>0</v>
      </c>
      <c r="N106" s="154">
        <f t="shared" si="33"/>
        <v>0</v>
      </c>
    </row>
    <row r="107" spans="6:14" ht="12.6" thickBot="1" x14ac:dyDescent="0.25">
      <c r="F107" s="445"/>
      <c r="G107" s="275" t="str">
        <f>STRAT3_IND5</f>
        <v>Objetivo estratégico 3 Indicador 5</v>
      </c>
      <c r="H107" s="270" t="str">
        <f ca="1">OFFSET(Variables_Lu!$D$10,Basic_Setup!H50,0)</f>
        <v>Nutrition-specific</v>
      </c>
      <c r="I107" s="67">
        <f t="shared" si="33"/>
        <v>0</v>
      </c>
      <c r="J107" s="154">
        <f t="shared" si="33"/>
        <v>0</v>
      </c>
      <c r="K107" s="154">
        <f t="shared" si="33"/>
        <v>0</v>
      </c>
      <c r="L107" s="154">
        <f t="shared" si="33"/>
        <v>0</v>
      </c>
      <c r="M107" s="154">
        <f t="shared" si="33"/>
        <v>0</v>
      </c>
      <c r="N107" s="154">
        <f t="shared" si="33"/>
        <v>0</v>
      </c>
    </row>
    <row r="108" spans="6:14" ht="12.6" thickBot="1" x14ac:dyDescent="0.25">
      <c r="H108" s="152" t="s">
        <v>109</v>
      </c>
      <c r="I108" s="122">
        <f t="shared" si="33"/>
        <v>28964815.762978338</v>
      </c>
      <c r="J108" s="63">
        <f t="shared" si="33"/>
        <v>5792963.1525956672</v>
      </c>
      <c r="K108" s="63">
        <f t="shared" si="33"/>
        <v>5792963.1525956672</v>
      </c>
      <c r="L108" s="63">
        <f t="shared" si="33"/>
        <v>5792963.1525956672</v>
      </c>
      <c r="M108" s="63">
        <f t="shared" si="33"/>
        <v>5792963.1525956672</v>
      </c>
      <c r="N108" s="63">
        <f t="shared" si="33"/>
        <v>5792963.1525956672</v>
      </c>
    </row>
    <row r="109" spans="6:14" ht="24"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67">
        <f t="shared" si="33"/>
        <v>8152502.0795118809</v>
      </c>
      <c r="J109" s="154">
        <f t="shared" si="33"/>
        <v>1630500.4159023762</v>
      </c>
      <c r="K109" s="154">
        <f t="shared" si="33"/>
        <v>1630500.4159023762</v>
      </c>
      <c r="L109" s="154">
        <f t="shared" si="33"/>
        <v>1630500.4159023762</v>
      </c>
      <c r="M109" s="154">
        <f t="shared" si="33"/>
        <v>1630500.4159023762</v>
      </c>
      <c r="N109" s="154">
        <f t="shared" si="33"/>
        <v>1630500.4159023762</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67">
        <f t="shared" si="33"/>
        <v>8152502.0795118809</v>
      </c>
      <c r="J110" s="154">
        <f t="shared" si="33"/>
        <v>1630500.4159023762</v>
      </c>
      <c r="K110" s="154">
        <f t="shared" si="33"/>
        <v>1630500.4159023762</v>
      </c>
      <c r="L110" s="154">
        <f t="shared" si="33"/>
        <v>1630500.4159023762</v>
      </c>
      <c r="M110" s="154">
        <f t="shared" si="33"/>
        <v>1630500.4159023762</v>
      </c>
      <c r="N110" s="154">
        <f t="shared" si="33"/>
        <v>1630500.4159023762</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67">
        <f t="shared" ref="I111:N120" si="34">I40/EXCHANGE_RATE</f>
        <v>8152502.0795118809</v>
      </c>
      <c r="J111" s="154">
        <f t="shared" si="34"/>
        <v>1630500.4159023762</v>
      </c>
      <c r="K111" s="154">
        <f t="shared" si="34"/>
        <v>1630500.4159023762</v>
      </c>
      <c r="L111" s="154">
        <f t="shared" si="34"/>
        <v>1630500.4159023762</v>
      </c>
      <c r="M111" s="154">
        <f t="shared" si="34"/>
        <v>1630500.4159023762</v>
      </c>
      <c r="N111" s="154">
        <f t="shared" si="34"/>
        <v>1630500.4159023762</v>
      </c>
    </row>
    <row r="112" spans="6:14" ht="12" x14ac:dyDescent="0.2">
      <c r="F112" s="444"/>
      <c r="G112" s="41" t="str">
        <f>STRAT4_IND4</f>
        <v>Objetivo estratégico 4 Indicador 4</v>
      </c>
      <c r="H112" s="268" t="str">
        <f ca="1">OFFSET(Variables_Lu!$D$10,Basic_Setup!H55,0)</f>
        <v>Nutrition-specific</v>
      </c>
      <c r="I112" s="67">
        <f t="shared" si="34"/>
        <v>0</v>
      </c>
      <c r="J112" s="154">
        <f t="shared" si="34"/>
        <v>0</v>
      </c>
      <c r="K112" s="154">
        <f t="shared" si="34"/>
        <v>0</v>
      </c>
      <c r="L112" s="154">
        <f t="shared" si="34"/>
        <v>0</v>
      </c>
      <c r="M112" s="154">
        <f t="shared" si="34"/>
        <v>0</v>
      </c>
      <c r="N112" s="154">
        <f t="shared" si="34"/>
        <v>0</v>
      </c>
    </row>
    <row r="113" spans="6:14" ht="12.6" thickBot="1" x14ac:dyDescent="0.25">
      <c r="F113" s="445"/>
      <c r="G113" s="275" t="str">
        <f>STRAT4_IND5</f>
        <v>Objetivo estratégico 4 Indicador 5</v>
      </c>
      <c r="H113" s="270" t="str">
        <f ca="1">OFFSET(Variables_Lu!$D$10,Basic_Setup!H56,0)</f>
        <v>Nutrition-specific</v>
      </c>
      <c r="I113" s="67">
        <f t="shared" si="34"/>
        <v>0</v>
      </c>
      <c r="J113" s="154">
        <f t="shared" si="34"/>
        <v>0</v>
      </c>
      <c r="K113" s="154">
        <f t="shared" si="34"/>
        <v>0</v>
      </c>
      <c r="L113" s="154">
        <f t="shared" si="34"/>
        <v>0</v>
      </c>
      <c r="M113" s="154">
        <f t="shared" si="34"/>
        <v>0</v>
      </c>
      <c r="N113" s="154">
        <f t="shared" si="34"/>
        <v>0</v>
      </c>
    </row>
    <row r="114" spans="6:14" ht="12.6" thickBot="1" x14ac:dyDescent="0.25">
      <c r="H114" s="152" t="s">
        <v>110</v>
      </c>
      <c r="I114" s="122">
        <f t="shared" si="34"/>
        <v>24457506.238535643</v>
      </c>
      <c r="J114" s="63">
        <f t="shared" si="34"/>
        <v>4891501.2477071285</v>
      </c>
      <c r="K114" s="63">
        <f t="shared" si="34"/>
        <v>4891501.2477071285</v>
      </c>
      <c r="L114" s="63">
        <f t="shared" si="34"/>
        <v>4891501.2477071285</v>
      </c>
      <c r="M114" s="63">
        <f t="shared" si="34"/>
        <v>4891501.2477071285</v>
      </c>
      <c r="N114" s="63">
        <f t="shared" si="34"/>
        <v>4891501.2477071285</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67">
        <f t="shared" si="34"/>
        <v>223726.10390900835</v>
      </c>
      <c r="J115" s="154">
        <f t="shared" si="34"/>
        <v>44745.220781801669</v>
      </c>
      <c r="K115" s="154">
        <f t="shared" si="34"/>
        <v>44745.220781801669</v>
      </c>
      <c r="L115" s="154">
        <f t="shared" si="34"/>
        <v>44745.220781801669</v>
      </c>
      <c r="M115" s="154">
        <f t="shared" si="34"/>
        <v>44745.220781801669</v>
      </c>
      <c r="N115" s="154">
        <f t="shared" si="34"/>
        <v>44745.220781801669</v>
      </c>
    </row>
    <row r="116" spans="6:14" ht="22.8" x14ac:dyDescent="0.2">
      <c r="F116" s="444"/>
      <c r="G116" s="42" t="str">
        <f>STRAT5_IND2</f>
        <v>Se promueven dietas saludables y estilos de vida saludables para las personas.</v>
      </c>
      <c r="H116" s="268" t="str">
        <f ca="1">OFFSET(Variables_Lu!$D$10,Basic_Setup!H59,0)</f>
        <v>Nutrition-specific</v>
      </c>
      <c r="I116" s="67">
        <f t="shared" si="34"/>
        <v>223726.10390900835</v>
      </c>
      <c r="J116" s="154">
        <f t="shared" si="34"/>
        <v>44745.220781801669</v>
      </c>
      <c r="K116" s="154">
        <f t="shared" si="34"/>
        <v>44745.220781801669</v>
      </c>
      <c r="L116" s="154">
        <f t="shared" si="34"/>
        <v>44745.220781801669</v>
      </c>
      <c r="M116" s="154">
        <f t="shared" si="34"/>
        <v>44745.220781801669</v>
      </c>
      <c r="N116" s="154">
        <f t="shared" si="34"/>
        <v>44745.220781801669</v>
      </c>
    </row>
    <row r="117" spans="6:14" ht="22.8" x14ac:dyDescent="0.2">
      <c r="F117" s="444"/>
      <c r="G117" s="42" t="str">
        <f>STRAT5_IND3</f>
        <v>Se promueven las buenas prácticas WASH a nivel comunitario y doméstico</v>
      </c>
      <c r="H117" s="268" t="str">
        <f ca="1">OFFSET(Variables_Lu!$D$10,Basic_Setup!H60,0)</f>
        <v>Nutrition-sensitive</v>
      </c>
      <c r="I117" s="67">
        <f t="shared" si="34"/>
        <v>223726.10390900835</v>
      </c>
      <c r="J117" s="154">
        <f t="shared" si="34"/>
        <v>44745.220781801669</v>
      </c>
      <c r="K117" s="154">
        <f t="shared" si="34"/>
        <v>44745.220781801669</v>
      </c>
      <c r="L117" s="154">
        <f t="shared" si="34"/>
        <v>44745.220781801669</v>
      </c>
      <c r="M117" s="154">
        <f t="shared" si="34"/>
        <v>44745.220781801669</v>
      </c>
      <c r="N117" s="154">
        <f t="shared" si="34"/>
        <v>44745.220781801669</v>
      </c>
    </row>
    <row r="118" spans="6:14" ht="12" x14ac:dyDescent="0.2">
      <c r="F118" s="444"/>
      <c r="G118" s="41" t="str">
        <f>STRAT5_IND4</f>
        <v>Objetivo estratégico 5 Indicador 4</v>
      </c>
      <c r="H118" s="268" t="str">
        <f ca="1">OFFSET(Variables_Lu!$D$10,Basic_Setup!H61,0)</f>
        <v>Nutrition-specific</v>
      </c>
      <c r="I118" s="67">
        <f t="shared" si="34"/>
        <v>0</v>
      </c>
      <c r="J118" s="154">
        <f t="shared" si="34"/>
        <v>0</v>
      </c>
      <c r="K118" s="154">
        <f t="shared" si="34"/>
        <v>0</v>
      </c>
      <c r="L118" s="154">
        <f t="shared" si="34"/>
        <v>0</v>
      </c>
      <c r="M118" s="154">
        <f t="shared" si="34"/>
        <v>0</v>
      </c>
      <c r="N118" s="154">
        <f t="shared" si="34"/>
        <v>0</v>
      </c>
    </row>
    <row r="119" spans="6:14" ht="12.6" thickBot="1" x14ac:dyDescent="0.25">
      <c r="F119" s="445"/>
      <c r="G119" s="275" t="str">
        <f>STRAT5_IND5</f>
        <v>Objetivo estratégico 5 Indicador 5</v>
      </c>
      <c r="H119" s="270" t="str">
        <f ca="1">OFFSET(Variables_Lu!$D$10,Basic_Setup!H62,0)</f>
        <v>Nutrition-specific</v>
      </c>
      <c r="I119" s="67">
        <f t="shared" si="34"/>
        <v>0</v>
      </c>
      <c r="J119" s="154">
        <f t="shared" si="34"/>
        <v>0</v>
      </c>
      <c r="K119" s="154">
        <f t="shared" si="34"/>
        <v>0</v>
      </c>
      <c r="L119" s="154">
        <f t="shared" si="34"/>
        <v>0</v>
      </c>
      <c r="M119" s="154">
        <f t="shared" si="34"/>
        <v>0</v>
      </c>
      <c r="N119" s="154">
        <f t="shared" si="34"/>
        <v>0</v>
      </c>
    </row>
    <row r="120" spans="6:14" ht="12.6" thickBot="1" x14ac:dyDescent="0.25">
      <c r="H120" s="152" t="s">
        <v>111</v>
      </c>
      <c r="I120" s="122">
        <f t="shared" si="34"/>
        <v>671178.31172702496</v>
      </c>
      <c r="J120" s="63">
        <f t="shared" si="34"/>
        <v>134235.662345405</v>
      </c>
      <c r="K120" s="63">
        <f t="shared" si="34"/>
        <v>134235.662345405</v>
      </c>
      <c r="L120" s="63">
        <f t="shared" si="34"/>
        <v>134235.662345405</v>
      </c>
      <c r="M120" s="63">
        <f t="shared" si="34"/>
        <v>134235.662345405</v>
      </c>
      <c r="N120" s="63">
        <f t="shared" si="34"/>
        <v>134235.662345405</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67">
        <f t="shared" ref="I121:N130" si="35">I50/EXCHANGE_RATE</f>
        <v>0</v>
      </c>
      <c r="J121" s="154">
        <f t="shared" si="35"/>
        <v>0</v>
      </c>
      <c r="K121" s="154">
        <f t="shared" si="35"/>
        <v>0</v>
      </c>
      <c r="L121" s="154">
        <f t="shared" si="35"/>
        <v>0</v>
      </c>
      <c r="M121" s="154">
        <f t="shared" si="35"/>
        <v>0</v>
      </c>
      <c r="N121" s="154">
        <f t="shared" si="35"/>
        <v>0</v>
      </c>
    </row>
    <row r="122" spans="6:14" ht="12" x14ac:dyDescent="0.2">
      <c r="F122" s="444"/>
      <c r="G122" s="42" t="str">
        <f>STRAT6_IND2</f>
        <v>Objetivo estratégico 6 Indicador 2</v>
      </c>
      <c r="H122" s="268" t="str">
        <f ca="1">OFFSET(Variables_Lu!$D$10,Basic_Setup!H65,0)</f>
        <v>Nutrition-specific</v>
      </c>
      <c r="I122" s="67">
        <f t="shared" si="35"/>
        <v>0</v>
      </c>
      <c r="J122" s="154">
        <f t="shared" si="35"/>
        <v>0</v>
      </c>
      <c r="K122" s="154">
        <f t="shared" si="35"/>
        <v>0</v>
      </c>
      <c r="L122" s="154">
        <f t="shared" si="35"/>
        <v>0</v>
      </c>
      <c r="M122" s="154">
        <f t="shared" si="35"/>
        <v>0</v>
      </c>
      <c r="N122" s="154">
        <f t="shared" si="35"/>
        <v>0</v>
      </c>
    </row>
    <row r="123" spans="6:14" ht="12" x14ac:dyDescent="0.2">
      <c r="F123" s="444"/>
      <c r="G123" s="42" t="str">
        <f>STRAT6_IND3</f>
        <v>Objetivo estratégico 6 Indicador 3</v>
      </c>
      <c r="H123" s="268" t="str">
        <f ca="1">OFFSET(Variables_Lu!$D$10,Basic_Setup!H66,0)</f>
        <v>Nutrition-specific</v>
      </c>
      <c r="I123" s="67">
        <f t="shared" si="35"/>
        <v>0</v>
      </c>
      <c r="J123" s="154">
        <f t="shared" si="35"/>
        <v>0</v>
      </c>
      <c r="K123" s="154">
        <f t="shared" si="35"/>
        <v>0</v>
      </c>
      <c r="L123" s="154">
        <f t="shared" si="35"/>
        <v>0</v>
      </c>
      <c r="M123" s="154">
        <f t="shared" si="35"/>
        <v>0</v>
      </c>
      <c r="N123" s="154">
        <f t="shared" si="35"/>
        <v>0</v>
      </c>
    </row>
    <row r="124" spans="6:14" ht="12" x14ac:dyDescent="0.2">
      <c r="F124" s="444"/>
      <c r="G124" s="41" t="str">
        <f>STRAT6_IND4</f>
        <v>Objetivo estratégico 6 Indicador 4</v>
      </c>
      <c r="H124" s="268" t="str">
        <f ca="1">OFFSET(Variables_Lu!$D$10,Basic_Setup!H67,0)</f>
        <v>Nutrition-specific</v>
      </c>
      <c r="I124" s="67">
        <f t="shared" si="35"/>
        <v>0</v>
      </c>
      <c r="J124" s="154">
        <f t="shared" si="35"/>
        <v>0</v>
      </c>
      <c r="K124" s="154">
        <f t="shared" si="35"/>
        <v>0</v>
      </c>
      <c r="L124" s="154">
        <f t="shared" si="35"/>
        <v>0</v>
      </c>
      <c r="M124" s="154">
        <f t="shared" si="35"/>
        <v>0</v>
      </c>
      <c r="N124" s="154">
        <f t="shared" si="35"/>
        <v>0</v>
      </c>
    </row>
    <row r="125" spans="6:14" ht="12.6" thickBot="1" x14ac:dyDescent="0.25">
      <c r="F125" s="445"/>
      <c r="G125" s="275" t="str">
        <f>STRAT6_IND5</f>
        <v>Objetivo estratégico 6 Indicador 5</v>
      </c>
      <c r="H125" s="270" t="str">
        <f ca="1">OFFSET(Variables_Lu!$D$10,Basic_Setup!H68,0)</f>
        <v>Nutrition-specific</v>
      </c>
      <c r="I125" s="67">
        <f t="shared" si="35"/>
        <v>0</v>
      </c>
      <c r="J125" s="154">
        <f t="shared" si="35"/>
        <v>0</v>
      </c>
      <c r="K125" s="154">
        <f t="shared" si="35"/>
        <v>0</v>
      </c>
      <c r="L125" s="154">
        <f t="shared" si="35"/>
        <v>0</v>
      </c>
      <c r="M125" s="154">
        <f t="shared" si="35"/>
        <v>0</v>
      </c>
      <c r="N125" s="154">
        <f t="shared" si="35"/>
        <v>0</v>
      </c>
    </row>
    <row r="126" spans="6:14" ht="12.6" thickBot="1" x14ac:dyDescent="0.25">
      <c r="H126" s="152" t="s">
        <v>159</v>
      </c>
      <c r="I126" s="122">
        <f t="shared" si="35"/>
        <v>0</v>
      </c>
      <c r="J126" s="63">
        <f t="shared" si="35"/>
        <v>0</v>
      </c>
      <c r="K126" s="63">
        <f t="shared" si="35"/>
        <v>0</v>
      </c>
      <c r="L126" s="63">
        <f t="shared" si="35"/>
        <v>0</v>
      </c>
      <c r="M126" s="63">
        <f t="shared" si="35"/>
        <v>0</v>
      </c>
      <c r="N126" s="63">
        <f t="shared" si="35"/>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67">
        <f t="shared" si="35"/>
        <v>0</v>
      </c>
      <c r="J127" s="154">
        <f t="shared" si="35"/>
        <v>0</v>
      </c>
      <c r="K127" s="154">
        <f t="shared" si="35"/>
        <v>0</v>
      </c>
      <c r="L127" s="154">
        <f t="shared" si="35"/>
        <v>0</v>
      </c>
      <c r="M127" s="154">
        <f t="shared" si="35"/>
        <v>0</v>
      </c>
      <c r="N127" s="154">
        <f t="shared" si="35"/>
        <v>0</v>
      </c>
    </row>
    <row r="128" spans="6:14" ht="12" x14ac:dyDescent="0.2">
      <c r="F128" s="444"/>
      <c r="G128" s="42" t="str">
        <f>STRAT7_IND2</f>
        <v>Objetivo estratégico 7 Indicador 2</v>
      </c>
      <c r="H128" s="268" t="str">
        <f ca="1">OFFSET(Variables_Lu!$D$10,Basic_Setup!H71,0)</f>
        <v>Nutrition-specific</v>
      </c>
      <c r="I128" s="67">
        <f t="shared" si="35"/>
        <v>0</v>
      </c>
      <c r="J128" s="154">
        <f t="shared" si="35"/>
        <v>0</v>
      </c>
      <c r="K128" s="154">
        <f t="shared" si="35"/>
        <v>0</v>
      </c>
      <c r="L128" s="154">
        <f t="shared" si="35"/>
        <v>0</v>
      </c>
      <c r="M128" s="154">
        <f t="shared" si="35"/>
        <v>0</v>
      </c>
      <c r="N128" s="154">
        <f t="shared" si="35"/>
        <v>0</v>
      </c>
    </row>
    <row r="129" spans="6:14" ht="12" x14ac:dyDescent="0.2">
      <c r="F129" s="444"/>
      <c r="G129" s="42" t="str">
        <f>STRAT7_IND3</f>
        <v>Objetivo estratégico 7 Indicador 3</v>
      </c>
      <c r="H129" s="268" t="str">
        <f ca="1">OFFSET(Variables_Lu!$D$10,Basic_Setup!H72,0)</f>
        <v>Nutrition-specific</v>
      </c>
      <c r="I129" s="67">
        <f t="shared" si="35"/>
        <v>0</v>
      </c>
      <c r="J129" s="154">
        <f t="shared" si="35"/>
        <v>0</v>
      </c>
      <c r="K129" s="154">
        <f t="shared" si="35"/>
        <v>0</v>
      </c>
      <c r="L129" s="154">
        <f t="shared" si="35"/>
        <v>0</v>
      </c>
      <c r="M129" s="154">
        <f t="shared" si="35"/>
        <v>0</v>
      </c>
      <c r="N129" s="154">
        <f t="shared" si="35"/>
        <v>0</v>
      </c>
    </row>
    <row r="130" spans="6:14" ht="12" x14ac:dyDescent="0.2">
      <c r="F130" s="444"/>
      <c r="G130" s="41" t="str">
        <f>STRAT7_IND4</f>
        <v>Objetivo estratégico 7 Indicador 4</v>
      </c>
      <c r="H130" s="268" t="str">
        <f ca="1">OFFSET(Variables_Lu!$D$10,Basic_Setup!H73,0)</f>
        <v>Nutrition-specific</v>
      </c>
      <c r="I130" s="67">
        <f t="shared" si="35"/>
        <v>0</v>
      </c>
      <c r="J130" s="154">
        <f t="shared" si="35"/>
        <v>0</v>
      </c>
      <c r="K130" s="154">
        <f t="shared" si="35"/>
        <v>0</v>
      </c>
      <c r="L130" s="154">
        <f t="shared" si="35"/>
        <v>0</v>
      </c>
      <c r="M130" s="154">
        <f t="shared" si="35"/>
        <v>0</v>
      </c>
      <c r="N130" s="154">
        <f t="shared" si="35"/>
        <v>0</v>
      </c>
    </row>
    <row r="131" spans="6:14" ht="12.6" thickBot="1" x14ac:dyDescent="0.25">
      <c r="F131" s="445"/>
      <c r="G131" s="275" t="str">
        <f>STRAT7_IND5</f>
        <v>Objetivo estratégico 7 Indicador 5</v>
      </c>
      <c r="H131" s="270" t="str">
        <f ca="1">OFFSET(Variables_Lu!$D$10,Basic_Setup!H74,0)</f>
        <v>Nutrition-specific</v>
      </c>
      <c r="I131" s="67">
        <f t="shared" ref="I131:N140" si="36">I60/EXCHANGE_RATE</f>
        <v>0</v>
      </c>
      <c r="J131" s="154">
        <f t="shared" si="36"/>
        <v>0</v>
      </c>
      <c r="K131" s="154">
        <f t="shared" si="36"/>
        <v>0</v>
      </c>
      <c r="L131" s="154">
        <f t="shared" si="36"/>
        <v>0</v>
      </c>
      <c r="M131" s="154">
        <f t="shared" si="36"/>
        <v>0</v>
      </c>
      <c r="N131" s="154">
        <f t="shared" si="36"/>
        <v>0</v>
      </c>
    </row>
    <row r="132" spans="6:14" ht="12.6" thickBot="1" x14ac:dyDescent="0.25">
      <c r="H132" s="152" t="s">
        <v>160</v>
      </c>
      <c r="I132" s="122">
        <f t="shared" si="36"/>
        <v>0</v>
      </c>
      <c r="J132" s="63">
        <f t="shared" si="36"/>
        <v>0</v>
      </c>
      <c r="K132" s="63">
        <f t="shared" si="36"/>
        <v>0</v>
      </c>
      <c r="L132" s="63">
        <f t="shared" si="36"/>
        <v>0</v>
      </c>
      <c r="M132" s="63">
        <f t="shared" si="36"/>
        <v>0</v>
      </c>
      <c r="N132" s="63">
        <f t="shared" si="36"/>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67">
        <f t="shared" si="36"/>
        <v>0</v>
      </c>
      <c r="J133" s="154">
        <f t="shared" si="36"/>
        <v>0</v>
      </c>
      <c r="K133" s="154">
        <f t="shared" si="36"/>
        <v>0</v>
      </c>
      <c r="L133" s="154">
        <f t="shared" si="36"/>
        <v>0</v>
      </c>
      <c r="M133" s="154">
        <f t="shared" si="36"/>
        <v>0</v>
      </c>
      <c r="N133" s="154">
        <f t="shared" si="36"/>
        <v>0</v>
      </c>
    </row>
    <row r="134" spans="6:14" ht="12" x14ac:dyDescent="0.2">
      <c r="F134" s="444"/>
      <c r="G134" s="42" t="str">
        <f>STRAT8_IND2</f>
        <v>Objetivo estratégico 8 Indicador 2</v>
      </c>
      <c r="H134" s="268" t="str">
        <f ca="1">OFFSET(Variables_Lu!$D$10,Basic_Setup!H77,0)</f>
        <v>Nutrition-specific</v>
      </c>
      <c r="I134" s="67">
        <f t="shared" si="36"/>
        <v>0</v>
      </c>
      <c r="J134" s="154">
        <f t="shared" si="36"/>
        <v>0</v>
      </c>
      <c r="K134" s="154">
        <f t="shared" si="36"/>
        <v>0</v>
      </c>
      <c r="L134" s="154">
        <f t="shared" si="36"/>
        <v>0</v>
      </c>
      <c r="M134" s="154">
        <f t="shared" si="36"/>
        <v>0</v>
      </c>
      <c r="N134" s="154">
        <f t="shared" si="36"/>
        <v>0</v>
      </c>
    </row>
    <row r="135" spans="6:14" ht="12" x14ac:dyDescent="0.2">
      <c r="F135" s="444"/>
      <c r="G135" s="42" t="str">
        <f>STRAT8_IND3</f>
        <v>Objetivo estratégico 8 Indicador 3</v>
      </c>
      <c r="H135" s="268" t="str">
        <f ca="1">OFFSET(Variables_Lu!$D$10,Basic_Setup!H78,0)</f>
        <v>Nutrition-specific</v>
      </c>
      <c r="I135" s="67">
        <f t="shared" si="36"/>
        <v>0</v>
      </c>
      <c r="J135" s="154">
        <f t="shared" si="36"/>
        <v>0</v>
      </c>
      <c r="K135" s="154">
        <f t="shared" si="36"/>
        <v>0</v>
      </c>
      <c r="L135" s="154">
        <f t="shared" si="36"/>
        <v>0</v>
      </c>
      <c r="M135" s="154">
        <f t="shared" si="36"/>
        <v>0</v>
      </c>
      <c r="N135" s="154">
        <f t="shared" si="36"/>
        <v>0</v>
      </c>
    </row>
    <row r="136" spans="6:14" ht="12" x14ac:dyDescent="0.2">
      <c r="F136" s="444"/>
      <c r="G136" s="41" t="str">
        <f>STRAT8_IND4</f>
        <v>Objetivo estratégico 8 Indicador 4</v>
      </c>
      <c r="H136" s="268" t="str">
        <f ca="1">OFFSET(Variables_Lu!$D$10,Basic_Setup!H79,0)</f>
        <v>Nutrition-specific</v>
      </c>
      <c r="I136" s="67">
        <f t="shared" si="36"/>
        <v>0</v>
      </c>
      <c r="J136" s="154">
        <f t="shared" si="36"/>
        <v>0</v>
      </c>
      <c r="K136" s="154">
        <f t="shared" si="36"/>
        <v>0</v>
      </c>
      <c r="L136" s="154">
        <f t="shared" si="36"/>
        <v>0</v>
      </c>
      <c r="M136" s="154">
        <f t="shared" si="36"/>
        <v>0</v>
      </c>
      <c r="N136" s="154">
        <f t="shared" si="36"/>
        <v>0</v>
      </c>
    </row>
    <row r="137" spans="6:14" ht="12.6" thickBot="1" x14ac:dyDescent="0.25">
      <c r="F137" s="445"/>
      <c r="G137" s="275" t="str">
        <f>STRAT8_IND5</f>
        <v>Objetivo estratégico 8 Indicador 5</v>
      </c>
      <c r="H137" s="270" t="str">
        <f ca="1">OFFSET(Variables_Lu!$D$10,Basic_Setup!H80,0)</f>
        <v>Nutrition-specific</v>
      </c>
      <c r="I137" s="67">
        <f t="shared" si="36"/>
        <v>0</v>
      </c>
      <c r="J137" s="154">
        <f t="shared" si="36"/>
        <v>0</v>
      </c>
      <c r="K137" s="154">
        <f t="shared" si="36"/>
        <v>0</v>
      </c>
      <c r="L137" s="154">
        <f t="shared" si="36"/>
        <v>0</v>
      </c>
      <c r="M137" s="154">
        <f t="shared" si="36"/>
        <v>0</v>
      </c>
      <c r="N137" s="154">
        <f t="shared" si="36"/>
        <v>0</v>
      </c>
    </row>
    <row r="138" spans="6:14" ht="12.6" thickBot="1" x14ac:dyDescent="0.25">
      <c r="H138" s="152" t="s">
        <v>161</v>
      </c>
      <c r="I138" s="122">
        <f t="shared" si="36"/>
        <v>0</v>
      </c>
      <c r="J138" s="63">
        <f t="shared" si="36"/>
        <v>0</v>
      </c>
      <c r="K138" s="63">
        <f t="shared" si="36"/>
        <v>0</v>
      </c>
      <c r="L138" s="63">
        <f t="shared" si="36"/>
        <v>0</v>
      </c>
      <c r="M138" s="63">
        <f t="shared" si="36"/>
        <v>0</v>
      </c>
      <c r="N138" s="63">
        <f t="shared" si="36"/>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67">
        <f t="shared" si="36"/>
        <v>0</v>
      </c>
      <c r="J139" s="154">
        <f t="shared" si="36"/>
        <v>0</v>
      </c>
      <c r="K139" s="154">
        <f t="shared" si="36"/>
        <v>0</v>
      </c>
      <c r="L139" s="154">
        <f t="shared" si="36"/>
        <v>0</v>
      </c>
      <c r="M139" s="154">
        <f t="shared" si="36"/>
        <v>0</v>
      </c>
      <c r="N139" s="154">
        <f t="shared" si="36"/>
        <v>0</v>
      </c>
    </row>
    <row r="140" spans="6:14" ht="12" x14ac:dyDescent="0.2">
      <c r="F140" s="444"/>
      <c r="G140" s="42" t="str">
        <f>STRAT9_IND2</f>
        <v>Objetivo estratégico 9 Indicador 2</v>
      </c>
      <c r="H140" s="268" t="str">
        <f ca="1">OFFSET(Variables_Lu!$D$10,Basic_Setup!H83,0)</f>
        <v>Nutrition-specific</v>
      </c>
      <c r="I140" s="67">
        <f t="shared" si="36"/>
        <v>0</v>
      </c>
      <c r="J140" s="154">
        <f t="shared" si="36"/>
        <v>0</v>
      </c>
      <c r="K140" s="154">
        <f t="shared" si="36"/>
        <v>0</v>
      </c>
      <c r="L140" s="154">
        <f t="shared" si="36"/>
        <v>0</v>
      </c>
      <c r="M140" s="154">
        <f t="shared" si="36"/>
        <v>0</v>
      </c>
      <c r="N140" s="154">
        <f t="shared" si="36"/>
        <v>0</v>
      </c>
    </row>
    <row r="141" spans="6:14" ht="12" x14ac:dyDescent="0.2">
      <c r="F141" s="444"/>
      <c r="G141" s="42" t="str">
        <f>STRAT9_IND3</f>
        <v>Objetivo estratégico 9 Indicador 3</v>
      </c>
      <c r="H141" s="268" t="str">
        <f ca="1">OFFSET(Variables_Lu!$D$10,Basic_Setup!H84,0)</f>
        <v>Nutrition-specific</v>
      </c>
      <c r="I141" s="67">
        <f t="shared" ref="I141:N150" si="37">I70/EXCHANGE_RATE</f>
        <v>0</v>
      </c>
      <c r="J141" s="154">
        <f t="shared" si="37"/>
        <v>0</v>
      </c>
      <c r="K141" s="154">
        <f t="shared" si="37"/>
        <v>0</v>
      </c>
      <c r="L141" s="154">
        <f t="shared" si="37"/>
        <v>0</v>
      </c>
      <c r="M141" s="154">
        <f t="shared" si="37"/>
        <v>0</v>
      </c>
      <c r="N141" s="154">
        <f t="shared" si="37"/>
        <v>0</v>
      </c>
    </row>
    <row r="142" spans="6:14" ht="12" x14ac:dyDescent="0.2">
      <c r="F142" s="444"/>
      <c r="G142" s="41" t="str">
        <f>STRAT9_IND4</f>
        <v>Objetivo estratégico 9 Indicador 4</v>
      </c>
      <c r="H142" s="268" t="str">
        <f ca="1">OFFSET(Variables_Lu!$D$10,Basic_Setup!H85,0)</f>
        <v>Nutrition-specific</v>
      </c>
      <c r="I142" s="67">
        <f t="shared" si="37"/>
        <v>0</v>
      </c>
      <c r="J142" s="154">
        <f t="shared" si="37"/>
        <v>0</v>
      </c>
      <c r="K142" s="154">
        <f t="shared" si="37"/>
        <v>0</v>
      </c>
      <c r="L142" s="154">
        <f t="shared" si="37"/>
        <v>0</v>
      </c>
      <c r="M142" s="154">
        <f t="shared" si="37"/>
        <v>0</v>
      </c>
      <c r="N142" s="154">
        <f t="shared" si="37"/>
        <v>0</v>
      </c>
    </row>
    <row r="143" spans="6:14" ht="12.6" thickBot="1" x14ac:dyDescent="0.25">
      <c r="F143" s="445"/>
      <c r="G143" s="275" t="str">
        <f>STRAT9_IND5</f>
        <v>Objetivo estratégico 9 Indicador 5</v>
      </c>
      <c r="H143" s="270" t="str">
        <f ca="1">OFFSET(Variables_Lu!$D$10,Basic_Setup!H86,0)</f>
        <v>Nutrition-specific</v>
      </c>
      <c r="I143" s="67">
        <f t="shared" si="37"/>
        <v>0</v>
      </c>
      <c r="J143" s="154">
        <f t="shared" si="37"/>
        <v>0</v>
      </c>
      <c r="K143" s="154">
        <f t="shared" si="37"/>
        <v>0</v>
      </c>
      <c r="L143" s="154">
        <f t="shared" si="37"/>
        <v>0</v>
      </c>
      <c r="M143" s="154">
        <f t="shared" si="37"/>
        <v>0</v>
      </c>
      <c r="N143" s="154">
        <f t="shared" si="37"/>
        <v>0</v>
      </c>
    </row>
    <row r="144" spans="6:14" ht="12.6" thickBot="1" x14ac:dyDescent="0.25">
      <c r="H144" s="152" t="s">
        <v>162</v>
      </c>
      <c r="I144" s="122">
        <f t="shared" si="37"/>
        <v>0</v>
      </c>
      <c r="J144" s="63">
        <f t="shared" si="37"/>
        <v>0</v>
      </c>
      <c r="K144" s="63">
        <f t="shared" si="37"/>
        <v>0</v>
      </c>
      <c r="L144" s="63">
        <f t="shared" si="37"/>
        <v>0</v>
      </c>
      <c r="M144" s="63">
        <f t="shared" si="37"/>
        <v>0</v>
      </c>
      <c r="N144" s="63">
        <f t="shared" si="37"/>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67">
        <f t="shared" si="37"/>
        <v>0</v>
      </c>
      <c r="J145" s="154">
        <f t="shared" si="37"/>
        <v>0</v>
      </c>
      <c r="K145" s="154">
        <f t="shared" si="37"/>
        <v>0</v>
      </c>
      <c r="L145" s="154">
        <f t="shared" si="37"/>
        <v>0</v>
      </c>
      <c r="M145" s="154">
        <f t="shared" si="37"/>
        <v>0</v>
      </c>
      <c r="N145" s="154">
        <f t="shared" si="37"/>
        <v>0</v>
      </c>
    </row>
    <row r="146" spans="1:14" ht="12" x14ac:dyDescent="0.2">
      <c r="F146" s="444"/>
      <c r="G146" s="42" t="str">
        <f>STRAT10_IND2</f>
        <v>Objetivo estratégico 10 Indicador 2</v>
      </c>
      <c r="H146" s="268" t="str">
        <f ca="1">OFFSET(Variables_Lu!$D$10,Basic_Setup!H89,0)</f>
        <v>Nutrition-specific</v>
      </c>
      <c r="I146" s="67">
        <f t="shared" si="37"/>
        <v>0</v>
      </c>
      <c r="J146" s="154">
        <f t="shared" si="37"/>
        <v>0</v>
      </c>
      <c r="K146" s="154">
        <f t="shared" si="37"/>
        <v>0</v>
      </c>
      <c r="L146" s="154">
        <f t="shared" si="37"/>
        <v>0</v>
      </c>
      <c r="M146" s="154">
        <f t="shared" si="37"/>
        <v>0</v>
      </c>
      <c r="N146" s="154">
        <f t="shared" si="37"/>
        <v>0</v>
      </c>
    </row>
    <row r="147" spans="1:14" ht="12" x14ac:dyDescent="0.2">
      <c r="F147" s="444"/>
      <c r="G147" s="42" t="str">
        <f>STRAT10_IND3</f>
        <v>Objetivo estratégico 10 Indicador 3</v>
      </c>
      <c r="H147" s="268" t="str">
        <f ca="1">OFFSET(Variables_Lu!$D$10,Basic_Setup!H90,0)</f>
        <v>Nutrition-specific</v>
      </c>
      <c r="I147" s="67">
        <f t="shared" si="37"/>
        <v>0</v>
      </c>
      <c r="J147" s="154">
        <f t="shared" si="37"/>
        <v>0</v>
      </c>
      <c r="K147" s="154">
        <f t="shared" si="37"/>
        <v>0</v>
      </c>
      <c r="L147" s="154">
        <f t="shared" si="37"/>
        <v>0</v>
      </c>
      <c r="M147" s="154">
        <f t="shared" si="37"/>
        <v>0</v>
      </c>
      <c r="N147" s="154">
        <f t="shared" si="37"/>
        <v>0</v>
      </c>
    </row>
    <row r="148" spans="1:14" ht="12" x14ac:dyDescent="0.2">
      <c r="F148" s="444"/>
      <c r="G148" s="41" t="str">
        <f>STRAT10_IND4</f>
        <v>Objetivo estratégico 10 Indicador 4</v>
      </c>
      <c r="H148" s="268" t="str">
        <f ca="1">OFFSET(Variables_Lu!$D$10,Basic_Setup!H91,0)</f>
        <v>Nutrition-specific</v>
      </c>
      <c r="I148" s="67">
        <f t="shared" si="37"/>
        <v>0</v>
      </c>
      <c r="J148" s="154">
        <f t="shared" si="37"/>
        <v>0</v>
      </c>
      <c r="K148" s="154">
        <f t="shared" si="37"/>
        <v>0</v>
      </c>
      <c r="L148" s="154">
        <f t="shared" si="37"/>
        <v>0</v>
      </c>
      <c r="M148" s="154">
        <f t="shared" si="37"/>
        <v>0</v>
      </c>
      <c r="N148" s="154">
        <f t="shared" si="37"/>
        <v>0</v>
      </c>
    </row>
    <row r="149" spans="1:14" ht="12.6" thickBot="1" x14ac:dyDescent="0.25">
      <c r="F149" s="445"/>
      <c r="G149" s="275" t="str">
        <f>STRAT10_IND5</f>
        <v>Objetivo estratégico 10 Indicador 5</v>
      </c>
      <c r="H149" s="270" t="str">
        <f ca="1">OFFSET(Variables_Lu!$D$10,Basic_Setup!H92,0)</f>
        <v>Nutrition-specific</v>
      </c>
      <c r="I149" s="67">
        <f t="shared" si="37"/>
        <v>0</v>
      </c>
      <c r="J149" s="154">
        <f t="shared" si="37"/>
        <v>0</v>
      </c>
      <c r="K149" s="154">
        <f t="shared" si="37"/>
        <v>0</v>
      </c>
      <c r="L149" s="154">
        <f t="shared" si="37"/>
        <v>0</v>
      </c>
      <c r="M149" s="154">
        <f t="shared" si="37"/>
        <v>0</v>
      </c>
      <c r="N149" s="154">
        <f t="shared" si="37"/>
        <v>0</v>
      </c>
    </row>
    <row r="150" spans="1:14" ht="12" x14ac:dyDescent="0.2">
      <c r="H150" s="152" t="s">
        <v>163</v>
      </c>
      <c r="I150" s="122">
        <f t="shared" si="37"/>
        <v>0</v>
      </c>
      <c r="J150" s="63">
        <f t="shared" si="37"/>
        <v>0</v>
      </c>
      <c r="K150" s="63">
        <f t="shared" si="37"/>
        <v>0</v>
      </c>
      <c r="L150" s="63">
        <f t="shared" si="37"/>
        <v>0</v>
      </c>
      <c r="M150" s="63">
        <f t="shared" si="37"/>
        <v>0</v>
      </c>
      <c r="N150" s="63">
        <f t="shared" si="37"/>
        <v>0</v>
      </c>
    </row>
    <row r="151" spans="1:14" x14ac:dyDescent="0.2">
      <c r="I151" s="231"/>
      <c r="J151" s="231"/>
      <c r="K151" s="231"/>
      <c r="L151" s="231"/>
      <c r="M151" s="231"/>
      <c r="N151" s="231"/>
    </row>
    <row r="152" spans="1:14" ht="12.6" thickBot="1" x14ac:dyDescent="0.25">
      <c r="H152" s="149" t="str">
        <f>"TOTAL - "&amp;$F$12</f>
        <v>TOTAL - Ministerio de Salud Pública y Lucha contra el SIDA</v>
      </c>
      <c r="I152" s="65">
        <f t="shared" ref="I152:N152" si="38">I81/EXCHANGE_RATE</f>
        <v>57860199.286812499</v>
      </c>
      <c r="J152" s="65">
        <f t="shared" si="38"/>
        <v>11572039.857362499</v>
      </c>
      <c r="K152" s="65">
        <f t="shared" si="38"/>
        <v>11572039.857362499</v>
      </c>
      <c r="L152" s="65">
        <f t="shared" si="38"/>
        <v>11572039.857362499</v>
      </c>
      <c r="M152" s="65">
        <f t="shared" si="38"/>
        <v>11572039.857362499</v>
      </c>
      <c r="N152" s="65">
        <f t="shared" si="38"/>
        <v>11572039.857362499</v>
      </c>
    </row>
    <row r="153" spans="1:14" ht="12" x14ac:dyDescent="0.2">
      <c r="I153" s="149"/>
    </row>
    <row r="155" spans="1:14" x14ac:dyDescent="0.2">
      <c r="A155" s="39" t="s">
        <v>76</v>
      </c>
      <c r="B155" s="40" t="str">
        <f>"Summary of "&amp;Government6&amp;" - by Result/Indicator Type"</f>
        <v>Summary of Ministerio de Salud Pública y Lucha contra el SIDA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f ca="1">I159/$I$162</f>
        <v>0.5821666666666665</v>
      </c>
      <c r="I159" s="68">
        <f ca="1">SUM(J159:N159)</f>
        <v>60631702832.650803</v>
      </c>
      <c r="J159" s="325">
        <f t="shared" ref="J159:N161" ca="1" si="39">J166*EXCHANGE_RATE</f>
        <v>12126340566.530161</v>
      </c>
      <c r="K159" s="325">
        <f t="shared" ca="1" si="39"/>
        <v>12126340566.530161</v>
      </c>
      <c r="L159" s="325">
        <f t="shared" ca="1" si="39"/>
        <v>12126340566.530161</v>
      </c>
      <c r="M159" s="325">
        <f t="shared" ca="1" si="39"/>
        <v>12126340566.530161</v>
      </c>
      <c r="N159" s="325">
        <f t="shared" ca="1" si="39"/>
        <v>12126340566.530161</v>
      </c>
    </row>
    <row r="160" spans="1:14" ht="12" x14ac:dyDescent="0.2">
      <c r="F160" s="38" t="str">
        <f>Lu_Nutrition_Sensitive</f>
        <v>Nutrition-sensitive</v>
      </c>
      <c r="G160" s="38"/>
      <c r="H160" s="289">
        <f t="shared" ref="H160:H161" ca="1" si="40">I160/$I$162</f>
        <v>0.4162333333333334</v>
      </c>
      <c r="I160" s="69">
        <f ca="1">SUM(J160:N160)</f>
        <v>43350018509.665665</v>
      </c>
      <c r="J160" s="325">
        <f t="shared" ca="1" si="39"/>
        <v>8670003701.9331322</v>
      </c>
      <c r="K160" s="325">
        <f t="shared" ca="1" si="39"/>
        <v>8670003701.9331322</v>
      </c>
      <c r="L160" s="325">
        <f t="shared" ca="1" si="39"/>
        <v>8670003701.9331322</v>
      </c>
      <c r="M160" s="325">
        <f t="shared" ca="1" si="39"/>
        <v>8670003701.9331322</v>
      </c>
      <c r="N160" s="325">
        <f t="shared" ca="1" si="39"/>
        <v>8670003701.9331322</v>
      </c>
    </row>
    <row r="161" spans="6:14" ht="12" x14ac:dyDescent="0.2">
      <c r="F161" s="38" t="str">
        <f>Lu_Governance</f>
        <v>Governance</v>
      </c>
      <c r="G161" s="38"/>
      <c r="H161" s="289">
        <f t="shared" ca="1" si="40"/>
        <v>1.5999999999999999E-3</v>
      </c>
      <c r="I161" s="69">
        <f ca="1">SUM(J161:N161)</f>
        <v>166637373.94601998</v>
      </c>
      <c r="J161" s="325">
        <f t="shared" ca="1" si="39"/>
        <v>33327474.789203998</v>
      </c>
      <c r="K161" s="325">
        <f t="shared" ca="1" si="39"/>
        <v>33327474.789203998</v>
      </c>
      <c r="L161" s="325">
        <f t="shared" ca="1" si="39"/>
        <v>33327474.789203998</v>
      </c>
      <c r="M161" s="325">
        <f t="shared" ca="1" si="39"/>
        <v>33327474.789203998</v>
      </c>
      <c r="N161" s="325">
        <f t="shared" ca="1" si="39"/>
        <v>33327474.789203998</v>
      </c>
    </row>
    <row r="162" spans="6:14" ht="12" x14ac:dyDescent="0.2">
      <c r="F162" s="324" t="str">
        <f>"TOTAL - "&amp;Summary_Govt_Contributions!$F$12&amp;" ("&amp;CURR_LCU_ABBR&amp;")"</f>
        <v>TOTAL - TODAS las contribuciones de las agencias gubernamentales (GOZ)</v>
      </c>
      <c r="G162" s="74"/>
      <c r="H162" s="291">
        <f ca="1">SUM(H159:H161)</f>
        <v>1</v>
      </c>
      <c r="I162" s="57">
        <f ca="1">SUM(J162:N162)</f>
        <v>104148358716.2625</v>
      </c>
      <c r="J162" s="55">
        <f ca="1">SUM(J159:J161)</f>
        <v>20829671743.252499</v>
      </c>
      <c r="K162" s="55">
        <f t="shared" ref="K162:N162" ca="1" si="41">SUM(K159:K161)</f>
        <v>20829671743.252499</v>
      </c>
      <c r="L162" s="55">
        <f t="shared" ca="1" si="41"/>
        <v>20829671743.252499</v>
      </c>
      <c r="M162" s="55">
        <f t="shared" ca="1" si="41"/>
        <v>20829671743.252499</v>
      </c>
      <c r="N162" s="55">
        <f t="shared" ca="1" si="41"/>
        <v>20829671743.252499</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f ca="1">I166/$I$169</f>
        <v>0.58216666666666672</v>
      </c>
      <c r="I166" s="404">
        <f ca="1">SUM(J166:N166)</f>
        <v>33684279.351472668</v>
      </c>
      <c r="J166" s="405">
        <f ca="1">SUMIF($H$91:$H$149,Lu_Nutrition_Specific,J$91:J$149)</f>
        <v>6736855.8702945337</v>
      </c>
      <c r="K166" s="405">
        <f ca="1">SUMIF($H$91:$H$149,Lu_Nutrition_Specific,K$91:K$149)</f>
        <v>6736855.8702945337</v>
      </c>
      <c r="L166" s="405">
        <f ca="1">SUMIF($H$91:$H$149,Lu_Nutrition_Specific,L$91:L$149)</f>
        <v>6736855.8702945337</v>
      </c>
      <c r="M166" s="405">
        <f ca="1">SUMIF($H$91:$H$149,Lu_Nutrition_Specific,M$91:M$149)</f>
        <v>6736855.8702945337</v>
      </c>
      <c r="N166" s="405">
        <f ca="1">SUMIF($H$91:$H$149,Lu_Nutrition_Specific,N$91:N$149)</f>
        <v>6736855.8702945337</v>
      </c>
    </row>
    <row r="167" spans="6:14" ht="12" x14ac:dyDescent="0.2">
      <c r="F167" t="str">
        <f>Lu_Nutrition_Sensitive</f>
        <v>Nutrition-sensitive</v>
      </c>
      <c r="H167" s="289">
        <f t="shared" ref="H167:H168" ca="1" si="42">I167/$I$169</f>
        <v>0.4162333333333334</v>
      </c>
      <c r="I167" s="404">
        <f t="shared" ref="I167:I168" ca="1" si="43">SUM(J167:N167)</f>
        <v>24083343.61648092</v>
      </c>
      <c r="J167" s="405">
        <f ca="1">SUMIF($H$91:$H$149,Lu_Nutrition_Sensitive,J$91:J$149)</f>
        <v>4816668.7232961841</v>
      </c>
      <c r="K167" s="405">
        <f ca="1">SUMIF($H$91:$H$149,Lu_Nutrition_Sensitive,K$91:K$149)</f>
        <v>4816668.7232961841</v>
      </c>
      <c r="L167" s="405">
        <f ca="1">SUMIF($H$91:$H$149,Lu_Nutrition_Sensitive,L$91:L$149)</f>
        <v>4816668.7232961841</v>
      </c>
      <c r="M167" s="405">
        <f ca="1">SUMIF($H$91:$H$149,Lu_Nutrition_Sensitive,M$91:M$149)</f>
        <v>4816668.7232961841</v>
      </c>
      <c r="N167" s="405">
        <f ca="1">SUMIF($H$91:$H$149,Lu_Nutrition_Sensitive,N$91:N$149)</f>
        <v>4816668.7232961841</v>
      </c>
    </row>
    <row r="168" spans="6:14" ht="12" x14ac:dyDescent="0.2">
      <c r="F168" t="str">
        <f>Lu_Governance</f>
        <v>Governance</v>
      </c>
      <c r="H168" s="289">
        <f t="shared" ca="1" si="42"/>
        <v>1.6000000000000003E-3</v>
      </c>
      <c r="I168" s="404">
        <f t="shared" ca="1" si="43"/>
        <v>92576.318858899991</v>
      </c>
      <c r="J168" s="405">
        <f ca="1">SUMIF($H$91:$H$149,Lu_Governance,J$91:J$149)</f>
        <v>18515.263771779999</v>
      </c>
      <c r="K168" s="405">
        <f ca="1">SUMIF($H$91:$H$149,Lu_Governance,K$91:K$149)</f>
        <v>18515.263771779999</v>
      </c>
      <c r="L168" s="405">
        <f ca="1">SUMIF($H$91:$H$149,Lu_Governance,L$91:L$149)</f>
        <v>18515.263771779999</v>
      </c>
      <c r="M168" s="405">
        <f ca="1">SUMIF($H$91:$H$149,Lu_Governance,M$91:M$149)</f>
        <v>18515.263771779999</v>
      </c>
      <c r="N168" s="405">
        <f ca="1">SUMIF($H$91:$H$149,Lu_Governance,N$91:N$149)</f>
        <v>18515.263771779999</v>
      </c>
    </row>
    <row r="169" spans="6:14" ht="12" x14ac:dyDescent="0.2">
      <c r="F169" s="324" t="str">
        <f>"TOTAL - "&amp;Summary_Govt_Contributions!$F$12&amp;" ("&amp;CURR_INT_ABBR&amp;")"</f>
        <v>TOTAL - TODAS las contribuciones de las agencias gubernamentales (USD)</v>
      </c>
      <c r="G169" s="74"/>
      <c r="H169" s="291">
        <f ca="1">SUM(H166:H168)</f>
        <v>1.0000000000000002</v>
      </c>
      <c r="I169" s="295">
        <f ca="1">SUM(J169:N169)</f>
        <v>57860199.286812484</v>
      </c>
      <c r="J169" s="55">
        <f ca="1">SUM(J166:J168)</f>
        <v>11572039.857362498</v>
      </c>
      <c r="K169" s="55">
        <f t="shared" ref="K169:N169" ca="1" si="44">SUM(K166:K168)</f>
        <v>11572039.857362498</v>
      </c>
      <c r="L169" s="55">
        <f t="shared" ca="1" si="44"/>
        <v>11572039.857362498</v>
      </c>
      <c r="M169" s="55">
        <f t="shared" ca="1" si="44"/>
        <v>11572039.857362498</v>
      </c>
      <c r="N169" s="55">
        <f t="shared" ca="1" si="44"/>
        <v>11572039.857362498</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4 J74:N78 J26:N30 J32:N36 J38:N42 J50:N54 J56:N60 J62:N66 J68:N72 J145:N149 J139:N143 J127:N131 J133:N137 J115:N119 J109:N113 J103:N107 J121:N125 J91:N95 J97:N101 J44:N48" xr:uid="{00000000-0002-0000-1000-000000000000}">
      <formula1>NOT(ISERROR(J20/1))</formula1>
    </dataValidation>
  </dataValidations>
  <hyperlinks>
    <hyperlink ref="A4" r:id="rId1" tooltip="Go to Top of Sheet" xr:uid="{00000000-0004-0000-1000-000000000000}"/>
    <hyperlink ref="B4" location="HL_Sheet_Main_24" tooltip="Go to Previous Sheet" display="ç" xr:uid="{00000000-0004-0000-1000-000001000000}"/>
    <hyperlink ref="C4" location="HL_Sheet_Main_26" tooltip="Go to Next Sheet" display="è" xr:uid="{00000000-0004-0000-1000-000002000000}"/>
    <hyperlink ref="B3" location="HL_Home" tooltip="Go to Table of Contents" display="Go to Table of Contents" xr:uid="{00000000-0004-0000-1000-000003000000}"/>
    <hyperlink ref="A14" location="Summary_Govt_Contributions!B14" tooltip="Click to follow hyperlink." display="ð" xr:uid="{00000000-0004-0000-1000-000004000000}"/>
    <hyperlink ref="A155" location="Summary_Govt_Contributions!B14" tooltip="Click to follow hyperlink." display="ð" xr:uid="{00000000-0004-0000-1000-000005000000}"/>
  </hyperlinks>
  <pageMargins left="0.4" right="0.4" top="0.6" bottom="1" header="0" footer="0.3"/>
  <pageSetup orientation="landscape" r:id="rId2"/>
  <headerFooter>
    <oddFooter>&amp;L&amp;F
&amp;A
Printed: &amp;T on &amp;D&amp;C&amp;",Bold"Sheet 2.h.
Page &amp;P of &amp;N</oddFooter>
  </headerFooter>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N169"/>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2.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Government7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277" customFormat="1" ht="24.6" x14ac:dyDescent="0.2">
      <c r="F12" s="276" t="str">
        <f>Government7</f>
        <v xml:space="preserve">Ministerio de Derechos Humanos, Asuntos Sociales y Género </v>
      </c>
      <c r="G12" s="60"/>
    </row>
    <row r="13" spans="1:14" s="38" customFormat="1" x14ac:dyDescent="0.2">
      <c r="G13"/>
    </row>
    <row r="14" spans="1:14" s="38" customFormat="1" x14ac:dyDescent="0.2">
      <c r="A14" s="39" t="s">
        <v>76</v>
      </c>
      <c r="B14" s="40" t="str">
        <f>"Planned Annual Contributions by "&amp;Government7&amp;" - by Strategic Objective and Result/Indicator"</f>
        <v>Planned Annual Contributions by Ministerio de Derechos Humanos, Asuntos Sociales y Género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253" t="s">
        <v>106</v>
      </c>
      <c r="J19" s="54" t="str">
        <f>CURR_LCU_ABBR</f>
        <v>GOZ</v>
      </c>
      <c r="K19" s="54" t="str">
        <f>CURR_LCU_ABBR</f>
        <v>GOZ</v>
      </c>
      <c r="L19" s="54" t="str">
        <f>CURR_LCU_ABBR</f>
        <v>GOZ</v>
      </c>
      <c r="M19" s="54" t="str">
        <f>CURR_LCU_ABBR</f>
        <v>GOZ</v>
      </c>
      <c r="N19" s="54" t="str">
        <f>CURR_LCU_ABBR</f>
        <v>GOZ</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262">
        <f>SUM(J20:N20)</f>
        <v>5188577.6638800008</v>
      </c>
      <c r="J20" s="37">
        <f>2594288831.94*0.16%/4</f>
        <v>1037715.5327760001</v>
      </c>
      <c r="K20" s="383">
        <f t="shared" ref="K20:N20" si="2">2594288831.94*0.16%/4</f>
        <v>1037715.5327760001</v>
      </c>
      <c r="L20" s="383">
        <f t="shared" si="2"/>
        <v>1037715.5327760001</v>
      </c>
      <c r="M20" s="383">
        <f t="shared" si="2"/>
        <v>1037715.5327760001</v>
      </c>
      <c r="N20" s="383">
        <f t="shared" si="2"/>
        <v>1037715.5327760001</v>
      </c>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262">
        <f t="shared" ref="I21:I24" si="3">SUM(J21:N21)</f>
        <v>5188577.6638800008</v>
      </c>
      <c r="J21" s="383">
        <f t="shared" ref="J21:N23" si="4">2594288831.94*0.16%/4</f>
        <v>1037715.5327760001</v>
      </c>
      <c r="K21" s="383">
        <f t="shared" si="4"/>
        <v>1037715.5327760001</v>
      </c>
      <c r="L21" s="383">
        <f t="shared" si="4"/>
        <v>1037715.5327760001</v>
      </c>
      <c r="M21" s="383">
        <f t="shared" si="4"/>
        <v>1037715.5327760001</v>
      </c>
      <c r="N21" s="383">
        <f t="shared" si="4"/>
        <v>1037715.5327760001</v>
      </c>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262">
        <f t="shared" si="3"/>
        <v>5188577.6638800008</v>
      </c>
      <c r="J22" s="383">
        <f t="shared" si="4"/>
        <v>1037715.5327760001</v>
      </c>
      <c r="K22" s="383">
        <f t="shared" si="4"/>
        <v>1037715.5327760001</v>
      </c>
      <c r="L22" s="383">
        <f t="shared" si="4"/>
        <v>1037715.5327760001</v>
      </c>
      <c r="M22" s="383">
        <f t="shared" si="4"/>
        <v>1037715.5327760001</v>
      </c>
      <c r="N22" s="383">
        <f t="shared" si="4"/>
        <v>1037715.5327760001</v>
      </c>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262">
        <f t="shared" si="3"/>
        <v>5188577.6638800008</v>
      </c>
      <c r="J23" s="383">
        <f t="shared" si="4"/>
        <v>1037715.5327760001</v>
      </c>
      <c r="K23" s="383">
        <f t="shared" si="4"/>
        <v>1037715.5327760001</v>
      </c>
      <c r="L23" s="383">
        <f t="shared" si="4"/>
        <v>1037715.5327760001</v>
      </c>
      <c r="M23" s="383">
        <f t="shared" si="4"/>
        <v>1037715.5327760001</v>
      </c>
      <c r="N23" s="383">
        <f t="shared" si="4"/>
        <v>1037715.5327760001</v>
      </c>
    </row>
    <row r="24" spans="6:14" s="38" customFormat="1" ht="12" x14ac:dyDescent="0.2">
      <c r="F24" s="448"/>
      <c r="G24" s="41" t="str">
        <f>STRAT1_IND5</f>
        <v>Objetivo estratégico 1 Indicador 5</v>
      </c>
      <c r="H24" s="260" t="str">
        <f ca="1">OFFSET(Variables_Lu!$D$10,Basic_Setup!H38,0)</f>
        <v>Governance</v>
      </c>
      <c r="I24" s="262">
        <f t="shared" si="3"/>
        <v>0</v>
      </c>
      <c r="J24" s="383">
        <v>0</v>
      </c>
      <c r="K24" s="383">
        <v>0</v>
      </c>
      <c r="L24" s="383">
        <v>0</v>
      </c>
      <c r="M24" s="383">
        <v>0</v>
      </c>
      <c r="N24" s="383">
        <v>0</v>
      </c>
    </row>
    <row r="25" spans="6:14" s="38" customFormat="1" ht="12" x14ac:dyDescent="0.2">
      <c r="H25" s="152" t="s">
        <v>107</v>
      </c>
      <c r="I25" s="265">
        <f>SUM(I20:I24)</f>
        <v>20754310.655520003</v>
      </c>
      <c r="J25" s="265">
        <f t="shared" ref="J25:N25" si="5">SUM(J20:J24)</f>
        <v>4150862.1311040004</v>
      </c>
      <c r="K25" s="265">
        <f t="shared" si="5"/>
        <v>4150862.1311040004</v>
      </c>
      <c r="L25" s="265">
        <f t="shared" si="5"/>
        <v>4150862.1311040004</v>
      </c>
      <c r="M25" s="265">
        <f t="shared" si="5"/>
        <v>4150862.1311040004</v>
      </c>
      <c r="N25" s="265">
        <f t="shared" si="5"/>
        <v>4150862.1311040004</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262">
        <f>SUM(J26:N26)</f>
        <v>274562234.71364999</v>
      </c>
      <c r="J26" s="383">
        <f>2594288831.94*6.35%/3</f>
        <v>54912446.942730002</v>
      </c>
      <c r="K26" s="383">
        <f t="shared" ref="K26:N26" si="6">2594288831.94*6.35%/3</f>
        <v>54912446.942730002</v>
      </c>
      <c r="L26" s="383">
        <f t="shared" si="6"/>
        <v>54912446.942730002</v>
      </c>
      <c r="M26" s="383">
        <f t="shared" si="6"/>
        <v>54912446.942730002</v>
      </c>
      <c r="N26" s="383">
        <f t="shared" si="6"/>
        <v>54912446.942730002</v>
      </c>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262">
        <f t="shared" ref="I27:I30" si="7">SUM(J27:N27)</f>
        <v>274562234.71364999</v>
      </c>
      <c r="J27" s="383">
        <f t="shared" ref="J27:N28" si="8">2594288831.94*6.35%/3</f>
        <v>54912446.942730002</v>
      </c>
      <c r="K27" s="383">
        <f t="shared" si="8"/>
        <v>54912446.942730002</v>
      </c>
      <c r="L27" s="383">
        <f t="shared" si="8"/>
        <v>54912446.942730002</v>
      </c>
      <c r="M27" s="383">
        <f t="shared" si="8"/>
        <v>54912446.942730002</v>
      </c>
      <c r="N27" s="383">
        <f t="shared" si="8"/>
        <v>54912446.942730002</v>
      </c>
    </row>
    <row r="28" spans="6:14" s="38" customFormat="1" ht="22.8" x14ac:dyDescent="0.2">
      <c r="F28" s="447"/>
      <c r="G28" s="42" t="str">
        <f>STRAT2_IND3</f>
        <v>Se refuerzan las intervenciones comunitarias en materia de nutrición.</v>
      </c>
      <c r="H28" s="260" t="str">
        <f ca="1">OFFSET(Variables_Lu!$D$10,Basic_Setup!H42,0)</f>
        <v>Nutrition-specific</v>
      </c>
      <c r="I28" s="262">
        <f t="shared" si="7"/>
        <v>274562234.71364999</v>
      </c>
      <c r="J28" s="383">
        <f t="shared" si="8"/>
        <v>54912446.942730002</v>
      </c>
      <c r="K28" s="383">
        <f t="shared" si="8"/>
        <v>54912446.942730002</v>
      </c>
      <c r="L28" s="383">
        <f t="shared" si="8"/>
        <v>54912446.942730002</v>
      </c>
      <c r="M28" s="383">
        <f t="shared" si="8"/>
        <v>54912446.942730002</v>
      </c>
      <c r="N28" s="383">
        <f t="shared" si="8"/>
        <v>54912446.942730002</v>
      </c>
    </row>
    <row r="29" spans="6:14" s="38" customFormat="1" ht="12" x14ac:dyDescent="0.2">
      <c r="F29" s="447"/>
      <c r="G29" s="41" t="str">
        <f>STRAT2_IND4</f>
        <v>Objetivo estratégico 2 Indicador 4</v>
      </c>
      <c r="H29" s="260" t="str">
        <f ca="1">OFFSET(Variables_Lu!$D$10,Basic_Setup!H43,0)</f>
        <v>Nutrition-specific</v>
      </c>
      <c r="I29" s="262">
        <f t="shared" si="7"/>
        <v>0</v>
      </c>
      <c r="J29" s="383">
        <v>0</v>
      </c>
      <c r="K29" s="383">
        <v>0</v>
      </c>
      <c r="L29" s="383">
        <v>0</v>
      </c>
      <c r="M29" s="383">
        <v>0</v>
      </c>
      <c r="N29" s="383">
        <v>0</v>
      </c>
    </row>
    <row r="30" spans="6:14" s="38" customFormat="1" ht="12" x14ac:dyDescent="0.2">
      <c r="F30" s="448"/>
      <c r="G30" s="41" t="str">
        <f>STRAT2_IND5</f>
        <v>Objetivo estratégico 2 Indicador 5</v>
      </c>
      <c r="H30" s="260" t="str">
        <f ca="1">OFFSET(Variables_Lu!$D$10,Basic_Setup!H44,0)</f>
        <v>Nutrition-specific</v>
      </c>
      <c r="I30" s="262">
        <f t="shared" si="7"/>
        <v>0</v>
      </c>
      <c r="J30" s="383">
        <v>0</v>
      </c>
      <c r="K30" s="383">
        <v>0</v>
      </c>
      <c r="L30" s="383">
        <v>0</v>
      </c>
      <c r="M30" s="383">
        <v>0</v>
      </c>
      <c r="N30" s="383">
        <v>0</v>
      </c>
    </row>
    <row r="31" spans="6:14" s="38" customFormat="1" ht="12" x14ac:dyDescent="0.2">
      <c r="H31" s="152" t="s">
        <v>108</v>
      </c>
      <c r="I31" s="265">
        <f>SUM(I26:I30)</f>
        <v>823686704.14094996</v>
      </c>
      <c r="J31" s="265">
        <f t="shared" ref="J31:N31" si="9">SUM(J26:J30)</f>
        <v>164737340.82819</v>
      </c>
      <c r="K31" s="265">
        <f t="shared" si="9"/>
        <v>164737340.82819</v>
      </c>
      <c r="L31" s="265">
        <f t="shared" si="9"/>
        <v>164737340.82819</v>
      </c>
      <c r="M31" s="265">
        <f t="shared" si="9"/>
        <v>164737340.82819</v>
      </c>
      <c r="N31" s="265">
        <f t="shared" si="9"/>
        <v>164737340.82819</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262">
        <f>SUM(J32:N32)</f>
        <v>3246752473.1729102</v>
      </c>
      <c r="J32" s="383">
        <f>2594288831.94*50.06%/2</f>
        <v>649350494.63458204</v>
      </c>
      <c r="K32" s="383">
        <f t="shared" ref="K32:N33" si="10">2594288831.94*50.06%/2</f>
        <v>649350494.63458204</v>
      </c>
      <c r="L32" s="383">
        <f t="shared" si="10"/>
        <v>649350494.63458204</v>
      </c>
      <c r="M32" s="383">
        <f t="shared" si="10"/>
        <v>649350494.63458204</v>
      </c>
      <c r="N32" s="383">
        <f t="shared" si="10"/>
        <v>649350494.63458204</v>
      </c>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262">
        <f t="shared" ref="I33:I36" si="11">SUM(J33:N33)</f>
        <v>3246752473.1729102</v>
      </c>
      <c r="J33" s="383">
        <f>2594288831.94*50.06%/2</f>
        <v>649350494.63458204</v>
      </c>
      <c r="K33" s="383">
        <f t="shared" si="10"/>
        <v>649350494.63458204</v>
      </c>
      <c r="L33" s="383">
        <f t="shared" si="10"/>
        <v>649350494.63458204</v>
      </c>
      <c r="M33" s="383">
        <f t="shared" si="10"/>
        <v>649350494.63458204</v>
      </c>
      <c r="N33" s="383">
        <f t="shared" si="10"/>
        <v>649350494.63458204</v>
      </c>
    </row>
    <row r="34" spans="6:14" s="38" customFormat="1" ht="12" x14ac:dyDescent="0.2">
      <c r="F34" s="447"/>
      <c r="G34" s="42" t="str">
        <f>STRAT3_IND3</f>
        <v>Objetivo estratégico 3 Indicador 3</v>
      </c>
      <c r="H34" s="260" t="str">
        <f ca="1">OFFSET(Variables_Lu!$D$10,Basic_Setup!H48,0)</f>
        <v>Nutrition-specific</v>
      </c>
      <c r="I34" s="262">
        <f t="shared" si="11"/>
        <v>0</v>
      </c>
      <c r="J34" s="383">
        <v>0</v>
      </c>
      <c r="K34" s="383">
        <v>0</v>
      </c>
      <c r="L34" s="383">
        <v>0</v>
      </c>
      <c r="M34" s="383">
        <v>0</v>
      </c>
      <c r="N34" s="383">
        <v>0</v>
      </c>
    </row>
    <row r="35" spans="6:14" s="38" customFormat="1" ht="12" x14ac:dyDescent="0.2">
      <c r="F35" s="447"/>
      <c r="G35" s="41" t="str">
        <f>STRAT3_IND4</f>
        <v>Objetivo estratégico 3 Indicador 4</v>
      </c>
      <c r="H35" s="260" t="str">
        <f ca="1">OFFSET(Variables_Lu!$D$10,Basic_Setup!H49,0)</f>
        <v>Nutrition-specific</v>
      </c>
      <c r="I35" s="262">
        <f t="shared" si="11"/>
        <v>0</v>
      </c>
      <c r="J35" s="383">
        <v>0</v>
      </c>
      <c r="K35" s="383">
        <v>0</v>
      </c>
      <c r="L35" s="383">
        <v>0</v>
      </c>
      <c r="M35" s="383">
        <v>0</v>
      </c>
      <c r="N35" s="383">
        <v>0</v>
      </c>
    </row>
    <row r="36" spans="6:14" s="38" customFormat="1" ht="12" x14ac:dyDescent="0.2">
      <c r="F36" s="448"/>
      <c r="G36" s="41" t="str">
        <f>STRAT3_IND5</f>
        <v>Objetivo estratégico 3 Indicador 5</v>
      </c>
      <c r="H36" s="260" t="str">
        <f ca="1">OFFSET(Variables_Lu!$D$10,Basic_Setup!H50,0)</f>
        <v>Nutrition-specific</v>
      </c>
      <c r="I36" s="262">
        <f t="shared" si="11"/>
        <v>0</v>
      </c>
      <c r="J36" s="383">
        <v>0</v>
      </c>
      <c r="K36" s="383">
        <v>0</v>
      </c>
      <c r="L36" s="383">
        <v>0</v>
      </c>
      <c r="M36" s="383">
        <v>0</v>
      </c>
      <c r="N36" s="383">
        <v>0</v>
      </c>
    </row>
    <row r="37" spans="6:14" ht="12" x14ac:dyDescent="0.2">
      <c r="H37" s="152" t="s">
        <v>109</v>
      </c>
      <c r="I37" s="265">
        <f>SUM(I32:I36)</f>
        <v>6493504946.3458204</v>
      </c>
      <c r="J37" s="265">
        <f t="shared" ref="J37:N37" si="12">SUM(J32:J36)</f>
        <v>1298700989.2691641</v>
      </c>
      <c r="K37" s="265">
        <f t="shared" si="12"/>
        <v>1298700989.2691641</v>
      </c>
      <c r="L37" s="265">
        <f t="shared" si="12"/>
        <v>1298700989.2691641</v>
      </c>
      <c r="M37" s="265">
        <f t="shared" si="12"/>
        <v>1298700989.2691641</v>
      </c>
      <c r="N37" s="265">
        <f t="shared" si="12"/>
        <v>1298700989.2691641</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262">
        <f>SUM(J38:N38)</f>
        <v>1827676482.1017301</v>
      </c>
      <c r="J38" s="383">
        <f>2594288831.94*42.27%/3</f>
        <v>365535296.42034602</v>
      </c>
      <c r="K38" s="383">
        <f t="shared" ref="K38:N38" si="13">2594288831.94*42.27%/3</f>
        <v>365535296.42034602</v>
      </c>
      <c r="L38" s="383">
        <f t="shared" si="13"/>
        <v>365535296.42034602</v>
      </c>
      <c r="M38" s="383">
        <f t="shared" si="13"/>
        <v>365535296.42034602</v>
      </c>
      <c r="N38" s="383">
        <f t="shared" si="13"/>
        <v>365535296.42034602</v>
      </c>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262">
        <f t="shared" ref="I39:I42" si="14">SUM(J39:N39)</f>
        <v>1827676482.1017301</v>
      </c>
      <c r="J39" s="383">
        <f t="shared" ref="J39:N40" si="15">2594288831.94*42.27%/3</f>
        <v>365535296.42034602</v>
      </c>
      <c r="K39" s="383">
        <f t="shared" si="15"/>
        <v>365535296.42034602</v>
      </c>
      <c r="L39" s="383">
        <f t="shared" si="15"/>
        <v>365535296.42034602</v>
      </c>
      <c r="M39" s="383">
        <f t="shared" si="15"/>
        <v>365535296.42034602</v>
      </c>
      <c r="N39" s="383">
        <f t="shared" si="15"/>
        <v>365535296.42034602</v>
      </c>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262">
        <f t="shared" si="14"/>
        <v>1827676482.1017301</v>
      </c>
      <c r="J40" s="383">
        <f t="shared" si="15"/>
        <v>365535296.42034602</v>
      </c>
      <c r="K40" s="383">
        <f t="shared" si="15"/>
        <v>365535296.42034602</v>
      </c>
      <c r="L40" s="383">
        <f t="shared" si="15"/>
        <v>365535296.42034602</v>
      </c>
      <c r="M40" s="383">
        <f t="shared" si="15"/>
        <v>365535296.42034602</v>
      </c>
      <c r="N40" s="383">
        <f t="shared" si="15"/>
        <v>365535296.42034602</v>
      </c>
    </row>
    <row r="41" spans="6:14" ht="12" x14ac:dyDescent="0.2">
      <c r="F41" s="447"/>
      <c r="G41" s="41" t="str">
        <f>STRAT4_IND4</f>
        <v>Objetivo estratégico 4 Indicador 4</v>
      </c>
      <c r="H41" s="260" t="str">
        <f ca="1">OFFSET(Variables_Lu!$D$10,Basic_Setup!H55,0)</f>
        <v>Nutrition-specific</v>
      </c>
      <c r="I41" s="262">
        <f t="shared" si="14"/>
        <v>0</v>
      </c>
      <c r="J41" s="383">
        <v>0</v>
      </c>
      <c r="K41" s="383">
        <v>0</v>
      </c>
      <c r="L41" s="383">
        <v>0</v>
      </c>
      <c r="M41" s="383">
        <v>0</v>
      </c>
      <c r="N41" s="383">
        <v>0</v>
      </c>
    </row>
    <row r="42" spans="6:14" ht="12" x14ac:dyDescent="0.2">
      <c r="F42" s="448"/>
      <c r="G42" s="41" t="str">
        <f>STRAT4_IND5</f>
        <v>Objetivo estratégico 4 Indicador 5</v>
      </c>
      <c r="H42" s="260" t="str">
        <f ca="1">OFFSET(Variables_Lu!$D$10,Basic_Setup!H56,0)</f>
        <v>Nutrition-specific</v>
      </c>
      <c r="I42" s="262">
        <f t="shared" si="14"/>
        <v>0</v>
      </c>
      <c r="J42" s="383">
        <v>0</v>
      </c>
      <c r="K42" s="383">
        <v>0</v>
      </c>
      <c r="L42" s="383">
        <v>0</v>
      </c>
      <c r="M42" s="383">
        <v>0</v>
      </c>
      <c r="N42" s="383">
        <v>0</v>
      </c>
    </row>
    <row r="43" spans="6:14" ht="12" x14ac:dyDescent="0.2">
      <c r="H43" s="152" t="s">
        <v>110</v>
      </c>
      <c r="I43" s="265">
        <f>SUM(I38:I42)</f>
        <v>5483029446.3051901</v>
      </c>
      <c r="J43" s="265">
        <f t="shared" ref="J43:N43" si="16">SUM(J38:J42)</f>
        <v>1096605889.2610381</v>
      </c>
      <c r="K43" s="265">
        <f t="shared" si="16"/>
        <v>1096605889.2610381</v>
      </c>
      <c r="L43" s="265">
        <f t="shared" si="16"/>
        <v>1096605889.2610381</v>
      </c>
      <c r="M43" s="265">
        <f t="shared" si="16"/>
        <v>1096605889.2610381</v>
      </c>
      <c r="N43" s="265">
        <f t="shared" si="16"/>
        <v>1096605889.2610381</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262">
        <f>SUM(J44:N44)</f>
        <v>50156250.750840001</v>
      </c>
      <c r="J44" s="383">
        <f>2594288831.94*1.16%/3</f>
        <v>10031250.150168</v>
      </c>
      <c r="K44" s="383">
        <f t="shared" ref="K44:N44" si="17">2594288831.94*1.16%/3</f>
        <v>10031250.150168</v>
      </c>
      <c r="L44" s="383">
        <f t="shared" si="17"/>
        <v>10031250.150168</v>
      </c>
      <c r="M44" s="383">
        <f t="shared" si="17"/>
        <v>10031250.150168</v>
      </c>
      <c r="N44" s="383">
        <f t="shared" si="17"/>
        <v>10031250.150168</v>
      </c>
    </row>
    <row r="45" spans="6:14" ht="22.8" x14ac:dyDescent="0.2">
      <c r="F45" s="447"/>
      <c r="G45" s="42" t="str">
        <f>STRAT5_IND2</f>
        <v>Se promueven dietas saludables y estilos de vida saludables para las personas.</v>
      </c>
      <c r="H45" s="260" t="str">
        <f ca="1">OFFSET(Variables_Lu!$D$10,Basic_Setup!H59,0)</f>
        <v>Nutrition-specific</v>
      </c>
      <c r="I45" s="262">
        <f t="shared" ref="I45:I48" si="18">SUM(J45:N45)</f>
        <v>50156250.750840001</v>
      </c>
      <c r="J45" s="383">
        <f t="shared" ref="J45:N46" si="19">2594288831.94*1.16%/3</f>
        <v>10031250.150168</v>
      </c>
      <c r="K45" s="383">
        <f t="shared" si="19"/>
        <v>10031250.150168</v>
      </c>
      <c r="L45" s="383">
        <f t="shared" si="19"/>
        <v>10031250.150168</v>
      </c>
      <c r="M45" s="383">
        <f t="shared" si="19"/>
        <v>10031250.150168</v>
      </c>
      <c r="N45" s="383">
        <f t="shared" si="19"/>
        <v>10031250.150168</v>
      </c>
    </row>
    <row r="46" spans="6:14" ht="22.8" x14ac:dyDescent="0.2">
      <c r="F46" s="447"/>
      <c r="G46" s="42" t="str">
        <f>STRAT5_IND3</f>
        <v>Se promueven las buenas prácticas WASH a nivel comunitario y doméstico</v>
      </c>
      <c r="H46" s="260" t="str">
        <f ca="1">OFFSET(Variables_Lu!$D$10,Basic_Setup!H60,0)</f>
        <v>Nutrition-sensitive</v>
      </c>
      <c r="I46" s="262">
        <f t="shared" si="18"/>
        <v>50156250.750840001</v>
      </c>
      <c r="J46" s="383">
        <f t="shared" si="19"/>
        <v>10031250.150168</v>
      </c>
      <c r="K46" s="383">
        <f t="shared" si="19"/>
        <v>10031250.150168</v>
      </c>
      <c r="L46" s="383">
        <f t="shared" si="19"/>
        <v>10031250.150168</v>
      </c>
      <c r="M46" s="383">
        <f t="shared" si="19"/>
        <v>10031250.150168</v>
      </c>
      <c r="N46" s="383">
        <f t="shared" si="19"/>
        <v>10031250.150168</v>
      </c>
    </row>
    <row r="47" spans="6:14" ht="12" x14ac:dyDescent="0.2">
      <c r="F47" s="447"/>
      <c r="G47" s="41" t="str">
        <f>STRAT5_IND4</f>
        <v>Objetivo estratégico 5 Indicador 4</v>
      </c>
      <c r="H47" s="260" t="str">
        <f ca="1">OFFSET(Variables_Lu!$D$10,Basic_Setup!H61,0)</f>
        <v>Nutrition-specific</v>
      </c>
      <c r="I47" s="262">
        <f t="shared" si="18"/>
        <v>0</v>
      </c>
      <c r="J47" s="383">
        <v>0</v>
      </c>
      <c r="K47" s="383">
        <v>0</v>
      </c>
      <c r="L47" s="383">
        <v>0</v>
      </c>
      <c r="M47" s="383">
        <v>0</v>
      </c>
      <c r="N47" s="383">
        <v>0</v>
      </c>
    </row>
    <row r="48" spans="6:14" ht="12" x14ac:dyDescent="0.2">
      <c r="F48" s="448"/>
      <c r="G48" s="41" t="str">
        <f>STRAT5_IND5</f>
        <v>Objetivo estratégico 5 Indicador 5</v>
      </c>
      <c r="H48" s="260" t="str">
        <f ca="1">OFFSET(Variables_Lu!$D$10,Basic_Setup!H62,0)</f>
        <v>Nutrition-specific</v>
      </c>
      <c r="I48" s="262">
        <f t="shared" si="18"/>
        <v>0</v>
      </c>
      <c r="J48" s="383">
        <v>0</v>
      </c>
      <c r="K48" s="383">
        <v>0</v>
      </c>
      <c r="L48" s="383">
        <v>0</v>
      </c>
      <c r="M48" s="383">
        <v>0</v>
      </c>
      <c r="N48" s="383">
        <v>0</v>
      </c>
    </row>
    <row r="49" spans="6:14" ht="12" x14ac:dyDescent="0.2">
      <c r="H49" s="152" t="s">
        <v>111</v>
      </c>
      <c r="I49" s="265">
        <f>SUM(I44:I48)</f>
        <v>150468752.25251999</v>
      </c>
      <c r="J49" s="265">
        <f t="shared" ref="J49:N49" si="20">SUM(J44:J48)</f>
        <v>30093750.450503998</v>
      </c>
      <c r="K49" s="265">
        <f t="shared" si="20"/>
        <v>30093750.450503998</v>
      </c>
      <c r="L49" s="265">
        <f t="shared" si="20"/>
        <v>30093750.450503998</v>
      </c>
      <c r="M49" s="265">
        <f t="shared" si="20"/>
        <v>30093750.450503998</v>
      </c>
      <c r="N49" s="265">
        <f t="shared" si="20"/>
        <v>30093750.450503998</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262">
        <f>SUM(J50:N50)</f>
        <v>0</v>
      </c>
      <c r="J50" s="37">
        <v>0</v>
      </c>
      <c r="K50" s="37">
        <v>0</v>
      </c>
      <c r="L50" s="37">
        <v>0</v>
      </c>
      <c r="M50" s="37">
        <v>0</v>
      </c>
      <c r="N50" s="37">
        <v>0</v>
      </c>
    </row>
    <row r="51" spans="6:14" ht="12" x14ac:dyDescent="0.2">
      <c r="F51" s="447"/>
      <c r="G51" s="42" t="str">
        <f>STRAT6_IND2</f>
        <v>Objetivo estratégico 6 Indicador 2</v>
      </c>
      <c r="H51" s="260" t="str">
        <f ca="1">OFFSET(Variables_Lu!$D$10,Basic_Setup!H65,0)</f>
        <v>Nutrition-specific</v>
      </c>
      <c r="I51" s="262">
        <f t="shared" ref="I51:I54" si="21">SUM(J51:N51)</f>
        <v>0</v>
      </c>
      <c r="J51" s="37">
        <v>0</v>
      </c>
      <c r="K51" s="37">
        <v>0</v>
      </c>
      <c r="L51" s="37">
        <v>0</v>
      </c>
      <c r="M51" s="37">
        <v>0</v>
      </c>
      <c r="N51" s="37">
        <v>0</v>
      </c>
    </row>
    <row r="52" spans="6:14" ht="12" x14ac:dyDescent="0.2">
      <c r="F52" s="447"/>
      <c r="G52" s="42" t="str">
        <f>STRAT6_IND3</f>
        <v>Objetivo estratégico 6 Indicador 3</v>
      </c>
      <c r="H52" s="260" t="str">
        <f ca="1">OFFSET(Variables_Lu!$D$10,Basic_Setup!H66,0)</f>
        <v>Nutrition-specific</v>
      </c>
      <c r="I52" s="262">
        <f t="shared" si="21"/>
        <v>0</v>
      </c>
      <c r="J52" s="37">
        <v>0</v>
      </c>
      <c r="K52" s="37">
        <v>0</v>
      </c>
      <c r="L52" s="37">
        <v>0</v>
      </c>
      <c r="M52" s="37">
        <v>0</v>
      </c>
      <c r="N52" s="37">
        <v>0</v>
      </c>
    </row>
    <row r="53" spans="6:14" ht="12" x14ac:dyDescent="0.2">
      <c r="F53" s="447"/>
      <c r="G53" s="41" t="str">
        <f>STRAT6_IND4</f>
        <v>Objetivo estratégico 6 Indicador 4</v>
      </c>
      <c r="H53" s="260" t="str">
        <f ca="1">OFFSET(Variables_Lu!$D$10,Basic_Setup!H67,0)</f>
        <v>Nutrition-specific</v>
      </c>
      <c r="I53" s="262">
        <f t="shared" si="21"/>
        <v>0</v>
      </c>
      <c r="J53" s="37">
        <v>0</v>
      </c>
      <c r="K53" s="37">
        <v>0</v>
      </c>
      <c r="L53" s="37">
        <v>0</v>
      </c>
      <c r="M53" s="37">
        <v>0</v>
      </c>
      <c r="N53" s="37">
        <v>0</v>
      </c>
    </row>
    <row r="54" spans="6:14" ht="12" x14ac:dyDescent="0.2">
      <c r="F54" s="448"/>
      <c r="G54" s="41" t="str">
        <f>STRAT6_IND5</f>
        <v>Objetivo estratégico 6 Indicador 5</v>
      </c>
      <c r="H54" s="260" t="str">
        <f ca="1">OFFSET(Variables_Lu!$D$10,Basic_Setup!H68,0)</f>
        <v>Nutrition-specific</v>
      </c>
      <c r="I54" s="262">
        <f t="shared" si="21"/>
        <v>0</v>
      </c>
      <c r="J54" s="37">
        <v>0</v>
      </c>
      <c r="K54" s="37">
        <v>0</v>
      </c>
      <c r="L54" s="37">
        <v>0</v>
      </c>
      <c r="M54" s="37">
        <v>0</v>
      </c>
      <c r="N54" s="37">
        <v>0</v>
      </c>
    </row>
    <row r="55" spans="6:14" ht="12" x14ac:dyDescent="0.2">
      <c r="H55" s="152" t="s">
        <v>159</v>
      </c>
      <c r="I55" s="265">
        <f>SUM(I50:I54)</f>
        <v>0</v>
      </c>
      <c r="J55" s="265">
        <f t="shared" ref="J55:N55" si="22">SUM(J50:J54)</f>
        <v>0</v>
      </c>
      <c r="K55" s="265">
        <f t="shared" si="22"/>
        <v>0</v>
      </c>
      <c r="L55" s="265">
        <f t="shared" si="22"/>
        <v>0</v>
      </c>
      <c r="M55" s="265">
        <f t="shared" si="22"/>
        <v>0</v>
      </c>
      <c r="N55" s="265">
        <f t="shared" si="22"/>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262">
        <f>SUM(J56:N56)</f>
        <v>0</v>
      </c>
      <c r="J56" s="37">
        <v>0</v>
      </c>
      <c r="K56" s="37">
        <v>0</v>
      </c>
      <c r="L56" s="37">
        <v>0</v>
      </c>
      <c r="M56" s="37">
        <v>0</v>
      </c>
      <c r="N56" s="37">
        <v>0</v>
      </c>
    </row>
    <row r="57" spans="6:14" ht="12" x14ac:dyDescent="0.2">
      <c r="F57" s="447"/>
      <c r="G57" s="42" t="str">
        <f>STRAT7_IND2</f>
        <v>Objetivo estratégico 7 Indicador 2</v>
      </c>
      <c r="H57" s="260" t="str">
        <f ca="1">OFFSET(Variables_Lu!$D$10,Basic_Setup!H71,0)</f>
        <v>Nutrition-specific</v>
      </c>
      <c r="I57" s="262">
        <f t="shared" ref="I57:I60" si="23">SUM(J57:N57)</f>
        <v>0</v>
      </c>
      <c r="J57" s="37">
        <v>0</v>
      </c>
      <c r="K57" s="37">
        <v>0</v>
      </c>
      <c r="L57" s="37">
        <v>0</v>
      </c>
      <c r="M57" s="37">
        <v>0</v>
      </c>
      <c r="N57" s="37">
        <v>0</v>
      </c>
    </row>
    <row r="58" spans="6:14" ht="12" x14ac:dyDescent="0.2">
      <c r="F58" s="447"/>
      <c r="G58" s="42" t="str">
        <f>STRAT7_IND3</f>
        <v>Objetivo estratégico 7 Indicador 3</v>
      </c>
      <c r="H58" s="260" t="str">
        <f ca="1">OFFSET(Variables_Lu!$D$10,Basic_Setup!H72,0)</f>
        <v>Nutrition-specific</v>
      </c>
      <c r="I58" s="262">
        <f t="shared" si="23"/>
        <v>0</v>
      </c>
      <c r="J58" s="37">
        <v>0</v>
      </c>
      <c r="K58" s="37">
        <v>0</v>
      </c>
      <c r="L58" s="37">
        <v>0</v>
      </c>
      <c r="M58" s="37">
        <v>0</v>
      </c>
      <c r="N58" s="37">
        <v>0</v>
      </c>
    </row>
    <row r="59" spans="6:14" ht="12" x14ac:dyDescent="0.2">
      <c r="F59" s="447"/>
      <c r="G59" s="41" t="str">
        <f>STRAT7_IND4</f>
        <v>Objetivo estratégico 7 Indicador 4</v>
      </c>
      <c r="H59" s="260" t="str">
        <f ca="1">OFFSET(Variables_Lu!$D$10,Basic_Setup!H73,0)</f>
        <v>Nutrition-specific</v>
      </c>
      <c r="I59" s="262">
        <f t="shared" si="23"/>
        <v>0</v>
      </c>
      <c r="J59" s="37">
        <v>0</v>
      </c>
      <c r="K59" s="37">
        <v>0</v>
      </c>
      <c r="L59" s="37">
        <v>0</v>
      </c>
      <c r="M59" s="37">
        <v>0</v>
      </c>
      <c r="N59" s="37">
        <v>0</v>
      </c>
    </row>
    <row r="60" spans="6:14" ht="12" x14ac:dyDescent="0.2">
      <c r="F60" s="448"/>
      <c r="G60" s="41" t="str">
        <f>STRAT7_IND5</f>
        <v>Objetivo estratégico 7 Indicador 5</v>
      </c>
      <c r="H60" s="260" t="str">
        <f ca="1">OFFSET(Variables_Lu!$D$10,Basic_Setup!H74,0)</f>
        <v>Nutrition-specific</v>
      </c>
      <c r="I60" s="262">
        <f t="shared" si="23"/>
        <v>0</v>
      </c>
      <c r="J60" s="37">
        <v>0</v>
      </c>
      <c r="K60" s="37">
        <v>0</v>
      </c>
      <c r="L60" s="37">
        <v>0</v>
      </c>
      <c r="M60" s="37">
        <v>0</v>
      </c>
      <c r="N60" s="37">
        <v>0</v>
      </c>
    </row>
    <row r="61" spans="6:14" ht="12" x14ac:dyDescent="0.2">
      <c r="H61" s="152" t="s">
        <v>160</v>
      </c>
      <c r="I61" s="265">
        <f>SUM(I56:I60)</f>
        <v>0</v>
      </c>
      <c r="J61" s="265">
        <f t="shared" ref="J61:N61" si="24">SUM(J56:J60)</f>
        <v>0</v>
      </c>
      <c r="K61" s="265">
        <f t="shared" si="24"/>
        <v>0</v>
      </c>
      <c r="L61" s="265">
        <f t="shared" si="24"/>
        <v>0</v>
      </c>
      <c r="M61" s="265">
        <f t="shared" si="24"/>
        <v>0</v>
      </c>
      <c r="N61" s="265">
        <f t="shared" si="24"/>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262">
        <f>SUM(J62:N62)</f>
        <v>0</v>
      </c>
      <c r="J62" s="37">
        <v>0</v>
      </c>
      <c r="K62" s="37">
        <v>0</v>
      </c>
      <c r="L62" s="37">
        <v>0</v>
      </c>
      <c r="M62" s="37">
        <v>0</v>
      </c>
      <c r="N62" s="37">
        <v>0</v>
      </c>
    </row>
    <row r="63" spans="6:14" ht="12" x14ac:dyDescent="0.2">
      <c r="F63" s="447"/>
      <c r="G63" s="42" t="str">
        <f>STRAT8_IND2</f>
        <v>Objetivo estratégico 8 Indicador 2</v>
      </c>
      <c r="H63" s="260" t="str">
        <f ca="1">OFFSET(Variables_Lu!$D$10,Basic_Setup!H77,0)</f>
        <v>Nutrition-specific</v>
      </c>
      <c r="I63" s="262">
        <f t="shared" ref="I63:I66" si="25">SUM(J63:N63)</f>
        <v>0</v>
      </c>
      <c r="J63" s="37">
        <v>0</v>
      </c>
      <c r="K63" s="37">
        <v>0</v>
      </c>
      <c r="L63" s="37">
        <v>0</v>
      </c>
      <c r="M63" s="37">
        <v>0</v>
      </c>
      <c r="N63" s="37">
        <v>0</v>
      </c>
    </row>
    <row r="64" spans="6:14" ht="12" x14ac:dyDescent="0.2">
      <c r="F64" s="447"/>
      <c r="G64" s="42" t="str">
        <f>STRAT8_IND3</f>
        <v>Objetivo estratégico 8 Indicador 3</v>
      </c>
      <c r="H64" s="260" t="str">
        <f ca="1">OFFSET(Variables_Lu!$D$10,Basic_Setup!H78,0)</f>
        <v>Nutrition-specific</v>
      </c>
      <c r="I64" s="262">
        <f t="shared" si="25"/>
        <v>0</v>
      </c>
      <c r="J64" s="37">
        <v>0</v>
      </c>
      <c r="K64" s="37">
        <v>0</v>
      </c>
      <c r="L64" s="37">
        <v>0</v>
      </c>
      <c r="M64" s="37">
        <v>0</v>
      </c>
      <c r="N64" s="37">
        <v>0</v>
      </c>
    </row>
    <row r="65" spans="6:14" ht="12" x14ac:dyDescent="0.2">
      <c r="F65" s="447"/>
      <c r="G65" s="41" t="str">
        <f>STRAT8_IND4</f>
        <v>Objetivo estratégico 8 Indicador 4</v>
      </c>
      <c r="H65" s="260" t="str">
        <f ca="1">OFFSET(Variables_Lu!$D$10,Basic_Setup!H79,0)</f>
        <v>Nutrition-specific</v>
      </c>
      <c r="I65" s="262">
        <f t="shared" si="25"/>
        <v>0</v>
      </c>
      <c r="J65" s="37">
        <v>0</v>
      </c>
      <c r="K65" s="37">
        <v>0</v>
      </c>
      <c r="L65" s="37">
        <v>0</v>
      </c>
      <c r="M65" s="37">
        <v>0</v>
      </c>
      <c r="N65" s="37">
        <v>0</v>
      </c>
    </row>
    <row r="66" spans="6:14" ht="12" x14ac:dyDescent="0.2">
      <c r="F66" s="448"/>
      <c r="G66" s="41" t="str">
        <f>STRAT8_IND5</f>
        <v>Objetivo estratégico 8 Indicador 5</v>
      </c>
      <c r="H66" s="260" t="str">
        <f ca="1">OFFSET(Variables_Lu!$D$10,Basic_Setup!H80,0)</f>
        <v>Nutrition-specific</v>
      </c>
      <c r="I66" s="262">
        <f t="shared" si="25"/>
        <v>0</v>
      </c>
      <c r="J66" s="37">
        <v>0</v>
      </c>
      <c r="K66" s="37">
        <v>0</v>
      </c>
      <c r="L66" s="37">
        <v>0</v>
      </c>
      <c r="M66" s="37">
        <v>0</v>
      </c>
      <c r="N66" s="37">
        <v>0</v>
      </c>
    </row>
    <row r="67" spans="6:14" ht="12" x14ac:dyDescent="0.2">
      <c r="H67" s="152" t="s">
        <v>161</v>
      </c>
      <c r="I67" s="265">
        <f>SUM(I62:I66)</f>
        <v>0</v>
      </c>
      <c r="J67" s="265">
        <f t="shared" ref="J67:N67" si="26">SUM(J62:J66)</f>
        <v>0</v>
      </c>
      <c r="K67" s="265">
        <f t="shared" si="26"/>
        <v>0</v>
      </c>
      <c r="L67" s="265">
        <f t="shared" si="26"/>
        <v>0</v>
      </c>
      <c r="M67" s="265">
        <f t="shared" si="26"/>
        <v>0</v>
      </c>
      <c r="N67" s="265">
        <f t="shared" si="26"/>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262">
        <f>SUM(J68:N68)</f>
        <v>0</v>
      </c>
      <c r="J68" s="37">
        <v>0</v>
      </c>
      <c r="K68" s="37">
        <v>0</v>
      </c>
      <c r="L68" s="37">
        <v>0</v>
      </c>
      <c r="M68" s="37">
        <v>0</v>
      </c>
      <c r="N68" s="37">
        <v>0</v>
      </c>
    </row>
    <row r="69" spans="6:14" ht="12" x14ac:dyDescent="0.2">
      <c r="F69" s="447"/>
      <c r="G69" s="42" t="str">
        <f>STRAT9_IND2</f>
        <v>Objetivo estratégico 9 Indicador 2</v>
      </c>
      <c r="H69" s="260" t="str">
        <f ca="1">OFFSET(Variables_Lu!$D$10,Basic_Setup!H83,0)</f>
        <v>Nutrition-specific</v>
      </c>
      <c r="I69" s="262">
        <f t="shared" ref="I69:I72" si="27">SUM(J69:N69)</f>
        <v>0</v>
      </c>
      <c r="J69" s="37">
        <v>0</v>
      </c>
      <c r="K69" s="37">
        <v>0</v>
      </c>
      <c r="L69" s="37">
        <v>0</v>
      </c>
      <c r="M69" s="37">
        <v>0</v>
      </c>
      <c r="N69" s="37">
        <v>0</v>
      </c>
    </row>
    <row r="70" spans="6:14" ht="12" x14ac:dyDescent="0.2">
      <c r="F70" s="447"/>
      <c r="G70" s="42" t="str">
        <f>STRAT9_IND3</f>
        <v>Objetivo estratégico 9 Indicador 3</v>
      </c>
      <c r="H70" s="260" t="str">
        <f ca="1">OFFSET(Variables_Lu!$D$10,Basic_Setup!H84,0)</f>
        <v>Nutrition-specific</v>
      </c>
      <c r="I70" s="262">
        <f t="shared" si="27"/>
        <v>0</v>
      </c>
      <c r="J70" s="37">
        <v>0</v>
      </c>
      <c r="K70" s="37">
        <v>0</v>
      </c>
      <c r="L70" s="37">
        <v>0</v>
      </c>
      <c r="M70" s="37">
        <v>0</v>
      </c>
      <c r="N70" s="37">
        <v>0</v>
      </c>
    </row>
    <row r="71" spans="6:14" ht="12" x14ac:dyDescent="0.2">
      <c r="F71" s="447"/>
      <c r="G71" s="41" t="str">
        <f>STRAT9_IND4</f>
        <v>Objetivo estratégico 9 Indicador 4</v>
      </c>
      <c r="H71" s="260" t="str">
        <f ca="1">OFFSET(Variables_Lu!$D$10,Basic_Setup!H85,0)</f>
        <v>Nutrition-specific</v>
      </c>
      <c r="I71" s="262">
        <f t="shared" si="27"/>
        <v>0</v>
      </c>
      <c r="J71" s="37">
        <v>0</v>
      </c>
      <c r="K71" s="37">
        <v>0</v>
      </c>
      <c r="L71" s="37">
        <v>0</v>
      </c>
      <c r="M71" s="37">
        <v>0</v>
      </c>
      <c r="N71" s="37">
        <v>0</v>
      </c>
    </row>
    <row r="72" spans="6:14" ht="12" x14ac:dyDescent="0.2">
      <c r="F72" s="448"/>
      <c r="G72" s="41" t="str">
        <f>STRAT9_IND5</f>
        <v>Objetivo estratégico 9 Indicador 5</v>
      </c>
      <c r="H72" s="260" t="str">
        <f ca="1">OFFSET(Variables_Lu!$D$10,Basic_Setup!H86,0)</f>
        <v>Nutrition-specific</v>
      </c>
      <c r="I72" s="262">
        <f t="shared" si="27"/>
        <v>0</v>
      </c>
      <c r="J72" s="37">
        <v>0</v>
      </c>
      <c r="K72" s="37">
        <v>0</v>
      </c>
      <c r="L72" s="37">
        <v>0</v>
      </c>
      <c r="M72" s="37">
        <v>0</v>
      </c>
      <c r="N72" s="37">
        <v>0</v>
      </c>
    </row>
    <row r="73" spans="6:14" ht="12" x14ac:dyDescent="0.2">
      <c r="H73" s="152" t="s">
        <v>162</v>
      </c>
      <c r="I73" s="265">
        <f>SUM(I68:I72)</f>
        <v>0</v>
      </c>
      <c r="J73" s="265">
        <f t="shared" ref="J73:N73" si="28">SUM(J68:J72)</f>
        <v>0</v>
      </c>
      <c r="K73" s="265">
        <f t="shared" si="28"/>
        <v>0</v>
      </c>
      <c r="L73" s="265">
        <f t="shared" si="28"/>
        <v>0</v>
      </c>
      <c r="M73" s="265">
        <f t="shared" si="28"/>
        <v>0</v>
      </c>
      <c r="N73" s="265">
        <f t="shared" si="28"/>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262">
        <f>SUM(J74:N74)</f>
        <v>0</v>
      </c>
      <c r="J74" s="37">
        <v>0</v>
      </c>
      <c r="K74" s="37">
        <v>0</v>
      </c>
      <c r="L74" s="37">
        <v>0</v>
      </c>
      <c r="M74" s="37">
        <v>0</v>
      </c>
      <c r="N74" s="37">
        <v>0</v>
      </c>
    </row>
    <row r="75" spans="6:14" ht="12" x14ac:dyDescent="0.2">
      <c r="F75" s="447"/>
      <c r="G75" s="42" t="str">
        <f>STRAT10_IND2</f>
        <v>Objetivo estratégico 10 Indicador 2</v>
      </c>
      <c r="H75" s="260" t="str">
        <f ca="1">OFFSET(Variables_Lu!$D$10,Basic_Setup!H89,0)</f>
        <v>Nutrition-specific</v>
      </c>
      <c r="I75" s="262">
        <f t="shared" ref="I75:I78" si="29">SUM(J75:N75)</f>
        <v>0</v>
      </c>
      <c r="J75" s="37">
        <v>0</v>
      </c>
      <c r="K75" s="37">
        <v>0</v>
      </c>
      <c r="L75" s="37">
        <v>0</v>
      </c>
      <c r="M75" s="37">
        <v>0</v>
      </c>
      <c r="N75" s="37">
        <v>0</v>
      </c>
    </row>
    <row r="76" spans="6:14" ht="12" x14ac:dyDescent="0.2">
      <c r="F76" s="447"/>
      <c r="G76" s="42" t="str">
        <f>STRAT10_IND3</f>
        <v>Objetivo estratégico 10 Indicador 3</v>
      </c>
      <c r="H76" s="260" t="str">
        <f ca="1">OFFSET(Variables_Lu!$D$10,Basic_Setup!H90,0)</f>
        <v>Nutrition-specific</v>
      </c>
      <c r="I76" s="262">
        <f t="shared" si="29"/>
        <v>0</v>
      </c>
      <c r="J76" s="37">
        <v>0</v>
      </c>
      <c r="K76" s="37">
        <v>0</v>
      </c>
      <c r="L76" s="37">
        <v>0</v>
      </c>
      <c r="M76" s="37">
        <v>0</v>
      </c>
      <c r="N76" s="37">
        <v>0</v>
      </c>
    </row>
    <row r="77" spans="6:14" ht="11.25" customHeight="1" x14ac:dyDescent="0.2">
      <c r="F77" s="447"/>
      <c r="G77" s="41" t="str">
        <f>STRAT10_IND4</f>
        <v>Objetivo estratégico 10 Indicador 4</v>
      </c>
      <c r="H77" s="260" t="str">
        <f ca="1">OFFSET(Variables_Lu!$D$10,Basic_Setup!H91,0)</f>
        <v>Nutrition-specific</v>
      </c>
      <c r="I77" s="262">
        <f t="shared" si="29"/>
        <v>0</v>
      </c>
      <c r="J77" s="37">
        <v>0</v>
      </c>
      <c r="K77" s="37">
        <v>0</v>
      </c>
      <c r="L77" s="37">
        <v>0</v>
      </c>
      <c r="M77" s="37">
        <v>0</v>
      </c>
      <c r="N77" s="37">
        <v>0</v>
      </c>
    </row>
    <row r="78" spans="6:14" ht="11.25" customHeight="1" x14ac:dyDescent="0.2">
      <c r="F78" s="448"/>
      <c r="G78" s="41" t="str">
        <f>STRAT10_IND5</f>
        <v>Objetivo estratégico 10 Indicador 5</v>
      </c>
      <c r="H78" s="260" t="str">
        <f ca="1">OFFSET(Variables_Lu!$D$10,Basic_Setup!H92,0)</f>
        <v>Nutrition-specific</v>
      </c>
      <c r="I78" s="262">
        <f t="shared" si="29"/>
        <v>0</v>
      </c>
      <c r="J78" s="37">
        <v>0</v>
      </c>
      <c r="K78" s="37">
        <v>0</v>
      </c>
      <c r="L78" s="37">
        <v>0</v>
      </c>
      <c r="M78" s="37">
        <v>0</v>
      </c>
      <c r="N78" s="37">
        <v>0</v>
      </c>
    </row>
    <row r="79" spans="6:14" ht="11.25" customHeight="1" x14ac:dyDescent="0.2">
      <c r="H79" s="152" t="s">
        <v>163</v>
      </c>
      <c r="I79" s="265">
        <f>SUM(I74:I78)</f>
        <v>0</v>
      </c>
      <c r="J79" s="265">
        <f t="shared" ref="J79:N79" si="30">SUM(J74:J78)</f>
        <v>0</v>
      </c>
      <c r="K79" s="265">
        <f t="shared" si="30"/>
        <v>0</v>
      </c>
      <c r="L79" s="265">
        <f t="shared" si="30"/>
        <v>0</v>
      </c>
      <c r="M79" s="265">
        <f t="shared" si="30"/>
        <v>0</v>
      </c>
      <c r="N79" s="265">
        <f t="shared" si="30"/>
        <v>0</v>
      </c>
    </row>
    <row r="80" spans="6:14" ht="11.25" customHeight="1" x14ac:dyDescent="0.2">
      <c r="I80" s="263"/>
    </row>
    <row r="81" spans="6:14" ht="12.6" thickBot="1" x14ac:dyDescent="0.25">
      <c r="H81" s="149" t="str">
        <f>"TOTAL - "&amp;$F$12</f>
        <v xml:space="preserve">TOTAL - Ministerio de Derechos Humanos, Asuntos Sociales y Género </v>
      </c>
      <c r="I81" s="264">
        <f>SUM(I25,I31,I37,I43,I49,I55,I61,I67,I73,I79)</f>
        <v>12971444159.699999</v>
      </c>
      <c r="J81" s="264">
        <f>SUM(J25,J31,J37,J43,J49,J55,J61,J67,J73,J79)</f>
        <v>2594288831.9400001</v>
      </c>
      <c r="K81" s="264">
        <f t="shared" ref="K81:N81" si="31">SUM(K25,K31,K37,K43,K49,K55,K61,K67,K73,K79)</f>
        <v>2594288831.9400001</v>
      </c>
      <c r="L81" s="264">
        <f t="shared" si="31"/>
        <v>2594288831.9400001</v>
      </c>
      <c r="M81" s="264">
        <f t="shared" si="31"/>
        <v>2594288831.9400001</v>
      </c>
      <c r="N81" s="264">
        <f t="shared" si="31"/>
        <v>2594288831.9400001</v>
      </c>
    </row>
    <row r="83" spans="6:14" ht="12" x14ac:dyDescent="0.2">
      <c r="F83" s="44" t="s">
        <v>171</v>
      </c>
    </row>
    <row r="84" spans="6:14" x14ac:dyDescent="0.2">
      <c r="F84" s="49"/>
    </row>
    <row r="85" spans="6:14" x14ac:dyDescent="0.2">
      <c r="F85" s="49"/>
    </row>
    <row r="86" spans="6:14" x14ac:dyDescent="0.2">
      <c r="F86" s="49"/>
    </row>
    <row r="87" spans="6:14" x14ac:dyDescent="0.2">
      <c r="F87" s="49"/>
    </row>
    <row r="90" spans="6:14" ht="12.6" thickBot="1" x14ac:dyDescent="0.25">
      <c r="F90" s="1" t="s">
        <v>411</v>
      </c>
      <c r="G90" s="1" t="s">
        <v>412</v>
      </c>
      <c r="H90" s="406" t="s">
        <v>472</v>
      </c>
      <c r="I90" s="253" t="s">
        <v>106</v>
      </c>
      <c r="J90" s="54" t="str">
        <f>CURR_INT_ABBR</f>
        <v>USD</v>
      </c>
      <c r="K90" s="54" t="str">
        <f>CURR_INT_ABBR</f>
        <v>USD</v>
      </c>
      <c r="L90" s="54" t="str">
        <f>CURR_INT_ABBR</f>
        <v>USD</v>
      </c>
      <c r="M90" s="54" t="str">
        <f>CURR_INT_ABBR</f>
        <v>USD</v>
      </c>
      <c r="N90" s="54" t="str">
        <f>CURR_INT_ABBR</f>
        <v>USD</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67">
        <f t="shared" ref="I91:N100" si="32">I20/EXCHANGE_RATE</f>
        <v>2882.5431466000005</v>
      </c>
      <c r="J91" s="154">
        <f t="shared" si="32"/>
        <v>576.50862932000007</v>
      </c>
      <c r="K91" s="154">
        <f t="shared" si="32"/>
        <v>576.50862932000007</v>
      </c>
      <c r="L91" s="154">
        <f t="shared" si="32"/>
        <v>576.50862932000007</v>
      </c>
      <c r="M91" s="154">
        <f t="shared" si="32"/>
        <v>576.50862932000007</v>
      </c>
      <c r="N91" s="154">
        <f t="shared" si="32"/>
        <v>576.50862932000007</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67">
        <f t="shared" si="32"/>
        <v>2882.5431466000005</v>
      </c>
      <c r="J92" s="154">
        <f t="shared" si="32"/>
        <v>576.50862932000007</v>
      </c>
      <c r="K92" s="154">
        <f t="shared" si="32"/>
        <v>576.50862932000007</v>
      </c>
      <c r="L92" s="154">
        <f t="shared" si="32"/>
        <v>576.50862932000007</v>
      </c>
      <c r="M92" s="154">
        <f t="shared" si="32"/>
        <v>576.50862932000007</v>
      </c>
      <c r="N92" s="154">
        <f t="shared" si="32"/>
        <v>576.50862932000007</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67">
        <f t="shared" si="32"/>
        <v>2882.5431466000005</v>
      </c>
      <c r="J93" s="154">
        <f t="shared" si="32"/>
        <v>576.50862932000007</v>
      </c>
      <c r="K93" s="154">
        <f t="shared" si="32"/>
        <v>576.50862932000007</v>
      </c>
      <c r="L93" s="154">
        <f t="shared" si="32"/>
        <v>576.50862932000007</v>
      </c>
      <c r="M93" s="154">
        <f t="shared" si="32"/>
        <v>576.50862932000007</v>
      </c>
      <c r="N93" s="154">
        <f t="shared" si="32"/>
        <v>576.50862932000007</v>
      </c>
    </row>
    <row r="94" spans="6:14" ht="22.8" x14ac:dyDescent="0.2">
      <c r="F94" s="444"/>
      <c r="G94" s="41" t="str">
        <f>STRAT1_IND4</f>
        <v>El marco legislativo y reglamentario de la nutrición se ha fortalecido y está en funcionamiento.</v>
      </c>
      <c r="H94" s="268" t="str">
        <f ca="1">OFFSET(Variables_Lu!$D$10,Basic_Setup!H37,0)</f>
        <v>Governance</v>
      </c>
      <c r="I94" s="67">
        <f t="shared" si="32"/>
        <v>2882.5431466000005</v>
      </c>
      <c r="J94" s="154">
        <f t="shared" si="32"/>
        <v>576.50862932000007</v>
      </c>
      <c r="K94" s="154">
        <f t="shared" si="32"/>
        <v>576.50862932000007</v>
      </c>
      <c r="L94" s="154">
        <f t="shared" si="32"/>
        <v>576.50862932000007</v>
      </c>
      <c r="M94" s="154">
        <f t="shared" si="32"/>
        <v>576.50862932000007</v>
      </c>
      <c r="N94" s="154">
        <f t="shared" si="32"/>
        <v>576.50862932000007</v>
      </c>
    </row>
    <row r="95" spans="6:14" ht="12.6" thickBot="1" x14ac:dyDescent="0.25">
      <c r="F95" s="445"/>
      <c r="G95" s="275" t="str">
        <f>STRAT1_IND5</f>
        <v>Objetivo estratégico 1 Indicador 5</v>
      </c>
      <c r="H95" s="270" t="str">
        <f ca="1">OFFSET(Variables_Lu!$D$10,Basic_Setup!H38,0)</f>
        <v>Governance</v>
      </c>
      <c r="I95" s="67">
        <f t="shared" si="32"/>
        <v>0</v>
      </c>
      <c r="J95" s="154">
        <f t="shared" si="32"/>
        <v>0</v>
      </c>
      <c r="K95" s="154">
        <f t="shared" si="32"/>
        <v>0</v>
      </c>
      <c r="L95" s="154">
        <f t="shared" si="32"/>
        <v>0</v>
      </c>
      <c r="M95" s="154">
        <f t="shared" si="32"/>
        <v>0</v>
      </c>
      <c r="N95" s="154">
        <f t="shared" si="32"/>
        <v>0</v>
      </c>
    </row>
    <row r="96" spans="6:14" ht="12.6" thickBot="1" x14ac:dyDescent="0.25">
      <c r="F96" s="38"/>
      <c r="G96" s="38"/>
      <c r="H96" s="152" t="s">
        <v>107</v>
      </c>
      <c r="I96" s="122">
        <f t="shared" si="32"/>
        <v>11530.172586400002</v>
      </c>
      <c r="J96" s="63">
        <f t="shared" si="32"/>
        <v>2306.0345172800003</v>
      </c>
      <c r="K96" s="63">
        <f t="shared" si="32"/>
        <v>2306.0345172800003</v>
      </c>
      <c r="L96" s="63">
        <f t="shared" si="32"/>
        <v>2306.0345172800003</v>
      </c>
      <c r="M96" s="63">
        <f t="shared" si="32"/>
        <v>2306.0345172800003</v>
      </c>
      <c r="N96" s="63">
        <f t="shared" si="32"/>
        <v>2306.0345172800003</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67">
        <f t="shared" si="32"/>
        <v>152534.57484091667</v>
      </c>
      <c r="J97" s="154">
        <f t="shared" si="32"/>
        <v>30506.914968183333</v>
      </c>
      <c r="K97" s="154">
        <f t="shared" si="32"/>
        <v>30506.914968183333</v>
      </c>
      <c r="L97" s="154">
        <f t="shared" si="32"/>
        <v>30506.914968183333</v>
      </c>
      <c r="M97" s="154">
        <f t="shared" si="32"/>
        <v>30506.914968183333</v>
      </c>
      <c r="N97" s="154">
        <f t="shared" si="32"/>
        <v>30506.914968183333</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67">
        <f t="shared" si="32"/>
        <v>152534.57484091667</v>
      </c>
      <c r="J98" s="154">
        <f t="shared" si="32"/>
        <v>30506.914968183333</v>
      </c>
      <c r="K98" s="154">
        <f t="shared" si="32"/>
        <v>30506.914968183333</v>
      </c>
      <c r="L98" s="154">
        <f t="shared" si="32"/>
        <v>30506.914968183333</v>
      </c>
      <c r="M98" s="154">
        <f t="shared" si="32"/>
        <v>30506.914968183333</v>
      </c>
      <c r="N98" s="154">
        <f t="shared" si="32"/>
        <v>30506.914968183333</v>
      </c>
    </row>
    <row r="99" spans="6:14" ht="22.8" x14ac:dyDescent="0.2">
      <c r="F99" s="444"/>
      <c r="G99" s="42" t="str">
        <f>STRAT2_IND3</f>
        <v>Se refuerzan las intervenciones comunitarias en materia de nutrición.</v>
      </c>
      <c r="H99" s="268" t="str">
        <f ca="1">OFFSET(Variables_Lu!$D$10,Basic_Setup!H42,0)</f>
        <v>Nutrition-specific</v>
      </c>
      <c r="I99" s="67">
        <f t="shared" si="32"/>
        <v>152534.57484091667</v>
      </c>
      <c r="J99" s="154">
        <f t="shared" si="32"/>
        <v>30506.914968183333</v>
      </c>
      <c r="K99" s="154">
        <f t="shared" si="32"/>
        <v>30506.914968183333</v>
      </c>
      <c r="L99" s="154">
        <f t="shared" si="32"/>
        <v>30506.914968183333</v>
      </c>
      <c r="M99" s="154">
        <f t="shared" si="32"/>
        <v>30506.914968183333</v>
      </c>
      <c r="N99" s="154">
        <f t="shared" si="32"/>
        <v>30506.914968183333</v>
      </c>
    </row>
    <row r="100" spans="6:14" ht="12" x14ac:dyDescent="0.2">
      <c r="F100" s="444"/>
      <c r="G100" s="41" t="str">
        <f>STRAT2_IND4</f>
        <v>Objetivo estratégico 2 Indicador 4</v>
      </c>
      <c r="H100" s="268" t="str">
        <f ca="1">OFFSET(Variables_Lu!$D$10,Basic_Setup!H43,0)</f>
        <v>Nutrition-specific</v>
      </c>
      <c r="I100" s="67">
        <f t="shared" si="32"/>
        <v>0</v>
      </c>
      <c r="J100" s="154">
        <f t="shared" si="32"/>
        <v>0</v>
      </c>
      <c r="K100" s="154">
        <f t="shared" si="32"/>
        <v>0</v>
      </c>
      <c r="L100" s="154">
        <f t="shared" si="32"/>
        <v>0</v>
      </c>
      <c r="M100" s="154">
        <f t="shared" si="32"/>
        <v>0</v>
      </c>
      <c r="N100" s="154">
        <f t="shared" si="32"/>
        <v>0</v>
      </c>
    </row>
    <row r="101" spans="6:14" ht="12.6" thickBot="1" x14ac:dyDescent="0.25">
      <c r="F101" s="445"/>
      <c r="G101" s="275" t="str">
        <f>STRAT2_IND5</f>
        <v>Objetivo estratégico 2 Indicador 5</v>
      </c>
      <c r="H101" s="270" t="str">
        <f ca="1">OFFSET(Variables_Lu!$D$10,Basic_Setup!H44,0)</f>
        <v>Nutrition-specific</v>
      </c>
      <c r="I101" s="67">
        <f t="shared" ref="I101:N110" si="33">I30/EXCHANGE_RATE</f>
        <v>0</v>
      </c>
      <c r="J101" s="154">
        <f t="shared" si="33"/>
        <v>0</v>
      </c>
      <c r="K101" s="154">
        <f t="shared" si="33"/>
        <v>0</v>
      </c>
      <c r="L101" s="154">
        <f t="shared" si="33"/>
        <v>0</v>
      </c>
      <c r="M101" s="154">
        <f t="shared" si="33"/>
        <v>0</v>
      </c>
      <c r="N101" s="154">
        <f t="shared" si="33"/>
        <v>0</v>
      </c>
    </row>
    <row r="102" spans="6:14" ht="12.6" thickBot="1" x14ac:dyDescent="0.25">
      <c r="F102" s="38"/>
      <c r="G102" s="38"/>
      <c r="H102" s="152" t="s">
        <v>108</v>
      </c>
      <c r="I102" s="122">
        <f t="shared" si="33"/>
        <v>457603.72452274995</v>
      </c>
      <c r="J102" s="63">
        <f t="shared" si="33"/>
        <v>91520.744904549996</v>
      </c>
      <c r="K102" s="63">
        <f t="shared" si="33"/>
        <v>91520.744904549996</v>
      </c>
      <c r="L102" s="63">
        <f t="shared" si="33"/>
        <v>91520.744904549996</v>
      </c>
      <c r="M102" s="63">
        <f t="shared" si="33"/>
        <v>91520.744904549996</v>
      </c>
      <c r="N102" s="63">
        <f t="shared" si="33"/>
        <v>91520.744904549996</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67">
        <f t="shared" si="33"/>
        <v>1803751.3739849501</v>
      </c>
      <c r="J103" s="154">
        <f t="shared" si="33"/>
        <v>360750.27479699004</v>
      </c>
      <c r="K103" s="154">
        <f t="shared" si="33"/>
        <v>360750.27479699004</v>
      </c>
      <c r="L103" s="154">
        <f t="shared" si="33"/>
        <v>360750.27479699004</v>
      </c>
      <c r="M103" s="154">
        <f t="shared" si="33"/>
        <v>360750.27479699004</v>
      </c>
      <c r="N103" s="154">
        <f t="shared" si="33"/>
        <v>360750.27479699004</v>
      </c>
    </row>
    <row r="104" spans="6:14" ht="22.8" x14ac:dyDescent="0.2">
      <c r="F104" s="444"/>
      <c r="G104" s="42" t="str">
        <f>STRAT3_IND2</f>
        <v xml:space="preserve"> La seguridad alimentaria está garantizada para toda la nación.</v>
      </c>
      <c r="H104" s="268" t="str">
        <f ca="1">OFFSET(Variables_Lu!$D$10,Basic_Setup!H47,0)</f>
        <v>Nutrition-sensitive</v>
      </c>
      <c r="I104" s="67">
        <f t="shared" si="33"/>
        <v>1803751.3739849501</v>
      </c>
      <c r="J104" s="154">
        <f t="shared" si="33"/>
        <v>360750.27479699004</v>
      </c>
      <c r="K104" s="154">
        <f t="shared" si="33"/>
        <v>360750.27479699004</v>
      </c>
      <c r="L104" s="154">
        <f t="shared" si="33"/>
        <v>360750.27479699004</v>
      </c>
      <c r="M104" s="154">
        <f t="shared" si="33"/>
        <v>360750.27479699004</v>
      </c>
      <c r="N104" s="154">
        <f t="shared" si="33"/>
        <v>360750.27479699004</v>
      </c>
    </row>
    <row r="105" spans="6:14" ht="12" x14ac:dyDescent="0.2">
      <c r="F105" s="444"/>
      <c r="G105" s="42" t="str">
        <f>STRAT3_IND3</f>
        <v>Objetivo estratégico 3 Indicador 3</v>
      </c>
      <c r="H105" s="268" t="str">
        <f ca="1">OFFSET(Variables_Lu!$D$10,Basic_Setup!H48,0)</f>
        <v>Nutrition-specific</v>
      </c>
      <c r="I105" s="67">
        <f t="shared" si="33"/>
        <v>0</v>
      </c>
      <c r="J105" s="154">
        <f t="shared" si="33"/>
        <v>0</v>
      </c>
      <c r="K105" s="154">
        <f t="shared" si="33"/>
        <v>0</v>
      </c>
      <c r="L105" s="154">
        <f t="shared" si="33"/>
        <v>0</v>
      </c>
      <c r="M105" s="154">
        <f t="shared" si="33"/>
        <v>0</v>
      </c>
      <c r="N105" s="154">
        <f t="shared" si="33"/>
        <v>0</v>
      </c>
    </row>
    <row r="106" spans="6:14" ht="12" x14ac:dyDescent="0.2">
      <c r="F106" s="444"/>
      <c r="G106" s="41" t="str">
        <f>STRAT3_IND4</f>
        <v>Objetivo estratégico 3 Indicador 4</v>
      </c>
      <c r="H106" s="268" t="str">
        <f ca="1">OFFSET(Variables_Lu!$D$10,Basic_Setup!H49,0)</f>
        <v>Nutrition-specific</v>
      </c>
      <c r="I106" s="67">
        <f t="shared" si="33"/>
        <v>0</v>
      </c>
      <c r="J106" s="154">
        <f t="shared" si="33"/>
        <v>0</v>
      </c>
      <c r="K106" s="154">
        <f t="shared" si="33"/>
        <v>0</v>
      </c>
      <c r="L106" s="154">
        <f t="shared" si="33"/>
        <v>0</v>
      </c>
      <c r="M106" s="154">
        <f t="shared" si="33"/>
        <v>0</v>
      </c>
      <c r="N106" s="154">
        <f t="shared" si="33"/>
        <v>0</v>
      </c>
    </row>
    <row r="107" spans="6:14" ht="12.6" thickBot="1" x14ac:dyDescent="0.25">
      <c r="F107" s="445"/>
      <c r="G107" s="275" t="str">
        <f>STRAT3_IND5</f>
        <v>Objetivo estratégico 3 Indicador 5</v>
      </c>
      <c r="H107" s="270" t="str">
        <f ca="1">OFFSET(Variables_Lu!$D$10,Basic_Setup!H50,0)</f>
        <v>Nutrition-specific</v>
      </c>
      <c r="I107" s="67">
        <f t="shared" si="33"/>
        <v>0</v>
      </c>
      <c r="J107" s="154">
        <f t="shared" si="33"/>
        <v>0</v>
      </c>
      <c r="K107" s="154">
        <f t="shared" si="33"/>
        <v>0</v>
      </c>
      <c r="L107" s="154">
        <f t="shared" si="33"/>
        <v>0</v>
      </c>
      <c r="M107" s="154">
        <f t="shared" si="33"/>
        <v>0</v>
      </c>
      <c r="N107" s="154">
        <f t="shared" si="33"/>
        <v>0</v>
      </c>
    </row>
    <row r="108" spans="6:14" ht="12.6" thickBot="1" x14ac:dyDescent="0.25">
      <c r="H108" s="152" t="s">
        <v>109</v>
      </c>
      <c r="I108" s="122">
        <f t="shared" si="33"/>
        <v>3607502.7479699003</v>
      </c>
      <c r="J108" s="63">
        <f t="shared" si="33"/>
        <v>721500.54959398007</v>
      </c>
      <c r="K108" s="63">
        <f t="shared" si="33"/>
        <v>721500.54959398007</v>
      </c>
      <c r="L108" s="63">
        <f t="shared" si="33"/>
        <v>721500.54959398007</v>
      </c>
      <c r="M108" s="63">
        <f t="shared" si="33"/>
        <v>721500.54959398007</v>
      </c>
      <c r="N108" s="63">
        <f t="shared" si="33"/>
        <v>721500.54959398007</v>
      </c>
    </row>
    <row r="109" spans="6:14" ht="24"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67">
        <f t="shared" si="33"/>
        <v>1015375.8233898501</v>
      </c>
      <c r="J109" s="154">
        <f t="shared" si="33"/>
        <v>203075.16467797002</v>
      </c>
      <c r="K109" s="154">
        <f t="shared" si="33"/>
        <v>203075.16467797002</v>
      </c>
      <c r="L109" s="154">
        <f t="shared" si="33"/>
        <v>203075.16467797002</v>
      </c>
      <c r="M109" s="154">
        <f t="shared" si="33"/>
        <v>203075.16467797002</v>
      </c>
      <c r="N109" s="154">
        <f t="shared" si="33"/>
        <v>203075.16467797002</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67">
        <f t="shared" si="33"/>
        <v>1015375.8233898501</v>
      </c>
      <c r="J110" s="154">
        <f t="shared" si="33"/>
        <v>203075.16467797002</v>
      </c>
      <c r="K110" s="154">
        <f t="shared" si="33"/>
        <v>203075.16467797002</v>
      </c>
      <c r="L110" s="154">
        <f t="shared" si="33"/>
        <v>203075.16467797002</v>
      </c>
      <c r="M110" s="154">
        <f t="shared" si="33"/>
        <v>203075.16467797002</v>
      </c>
      <c r="N110" s="154">
        <f t="shared" si="33"/>
        <v>203075.16467797002</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67">
        <f t="shared" ref="I111:N120" si="34">I40/EXCHANGE_RATE</f>
        <v>1015375.8233898501</v>
      </c>
      <c r="J111" s="154">
        <f t="shared" si="34"/>
        <v>203075.16467797002</v>
      </c>
      <c r="K111" s="154">
        <f t="shared" si="34"/>
        <v>203075.16467797002</v>
      </c>
      <c r="L111" s="154">
        <f t="shared" si="34"/>
        <v>203075.16467797002</v>
      </c>
      <c r="M111" s="154">
        <f t="shared" si="34"/>
        <v>203075.16467797002</v>
      </c>
      <c r="N111" s="154">
        <f t="shared" si="34"/>
        <v>203075.16467797002</v>
      </c>
    </row>
    <row r="112" spans="6:14" ht="12" x14ac:dyDescent="0.2">
      <c r="F112" s="444"/>
      <c r="G112" s="41" t="str">
        <f>STRAT4_IND4</f>
        <v>Objetivo estratégico 4 Indicador 4</v>
      </c>
      <c r="H112" s="268" t="str">
        <f ca="1">OFFSET(Variables_Lu!$D$10,Basic_Setup!H55,0)</f>
        <v>Nutrition-specific</v>
      </c>
      <c r="I112" s="67">
        <f t="shared" si="34"/>
        <v>0</v>
      </c>
      <c r="J112" s="154">
        <f t="shared" si="34"/>
        <v>0</v>
      </c>
      <c r="K112" s="154">
        <f t="shared" si="34"/>
        <v>0</v>
      </c>
      <c r="L112" s="154">
        <f t="shared" si="34"/>
        <v>0</v>
      </c>
      <c r="M112" s="154">
        <f t="shared" si="34"/>
        <v>0</v>
      </c>
      <c r="N112" s="154">
        <f t="shared" si="34"/>
        <v>0</v>
      </c>
    </row>
    <row r="113" spans="6:14" ht="12.6" thickBot="1" x14ac:dyDescent="0.25">
      <c r="F113" s="445"/>
      <c r="G113" s="275" t="str">
        <f>STRAT4_IND5</f>
        <v>Objetivo estratégico 4 Indicador 5</v>
      </c>
      <c r="H113" s="270" t="str">
        <f ca="1">OFFSET(Variables_Lu!$D$10,Basic_Setup!H56,0)</f>
        <v>Nutrition-specific</v>
      </c>
      <c r="I113" s="67">
        <f t="shared" si="34"/>
        <v>0</v>
      </c>
      <c r="J113" s="154">
        <f t="shared" si="34"/>
        <v>0</v>
      </c>
      <c r="K113" s="154">
        <f t="shared" si="34"/>
        <v>0</v>
      </c>
      <c r="L113" s="154">
        <f t="shared" si="34"/>
        <v>0</v>
      </c>
      <c r="M113" s="154">
        <f t="shared" si="34"/>
        <v>0</v>
      </c>
      <c r="N113" s="154">
        <f t="shared" si="34"/>
        <v>0</v>
      </c>
    </row>
    <row r="114" spans="6:14" ht="12.6" thickBot="1" x14ac:dyDescent="0.25">
      <c r="H114" s="152" t="s">
        <v>110</v>
      </c>
      <c r="I114" s="122">
        <f t="shared" si="34"/>
        <v>3046127.4701695503</v>
      </c>
      <c r="J114" s="63">
        <f t="shared" si="34"/>
        <v>609225.49403390998</v>
      </c>
      <c r="K114" s="63">
        <f t="shared" si="34"/>
        <v>609225.49403390998</v>
      </c>
      <c r="L114" s="63">
        <f t="shared" si="34"/>
        <v>609225.49403390998</v>
      </c>
      <c r="M114" s="63">
        <f t="shared" si="34"/>
        <v>609225.49403390998</v>
      </c>
      <c r="N114" s="63">
        <f t="shared" si="34"/>
        <v>609225.49403390998</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67">
        <f t="shared" si="34"/>
        <v>27864.583750466667</v>
      </c>
      <c r="J115" s="154">
        <f t="shared" si="34"/>
        <v>5572.9167500933336</v>
      </c>
      <c r="K115" s="154">
        <f t="shared" si="34"/>
        <v>5572.9167500933336</v>
      </c>
      <c r="L115" s="154">
        <f t="shared" si="34"/>
        <v>5572.9167500933336</v>
      </c>
      <c r="M115" s="154">
        <f t="shared" si="34"/>
        <v>5572.9167500933336</v>
      </c>
      <c r="N115" s="154">
        <f t="shared" si="34"/>
        <v>5572.9167500933336</v>
      </c>
    </row>
    <row r="116" spans="6:14" ht="22.8" x14ac:dyDescent="0.2">
      <c r="F116" s="444"/>
      <c r="G116" s="42" t="str">
        <f>STRAT5_IND2</f>
        <v>Se promueven dietas saludables y estilos de vida saludables para las personas.</v>
      </c>
      <c r="H116" s="268" t="str">
        <f ca="1">OFFSET(Variables_Lu!$D$10,Basic_Setup!H59,0)</f>
        <v>Nutrition-specific</v>
      </c>
      <c r="I116" s="67">
        <f t="shared" si="34"/>
        <v>27864.583750466667</v>
      </c>
      <c r="J116" s="154">
        <f t="shared" si="34"/>
        <v>5572.9167500933336</v>
      </c>
      <c r="K116" s="154">
        <f t="shared" si="34"/>
        <v>5572.9167500933336</v>
      </c>
      <c r="L116" s="154">
        <f t="shared" si="34"/>
        <v>5572.9167500933336</v>
      </c>
      <c r="M116" s="154">
        <f t="shared" si="34"/>
        <v>5572.9167500933336</v>
      </c>
      <c r="N116" s="154">
        <f t="shared" si="34"/>
        <v>5572.9167500933336</v>
      </c>
    </row>
    <row r="117" spans="6:14" ht="22.8" x14ac:dyDescent="0.2">
      <c r="F117" s="444"/>
      <c r="G117" s="42" t="str">
        <f>STRAT5_IND3</f>
        <v>Se promueven las buenas prácticas WASH a nivel comunitario y doméstico</v>
      </c>
      <c r="H117" s="268" t="str">
        <f ca="1">OFFSET(Variables_Lu!$D$10,Basic_Setup!H60,0)</f>
        <v>Nutrition-sensitive</v>
      </c>
      <c r="I117" s="67">
        <f t="shared" si="34"/>
        <v>27864.583750466667</v>
      </c>
      <c r="J117" s="154">
        <f t="shared" si="34"/>
        <v>5572.9167500933336</v>
      </c>
      <c r="K117" s="154">
        <f t="shared" si="34"/>
        <v>5572.9167500933336</v>
      </c>
      <c r="L117" s="154">
        <f t="shared" si="34"/>
        <v>5572.9167500933336</v>
      </c>
      <c r="M117" s="154">
        <f t="shared" si="34"/>
        <v>5572.9167500933336</v>
      </c>
      <c r="N117" s="154">
        <f t="shared" si="34"/>
        <v>5572.9167500933336</v>
      </c>
    </row>
    <row r="118" spans="6:14" ht="12" x14ac:dyDescent="0.2">
      <c r="F118" s="444"/>
      <c r="G118" s="41" t="str">
        <f>STRAT5_IND4</f>
        <v>Objetivo estratégico 5 Indicador 4</v>
      </c>
      <c r="H118" s="268" t="str">
        <f ca="1">OFFSET(Variables_Lu!$D$10,Basic_Setup!H61,0)</f>
        <v>Nutrition-specific</v>
      </c>
      <c r="I118" s="67">
        <f t="shared" si="34"/>
        <v>0</v>
      </c>
      <c r="J118" s="154">
        <f t="shared" si="34"/>
        <v>0</v>
      </c>
      <c r="K118" s="154">
        <f t="shared" si="34"/>
        <v>0</v>
      </c>
      <c r="L118" s="154">
        <f t="shared" si="34"/>
        <v>0</v>
      </c>
      <c r="M118" s="154">
        <f t="shared" si="34"/>
        <v>0</v>
      </c>
      <c r="N118" s="154">
        <f t="shared" si="34"/>
        <v>0</v>
      </c>
    </row>
    <row r="119" spans="6:14" ht="12.6" thickBot="1" x14ac:dyDescent="0.25">
      <c r="F119" s="445"/>
      <c r="G119" s="275" t="str">
        <f>STRAT5_IND5</f>
        <v>Objetivo estratégico 5 Indicador 5</v>
      </c>
      <c r="H119" s="270" t="str">
        <f ca="1">OFFSET(Variables_Lu!$D$10,Basic_Setup!H62,0)</f>
        <v>Nutrition-specific</v>
      </c>
      <c r="I119" s="67">
        <f t="shared" si="34"/>
        <v>0</v>
      </c>
      <c r="J119" s="154">
        <f t="shared" si="34"/>
        <v>0</v>
      </c>
      <c r="K119" s="154">
        <f t="shared" si="34"/>
        <v>0</v>
      </c>
      <c r="L119" s="154">
        <f t="shared" si="34"/>
        <v>0</v>
      </c>
      <c r="M119" s="154">
        <f t="shared" si="34"/>
        <v>0</v>
      </c>
      <c r="N119" s="154">
        <f t="shared" si="34"/>
        <v>0</v>
      </c>
    </row>
    <row r="120" spans="6:14" ht="12.6" thickBot="1" x14ac:dyDescent="0.25">
      <c r="H120" s="152" t="s">
        <v>111</v>
      </c>
      <c r="I120" s="122">
        <f t="shared" si="34"/>
        <v>83593.751251399997</v>
      </c>
      <c r="J120" s="63">
        <f t="shared" si="34"/>
        <v>16718.750250279998</v>
      </c>
      <c r="K120" s="63">
        <f t="shared" si="34"/>
        <v>16718.750250279998</v>
      </c>
      <c r="L120" s="63">
        <f t="shared" si="34"/>
        <v>16718.750250279998</v>
      </c>
      <c r="M120" s="63">
        <f t="shared" si="34"/>
        <v>16718.750250279998</v>
      </c>
      <c r="N120" s="63">
        <f t="shared" si="34"/>
        <v>16718.750250279998</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67">
        <f t="shared" ref="I121:N130" si="35">I50/EXCHANGE_RATE</f>
        <v>0</v>
      </c>
      <c r="J121" s="154">
        <f t="shared" si="35"/>
        <v>0</v>
      </c>
      <c r="K121" s="154">
        <f t="shared" si="35"/>
        <v>0</v>
      </c>
      <c r="L121" s="154">
        <f t="shared" si="35"/>
        <v>0</v>
      </c>
      <c r="M121" s="154">
        <f t="shared" si="35"/>
        <v>0</v>
      </c>
      <c r="N121" s="154">
        <f t="shared" si="35"/>
        <v>0</v>
      </c>
    </row>
    <row r="122" spans="6:14" ht="12" x14ac:dyDescent="0.2">
      <c r="F122" s="444"/>
      <c r="G122" s="42" t="str">
        <f>STRAT6_IND2</f>
        <v>Objetivo estratégico 6 Indicador 2</v>
      </c>
      <c r="H122" s="268" t="str">
        <f ca="1">OFFSET(Variables_Lu!$D$10,Basic_Setup!H65,0)</f>
        <v>Nutrition-specific</v>
      </c>
      <c r="I122" s="67">
        <f t="shared" si="35"/>
        <v>0</v>
      </c>
      <c r="J122" s="154">
        <f t="shared" si="35"/>
        <v>0</v>
      </c>
      <c r="K122" s="154">
        <f t="shared" si="35"/>
        <v>0</v>
      </c>
      <c r="L122" s="154">
        <f t="shared" si="35"/>
        <v>0</v>
      </c>
      <c r="M122" s="154">
        <f t="shared" si="35"/>
        <v>0</v>
      </c>
      <c r="N122" s="154">
        <f t="shared" si="35"/>
        <v>0</v>
      </c>
    </row>
    <row r="123" spans="6:14" ht="12" x14ac:dyDescent="0.2">
      <c r="F123" s="444"/>
      <c r="G123" s="42" t="str">
        <f>STRAT6_IND3</f>
        <v>Objetivo estratégico 6 Indicador 3</v>
      </c>
      <c r="H123" s="268" t="str">
        <f ca="1">OFFSET(Variables_Lu!$D$10,Basic_Setup!H66,0)</f>
        <v>Nutrition-specific</v>
      </c>
      <c r="I123" s="67">
        <f t="shared" si="35"/>
        <v>0</v>
      </c>
      <c r="J123" s="154">
        <f t="shared" si="35"/>
        <v>0</v>
      </c>
      <c r="K123" s="154">
        <f t="shared" si="35"/>
        <v>0</v>
      </c>
      <c r="L123" s="154">
        <f t="shared" si="35"/>
        <v>0</v>
      </c>
      <c r="M123" s="154">
        <f t="shared" si="35"/>
        <v>0</v>
      </c>
      <c r="N123" s="154">
        <f t="shared" si="35"/>
        <v>0</v>
      </c>
    </row>
    <row r="124" spans="6:14" ht="12" x14ac:dyDescent="0.2">
      <c r="F124" s="444"/>
      <c r="G124" s="41" t="str">
        <f>STRAT6_IND4</f>
        <v>Objetivo estratégico 6 Indicador 4</v>
      </c>
      <c r="H124" s="268" t="str">
        <f ca="1">OFFSET(Variables_Lu!$D$10,Basic_Setup!H67,0)</f>
        <v>Nutrition-specific</v>
      </c>
      <c r="I124" s="67">
        <f t="shared" si="35"/>
        <v>0</v>
      </c>
      <c r="J124" s="154">
        <f t="shared" si="35"/>
        <v>0</v>
      </c>
      <c r="K124" s="154">
        <f t="shared" si="35"/>
        <v>0</v>
      </c>
      <c r="L124" s="154">
        <f t="shared" si="35"/>
        <v>0</v>
      </c>
      <c r="M124" s="154">
        <f t="shared" si="35"/>
        <v>0</v>
      </c>
      <c r="N124" s="154">
        <f t="shared" si="35"/>
        <v>0</v>
      </c>
    </row>
    <row r="125" spans="6:14" ht="12.6" thickBot="1" x14ac:dyDescent="0.25">
      <c r="F125" s="445"/>
      <c r="G125" s="275" t="str">
        <f>STRAT6_IND5</f>
        <v>Objetivo estratégico 6 Indicador 5</v>
      </c>
      <c r="H125" s="270" t="str">
        <f ca="1">OFFSET(Variables_Lu!$D$10,Basic_Setup!H68,0)</f>
        <v>Nutrition-specific</v>
      </c>
      <c r="I125" s="67">
        <f t="shared" si="35"/>
        <v>0</v>
      </c>
      <c r="J125" s="154">
        <f t="shared" si="35"/>
        <v>0</v>
      </c>
      <c r="K125" s="154">
        <f t="shared" si="35"/>
        <v>0</v>
      </c>
      <c r="L125" s="154">
        <f t="shared" si="35"/>
        <v>0</v>
      </c>
      <c r="M125" s="154">
        <f t="shared" si="35"/>
        <v>0</v>
      </c>
      <c r="N125" s="154">
        <f t="shared" si="35"/>
        <v>0</v>
      </c>
    </row>
    <row r="126" spans="6:14" ht="12.6" thickBot="1" x14ac:dyDescent="0.25">
      <c r="H126" s="152" t="s">
        <v>159</v>
      </c>
      <c r="I126" s="122">
        <f t="shared" si="35"/>
        <v>0</v>
      </c>
      <c r="J126" s="63">
        <f t="shared" si="35"/>
        <v>0</v>
      </c>
      <c r="K126" s="63">
        <f t="shared" si="35"/>
        <v>0</v>
      </c>
      <c r="L126" s="63">
        <f t="shared" si="35"/>
        <v>0</v>
      </c>
      <c r="M126" s="63">
        <f t="shared" si="35"/>
        <v>0</v>
      </c>
      <c r="N126" s="63">
        <f t="shared" si="35"/>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67">
        <f t="shared" si="35"/>
        <v>0</v>
      </c>
      <c r="J127" s="154">
        <f t="shared" si="35"/>
        <v>0</v>
      </c>
      <c r="K127" s="154">
        <f t="shared" si="35"/>
        <v>0</v>
      </c>
      <c r="L127" s="154">
        <f t="shared" si="35"/>
        <v>0</v>
      </c>
      <c r="M127" s="154">
        <f t="shared" si="35"/>
        <v>0</v>
      </c>
      <c r="N127" s="154">
        <f t="shared" si="35"/>
        <v>0</v>
      </c>
    </row>
    <row r="128" spans="6:14" ht="12" x14ac:dyDescent="0.2">
      <c r="F128" s="444"/>
      <c r="G128" s="42" t="str">
        <f>STRAT7_IND2</f>
        <v>Objetivo estratégico 7 Indicador 2</v>
      </c>
      <c r="H128" s="268" t="str">
        <f ca="1">OFFSET(Variables_Lu!$D$10,Basic_Setup!H71,0)</f>
        <v>Nutrition-specific</v>
      </c>
      <c r="I128" s="67">
        <f t="shared" si="35"/>
        <v>0</v>
      </c>
      <c r="J128" s="154">
        <f t="shared" si="35"/>
        <v>0</v>
      </c>
      <c r="K128" s="154">
        <f t="shared" si="35"/>
        <v>0</v>
      </c>
      <c r="L128" s="154">
        <f t="shared" si="35"/>
        <v>0</v>
      </c>
      <c r="M128" s="154">
        <f t="shared" si="35"/>
        <v>0</v>
      </c>
      <c r="N128" s="154">
        <f t="shared" si="35"/>
        <v>0</v>
      </c>
    </row>
    <row r="129" spans="6:14" ht="12" x14ac:dyDescent="0.2">
      <c r="F129" s="444"/>
      <c r="G129" s="42" t="str">
        <f>STRAT7_IND3</f>
        <v>Objetivo estratégico 7 Indicador 3</v>
      </c>
      <c r="H129" s="268" t="str">
        <f ca="1">OFFSET(Variables_Lu!$D$10,Basic_Setup!H72,0)</f>
        <v>Nutrition-specific</v>
      </c>
      <c r="I129" s="67">
        <f t="shared" si="35"/>
        <v>0</v>
      </c>
      <c r="J129" s="154">
        <f t="shared" si="35"/>
        <v>0</v>
      </c>
      <c r="K129" s="154">
        <f t="shared" si="35"/>
        <v>0</v>
      </c>
      <c r="L129" s="154">
        <f t="shared" si="35"/>
        <v>0</v>
      </c>
      <c r="M129" s="154">
        <f t="shared" si="35"/>
        <v>0</v>
      </c>
      <c r="N129" s="154">
        <f t="shared" si="35"/>
        <v>0</v>
      </c>
    </row>
    <row r="130" spans="6:14" ht="12" x14ac:dyDescent="0.2">
      <c r="F130" s="444"/>
      <c r="G130" s="41" t="str">
        <f>STRAT7_IND4</f>
        <v>Objetivo estratégico 7 Indicador 4</v>
      </c>
      <c r="H130" s="268" t="str">
        <f ca="1">OFFSET(Variables_Lu!$D$10,Basic_Setup!H73,0)</f>
        <v>Nutrition-specific</v>
      </c>
      <c r="I130" s="67">
        <f t="shared" si="35"/>
        <v>0</v>
      </c>
      <c r="J130" s="154">
        <f t="shared" si="35"/>
        <v>0</v>
      </c>
      <c r="K130" s="154">
        <f t="shared" si="35"/>
        <v>0</v>
      </c>
      <c r="L130" s="154">
        <f t="shared" si="35"/>
        <v>0</v>
      </c>
      <c r="M130" s="154">
        <f t="shared" si="35"/>
        <v>0</v>
      </c>
      <c r="N130" s="154">
        <f t="shared" si="35"/>
        <v>0</v>
      </c>
    </row>
    <row r="131" spans="6:14" ht="12.6" thickBot="1" x14ac:dyDescent="0.25">
      <c r="F131" s="445"/>
      <c r="G131" s="275" t="str">
        <f>STRAT7_IND5</f>
        <v>Objetivo estratégico 7 Indicador 5</v>
      </c>
      <c r="H131" s="270" t="str">
        <f ca="1">OFFSET(Variables_Lu!$D$10,Basic_Setup!H74,0)</f>
        <v>Nutrition-specific</v>
      </c>
      <c r="I131" s="67">
        <f t="shared" ref="I131:N140" si="36">I60/EXCHANGE_RATE</f>
        <v>0</v>
      </c>
      <c r="J131" s="154">
        <f t="shared" si="36"/>
        <v>0</v>
      </c>
      <c r="K131" s="154">
        <f t="shared" si="36"/>
        <v>0</v>
      </c>
      <c r="L131" s="154">
        <f t="shared" si="36"/>
        <v>0</v>
      </c>
      <c r="M131" s="154">
        <f t="shared" si="36"/>
        <v>0</v>
      </c>
      <c r="N131" s="154">
        <f t="shared" si="36"/>
        <v>0</v>
      </c>
    </row>
    <row r="132" spans="6:14" ht="12.6" thickBot="1" x14ac:dyDescent="0.25">
      <c r="H132" s="152" t="s">
        <v>160</v>
      </c>
      <c r="I132" s="122">
        <f t="shared" si="36"/>
        <v>0</v>
      </c>
      <c r="J132" s="63">
        <f t="shared" si="36"/>
        <v>0</v>
      </c>
      <c r="K132" s="63">
        <f t="shared" si="36"/>
        <v>0</v>
      </c>
      <c r="L132" s="63">
        <f t="shared" si="36"/>
        <v>0</v>
      </c>
      <c r="M132" s="63">
        <f t="shared" si="36"/>
        <v>0</v>
      </c>
      <c r="N132" s="63">
        <f t="shared" si="36"/>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67">
        <f t="shared" si="36"/>
        <v>0</v>
      </c>
      <c r="J133" s="154">
        <f t="shared" si="36"/>
        <v>0</v>
      </c>
      <c r="K133" s="154">
        <f t="shared" si="36"/>
        <v>0</v>
      </c>
      <c r="L133" s="154">
        <f t="shared" si="36"/>
        <v>0</v>
      </c>
      <c r="M133" s="154">
        <f t="shared" si="36"/>
        <v>0</v>
      </c>
      <c r="N133" s="154">
        <f t="shared" si="36"/>
        <v>0</v>
      </c>
    </row>
    <row r="134" spans="6:14" ht="12" x14ac:dyDescent="0.2">
      <c r="F134" s="444"/>
      <c r="G134" s="42" t="str">
        <f>STRAT8_IND2</f>
        <v>Objetivo estratégico 8 Indicador 2</v>
      </c>
      <c r="H134" s="268" t="str">
        <f ca="1">OFFSET(Variables_Lu!$D$10,Basic_Setup!H77,0)</f>
        <v>Nutrition-specific</v>
      </c>
      <c r="I134" s="67">
        <f t="shared" si="36"/>
        <v>0</v>
      </c>
      <c r="J134" s="154">
        <f t="shared" si="36"/>
        <v>0</v>
      </c>
      <c r="K134" s="154">
        <f t="shared" si="36"/>
        <v>0</v>
      </c>
      <c r="L134" s="154">
        <f t="shared" si="36"/>
        <v>0</v>
      </c>
      <c r="M134" s="154">
        <f t="shared" si="36"/>
        <v>0</v>
      </c>
      <c r="N134" s="154">
        <f t="shared" si="36"/>
        <v>0</v>
      </c>
    </row>
    <row r="135" spans="6:14" ht="12" x14ac:dyDescent="0.2">
      <c r="F135" s="444"/>
      <c r="G135" s="42" t="str">
        <f>STRAT8_IND3</f>
        <v>Objetivo estratégico 8 Indicador 3</v>
      </c>
      <c r="H135" s="268" t="str">
        <f ca="1">OFFSET(Variables_Lu!$D$10,Basic_Setup!H78,0)</f>
        <v>Nutrition-specific</v>
      </c>
      <c r="I135" s="67">
        <f t="shared" si="36"/>
        <v>0</v>
      </c>
      <c r="J135" s="154">
        <f t="shared" si="36"/>
        <v>0</v>
      </c>
      <c r="K135" s="154">
        <f t="shared" si="36"/>
        <v>0</v>
      </c>
      <c r="L135" s="154">
        <f t="shared" si="36"/>
        <v>0</v>
      </c>
      <c r="M135" s="154">
        <f t="shared" si="36"/>
        <v>0</v>
      </c>
      <c r="N135" s="154">
        <f t="shared" si="36"/>
        <v>0</v>
      </c>
    </row>
    <row r="136" spans="6:14" ht="12" x14ac:dyDescent="0.2">
      <c r="F136" s="444"/>
      <c r="G136" s="41" t="str">
        <f>STRAT8_IND4</f>
        <v>Objetivo estratégico 8 Indicador 4</v>
      </c>
      <c r="H136" s="268" t="str">
        <f ca="1">OFFSET(Variables_Lu!$D$10,Basic_Setup!H79,0)</f>
        <v>Nutrition-specific</v>
      </c>
      <c r="I136" s="67">
        <f t="shared" si="36"/>
        <v>0</v>
      </c>
      <c r="J136" s="154">
        <f t="shared" si="36"/>
        <v>0</v>
      </c>
      <c r="K136" s="154">
        <f t="shared" si="36"/>
        <v>0</v>
      </c>
      <c r="L136" s="154">
        <f t="shared" si="36"/>
        <v>0</v>
      </c>
      <c r="M136" s="154">
        <f t="shared" si="36"/>
        <v>0</v>
      </c>
      <c r="N136" s="154">
        <f t="shared" si="36"/>
        <v>0</v>
      </c>
    </row>
    <row r="137" spans="6:14" ht="12.6" thickBot="1" x14ac:dyDescent="0.25">
      <c r="F137" s="445"/>
      <c r="G137" s="275" t="str">
        <f>STRAT8_IND5</f>
        <v>Objetivo estratégico 8 Indicador 5</v>
      </c>
      <c r="H137" s="270" t="str">
        <f ca="1">OFFSET(Variables_Lu!$D$10,Basic_Setup!H80,0)</f>
        <v>Nutrition-specific</v>
      </c>
      <c r="I137" s="67">
        <f t="shared" si="36"/>
        <v>0</v>
      </c>
      <c r="J137" s="154">
        <f t="shared" si="36"/>
        <v>0</v>
      </c>
      <c r="K137" s="154">
        <f t="shared" si="36"/>
        <v>0</v>
      </c>
      <c r="L137" s="154">
        <f t="shared" si="36"/>
        <v>0</v>
      </c>
      <c r="M137" s="154">
        <f t="shared" si="36"/>
        <v>0</v>
      </c>
      <c r="N137" s="154">
        <f t="shared" si="36"/>
        <v>0</v>
      </c>
    </row>
    <row r="138" spans="6:14" ht="12.6" thickBot="1" x14ac:dyDescent="0.25">
      <c r="H138" s="152" t="s">
        <v>161</v>
      </c>
      <c r="I138" s="122">
        <f t="shared" si="36"/>
        <v>0</v>
      </c>
      <c r="J138" s="63">
        <f t="shared" si="36"/>
        <v>0</v>
      </c>
      <c r="K138" s="63">
        <f t="shared" si="36"/>
        <v>0</v>
      </c>
      <c r="L138" s="63">
        <f t="shared" si="36"/>
        <v>0</v>
      </c>
      <c r="M138" s="63">
        <f t="shared" si="36"/>
        <v>0</v>
      </c>
      <c r="N138" s="63">
        <f t="shared" si="36"/>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67">
        <f t="shared" si="36"/>
        <v>0</v>
      </c>
      <c r="J139" s="154">
        <f t="shared" si="36"/>
        <v>0</v>
      </c>
      <c r="K139" s="154">
        <f t="shared" si="36"/>
        <v>0</v>
      </c>
      <c r="L139" s="154">
        <f t="shared" si="36"/>
        <v>0</v>
      </c>
      <c r="M139" s="154">
        <f t="shared" si="36"/>
        <v>0</v>
      </c>
      <c r="N139" s="154">
        <f t="shared" si="36"/>
        <v>0</v>
      </c>
    </row>
    <row r="140" spans="6:14" ht="12" x14ac:dyDescent="0.2">
      <c r="F140" s="444"/>
      <c r="G140" s="42" t="str">
        <f>STRAT9_IND2</f>
        <v>Objetivo estratégico 9 Indicador 2</v>
      </c>
      <c r="H140" s="268" t="str">
        <f ca="1">OFFSET(Variables_Lu!$D$10,Basic_Setup!H83,0)</f>
        <v>Nutrition-specific</v>
      </c>
      <c r="I140" s="67">
        <f t="shared" si="36"/>
        <v>0</v>
      </c>
      <c r="J140" s="154">
        <f t="shared" si="36"/>
        <v>0</v>
      </c>
      <c r="K140" s="154">
        <f t="shared" si="36"/>
        <v>0</v>
      </c>
      <c r="L140" s="154">
        <f t="shared" si="36"/>
        <v>0</v>
      </c>
      <c r="M140" s="154">
        <f t="shared" si="36"/>
        <v>0</v>
      </c>
      <c r="N140" s="154">
        <f t="shared" si="36"/>
        <v>0</v>
      </c>
    </row>
    <row r="141" spans="6:14" ht="12" x14ac:dyDescent="0.2">
      <c r="F141" s="444"/>
      <c r="G141" s="42" t="str">
        <f>STRAT9_IND3</f>
        <v>Objetivo estratégico 9 Indicador 3</v>
      </c>
      <c r="H141" s="268" t="str">
        <f ca="1">OFFSET(Variables_Lu!$D$10,Basic_Setup!H84,0)</f>
        <v>Nutrition-specific</v>
      </c>
      <c r="I141" s="67">
        <f t="shared" ref="I141:N150" si="37">I70/EXCHANGE_RATE</f>
        <v>0</v>
      </c>
      <c r="J141" s="154">
        <f t="shared" si="37"/>
        <v>0</v>
      </c>
      <c r="K141" s="154">
        <f t="shared" si="37"/>
        <v>0</v>
      </c>
      <c r="L141" s="154">
        <f t="shared" si="37"/>
        <v>0</v>
      </c>
      <c r="M141" s="154">
        <f t="shared" si="37"/>
        <v>0</v>
      </c>
      <c r="N141" s="154">
        <f t="shared" si="37"/>
        <v>0</v>
      </c>
    </row>
    <row r="142" spans="6:14" ht="12" x14ac:dyDescent="0.2">
      <c r="F142" s="444"/>
      <c r="G142" s="41" t="str">
        <f>STRAT9_IND4</f>
        <v>Objetivo estratégico 9 Indicador 4</v>
      </c>
      <c r="H142" s="268" t="str">
        <f ca="1">OFFSET(Variables_Lu!$D$10,Basic_Setup!H85,0)</f>
        <v>Nutrition-specific</v>
      </c>
      <c r="I142" s="67">
        <f t="shared" si="37"/>
        <v>0</v>
      </c>
      <c r="J142" s="154">
        <f t="shared" si="37"/>
        <v>0</v>
      </c>
      <c r="K142" s="154">
        <f t="shared" si="37"/>
        <v>0</v>
      </c>
      <c r="L142" s="154">
        <f t="shared" si="37"/>
        <v>0</v>
      </c>
      <c r="M142" s="154">
        <f t="shared" si="37"/>
        <v>0</v>
      </c>
      <c r="N142" s="154">
        <f t="shared" si="37"/>
        <v>0</v>
      </c>
    </row>
    <row r="143" spans="6:14" ht="12.6" thickBot="1" x14ac:dyDescent="0.25">
      <c r="F143" s="445"/>
      <c r="G143" s="275" t="str">
        <f>STRAT9_IND5</f>
        <v>Objetivo estratégico 9 Indicador 5</v>
      </c>
      <c r="H143" s="270" t="str">
        <f ca="1">OFFSET(Variables_Lu!$D$10,Basic_Setup!H86,0)</f>
        <v>Nutrition-specific</v>
      </c>
      <c r="I143" s="67">
        <f t="shared" si="37"/>
        <v>0</v>
      </c>
      <c r="J143" s="154">
        <f t="shared" si="37"/>
        <v>0</v>
      </c>
      <c r="K143" s="154">
        <f t="shared" si="37"/>
        <v>0</v>
      </c>
      <c r="L143" s="154">
        <f t="shared" si="37"/>
        <v>0</v>
      </c>
      <c r="M143" s="154">
        <f t="shared" si="37"/>
        <v>0</v>
      </c>
      <c r="N143" s="154">
        <f t="shared" si="37"/>
        <v>0</v>
      </c>
    </row>
    <row r="144" spans="6:14" ht="12.6" thickBot="1" x14ac:dyDescent="0.25">
      <c r="H144" s="152" t="s">
        <v>162</v>
      </c>
      <c r="I144" s="122">
        <f t="shared" si="37"/>
        <v>0</v>
      </c>
      <c r="J144" s="63">
        <f t="shared" si="37"/>
        <v>0</v>
      </c>
      <c r="K144" s="63">
        <f t="shared" si="37"/>
        <v>0</v>
      </c>
      <c r="L144" s="63">
        <f t="shared" si="37"/>
        <v>0</v>
      </c>
      <c r="M144" s="63">
        <f t="shared" si="37"/>
        <v>0</v>
      </c>
      <c r="N144" s="63">
        <f t="shared" si="37"/>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67">
        <f t="shared" si="37"/>
        <v>0</v>
      </c>
      <c r="J145" s="154">
        <f t="shared" si="37"/>
        <v>0</v>
      </c>
      <c r="K145" s="154">
        <f t="shared" si="37"/>
        <v>0</v>
      </c>
      <c r="L145" s="154">
        <f t="shared" si="37"/>
        <v>0</v>
      </c>
      <c r="M145" s="154">
        <f t="shared" si="37"/>
        <v>0</v>
      </c>
      <c r="N145" s="154">
        <f t="shared" si="37"/>
        <v>0</v>
      </c>
    </row>
    <row r="146" spans="1:14" ht="12" x14ac:dyDescent="0.2">
      <c r="F146" s="444"/>
      <c r="G146" s="42" t="str">
        <f>STRAT10_IND2</f>
        <v>Objetivo estratégico 10 Indicador 2</v>
      </c>
      <c r="H146" s="268" t="str">
        <f ca="1">OFFSET(Variables_Lu!$D$10,Basic_Setup!H89,0)</f>
        <v>Nutrition-specific</v>
      </c>
      <c r="I146" s="67">
        <f t="shared" si="37"/>
        <v>0</v>
      </c>
      <c r="J146" s="154">
        <f t="shared" si="37"/>
        <v>0</v>
      </c>
      <c r="K146" s="154">
        <f t="shared" si="37"/>
        <v>0</v>
      </c>
      <c r="L146" s="154">
        <f t="shared" si="37"/>
        <v>0</v>
      </c>
      <c r="M146" s="154">
        <f t="shared" si="37"/>
        <v>0</v>
      </c>
      <c r="N146" s="154">
        <f t="shared" si="37"/>
        <v>0</v>
      </c>
    </row>
    <row r="147" spans="1:14" ht="12" x14ac:dyDescent="0.2">
      <c r="F147" s="444"/>
      <c r="G147" s="42" t="str">
        <f>STRAT10_IND3</f>
        <v>Objetivo estratégico 10 Indicador 3</v>
      </c>
      <c r="H147" s="268" t="str">
        <f ca="1">OFFSET(Variables_Lu!$D$10,Basic_Setup!H90,0)</f>
        <v>Nutrition-specific</v>
      </c>
      <c r="I147" s="67">
        <f t="shared" si="37"/>
        <v>0</v>
      </c>
      <c r="J147" s="154">
        <f t="shared" si="37"/>
        <v>0</v>
      </c>
      <c r="K147" s="154">
        <f t="shared" si="37"/>
        <v>0</v>
      </c>
      <c r="L147" s="154">
        <f t="shared" si="37"/>
        <v>0</v>
      </c>
      <c r="M147" s="154">
        <f t="shared" si="37"/>
        <v>0</v>
      </c>
      <c r="N147" s="154">
        <f t="shared" si="37"/>
        <v>0</v>
      </c>
    </row>
    <row r="148" spans="1:14" ht="12" x14ac:dyDescent="0.2">
      <c r="F148" s="444"/>
      <c r="G148" s="41" t="str">
        <f>STRAT10_IND4</f>
        <v>Objetivo estratégico 10 Indicador 4</v>
      </c>
      <c r="H148" s="268" t="str">
        <f ca="1">OFFSET(Variables_Lu!$D$10,Basic_Setup!H91,0)</f>
        <v>Nutrition-specific</v>
      </c>
      <c r="I148" s="67">
        <f t="shared" si="37"/>
        <v>0</v>
      </c>
      <c r="J148" s="154">
        <f t="shared" si="37"/>
        <v>0</v>
      </c>
      <c r="K148" s="154">
        <f t="shared" si="37"/>
        <v>0</v>
      </c>
      <c r="L148" s="154">
        <f t="shared" si="37"/>
        <v>0</v>
      </c>
      <c r="M148" s="154">
        <f t="shared" si="37"/>
        <v>0</v>
      </c>
      <c r="N148" s="154">
        <f t="shared" si="37"/>
        <v>0</v>
      </c>
    </row>
    <row r="149" spans="1:14" ht="12.6" thickBot="1" x14ac:dyDescent="0.25">
      <c r="F149" s="445"/>
      <c r="G149" s="275" t="str">
        <f>STRAT10_IND5</f>
        <v>Objetivo estratégico 10 Indicador 5</v>
      </c>
      <c r="H149" s="270" t="str">
        <f ca="1">OFFSET(Variables_Lu!$D$10,Basic_Setup!H92,0)</f>
        <v>Nutrition-specific</v>
      </c>
      <c r="I149" s="67">
        <f t="shared" si="37"/>
        <v>0</v>
      </c>
      <c r="J149" s="154">
        <f t="shared" si="37"/>
        <v>0</v>
      </c>
      <c r="K149" s="154">
        <f t="shared" si="37"/>
        <v>0</v>
      </c>
      <c r="L149" s="154">
        <f t="shared" si="37"/>
        <v>0</v>
      </c>
      <c r="M149" s="154">
        <f t="shared" si="37"/>
        <v>0</v>
      </c>
      <c r="N149" s="154">
        <f t="shared" si="37"/>
        <v>0</v>
      </c>
    </row>
    <row r="150" spans="1:14" ht="12" x14ac:dyDescent="0.2">
      <c r="H150" s="152" t="s">
        <v>163</v>
      </c>
      <c r="I150" s="122">
        <f t="shared" si="37"/>
        <v>0</v>
      </c>
      <c r="J150" s="63">
        <f t="shared" si="37"/>
        <v>0</v>
      </c>
      <c r="K150" s="63">
        <f t="shared" si="37"/>
        <v>0</v>
      </c>
      <c r="L150" s="63">
        <f t="shared" si="37"/>
        <v>0</v>
      </c>
      <c r="M150" s="63">
        <f t="shared" si="37"/>
        <v>0</v>
      </c>
      <c r="N150" s="63">
        <f t="shared" si="37"/>
        <v>0</v>
      </c>
    </row>
    <row r="151" spans="1:14" x14ac:dyDescent="0.2">
      <c r="I151" s="231"/>
      <c r="J151" s="231"/>
      <c r="K151" s="231"/>
      <c r="L151" s="231"/>
      <c r="M151" s="231"/>
      <c r="N151" s="231"/>
    </row>
    <row r="152" spans="1:14" ht="12.6" thickBot="1" x14ac:dyDescent="0.25">
      <c r="H152" s="149" t="str">
        <f>"TOTAL - "&amp;$F$12</f>
        <v xml:space="preserve">TOTAL - Ministerio de Derechos Humanos, Asuntos Sociales y Género </v>
      </c>
      <c r="I152" s="65">
        <f t="shared" ref="I152:N152" si="38">I81/EXCHANGE_RATE</f>
        <v>7206357.8664999995</v>
      </c>
      <c r="J152" s="65">
        <f t="shared" si="38"/>
        <v>1441271.5733</v>
      </c>
      <c r="K152" s="65">
        <f t="shared" si="38"/>
        <v>1441271.5733</v>
      </c>
      <c r="L152" s="65">
        <f t="shared" si="38"/>
        <v>1441271.5733</v>
      </c>
      <c r="M152" s="65">
        <f t="shared" si="38"/>
        <v>1441271.5733</v>
      </c>
      <c r="N152" s="65">
        <f t="shared" si="38"/>
        <v>1441271.5733</v>
      </c>
    </row>
    <row r="153" spans="1:14" ht="12" x14ac:dyDescent="0.2">
      <c r="I153" s="149"/>
    </row>
    <row r="155" spans="1:14" x14ac:dyDescent="0.2">
      <c r="A155" s="39" t="s">
        <v>76</v>
      </c>
      <c r="B155" s="40" t="str">
        <f>"Summary of "&amp;Government7&amp;" - by Result/Indicator Type"</f>
        <v>Summary of Ministerio de Derechos Humanos, Asuntos Sociales y Género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f ca="1">I159/$I$162</f>
        <v>0.58216666666666661</v>
      </c>
      <c r="I159" s="68">
        <f ca="1">SUM(J159:N159)</f>
        <v>7551542408.3053503</v>
      </c>
      <c r="J159" s="325">
        <f t="shared" ref="J159:N161" ca="1" si="39">J166*EXCHANGE_RATE</f>
        <v>1510308481.6610701</v>
      </c>
      <c r="K159" s="325">
        <f t="shared" ca="1" si="39"/>
        <v>1510308481.6610701</v>
      </c>
      <c r="L159" s="325">
        <f t="shared" ca="1" si="39"/>
        <v>1510308481.6610701</v>
      </c>
      <c r="M159" s="325">
        <f t="shared" ca="1" si="39"/>
        <v>1510308481.6610701</v>
      </c>
      <c r="N159" s="325">
        <f t="shared" ca="1" si="39"/>
        <v>1510308481.6610701</v>
      </c>
    </row>
    <row r="160" spans="1:14" ht="12" x14ac:dyDescent="0.2">
      <c r="F160" s="38" t="str">
        <f>Lu_Nutrition_Sensitive</f>
        <v>Nutrition-sensitive</v>
      </c>
      <c r="G160" s="38"/>
      <c r="H160" s="289">
        <f t="shared" ref="H160:H161" ca="1" si="40">I160/$I$162</f>
        <v>0.41623333333333329</v>
      </c>
      <c r="I160" s="69">
        <f ca="1">SUM(J160:N160)</f>
        <v>5399147440.73913</v>
      </c>
      <c r="J160" s="325">
        <f t="shared" ca="1" si="39"/>
        <v>1079829488.147826</v>
      </c>
      <c r="K160" s="325">
        <f t="shared" ca="1" si="39"/>
        <v>1079829488.147826</v>
      </c>
      <c r="L160" s="325">
        <f t="shared" ca="1" si="39"/>
        <v>1079829488.147826</v>
      </c>
      <c r="M160" s="325">
        <f t="shared" ca="1" si="39"/>
        <v>1079829488.147826</v>
      </c>
      <c r="N160" s="325">
        <f t="shared" ca="1" si="39"/>
        <v>1079829488.147826</v>
      </c>
    </row>
    <row r="161" spans="6:14" ht="12" x14ac:dyDescent="0.2">
      <c r="F161" s="38" t="str">
        <f>Lu_Governance</f>
        <v>Governance</v>
      </c>
      <c r="G161" s="38"/>
      <c r="H161" s="289">
        <f t="shared" ca="1" si="40"/>
        <v>1.6000000000000001E-3</v>
      </c>
      <c r="I161" s="69">
        <f ca="1">SUM(J161:N161)</f>
        <v>20754310.655520003</v>
      </c>
      <c r="J161" s="325">
        <f t="shared" ca="1" si="39"/>
        <v>4150862.1311040004</v>
      </c>
      <c r="K161" s="325">
        <f t="shared" ca="1" si="39"/>
        <v>4150862.1311040004</v>
      </c>
      <c r="L161" s="325">
        <f t="shared" ca="1" si="39"/>
        <v>4150862.1311040004</v>
      </c>
      <c r="M161" s="325">
        <f t="shared" ca="1" si="39"/>
        <v>4150862.1311040004</v>
      </c>
      <c r="N161" s="325">
        <f t="shared" ca="1" si="39"/>
        <v>4150862.1311040004</v>
      </c>
    </row>
    <row r="162" spans="6:14" ht="12" x14ac:dyDescent="0.2">
      <c r="F162" s="324" t="str">
        <f>"TOTAL - "&amp;Summary_Govt_Contributions!$F$12&amp;" ("&amp;CURR_LCU_ABBR&amp;")"</f>
        <v>TOTAL - TODAS las contribuciones de las agencias gubernamentales (GOZ)</v>
      </c>
      <c r="G162" s="74"/>
      <c r="H162" s="291">
        <f ca="1">SUM(H159:H161)</f>
        <v>1</v>
      </c>
      <c r="I162" s="57">
        <f ca="1">SUM(J162:N162)</f>
        <v>12971444159.700001</v>
      </c>
      <c r="J162" s="55">
        <f ca="1">SUM(J159:J161)</f>
        <v>2594288831.9400001</v>
      </c>
      <c r="K162" s="55">
        <f t="shared" ref="K162:N162" ca="1" si="41">SUM(K159:K161)</f>
        <v>2594288831.9400001</v>
      </c>
      <c r="L162" s="55">
        <f t="shared" ca="1" si="41"/>
        <v>2594288831.9400001</v>
      </c>
      <c r="M162" s="55">
        <f t="shared" ca="1" si="41"/>
        <v>2594288831.9400001</v>
      </c>
      <c r="N162" s="55">
        <f t="shared" ca="1" si="41"/>
        <v>2594288831.9400001</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f ca="1">I166/$I$169</f>
        <v>0.58216666666666672</v>
      </c>
      <c r="I166" s="404">
        <f ca="1">SUM(J166:N166)</f>
        <v>4195301.3379474171</v>
      </c>
      <c r="J166" s="405">
        <f ca="1">SUMIF($H$91:$H$149,Lu_Nutrition_Specific,J$91:J$149)</f>
        <v>839060.26758948341</v>
      </c>
      <c r="K166" s="405">
        <f ca="1">SUMIF($H$91:$H$149,Lu_Nutrition_Specific,K$91:K$149)</f>
        <v>839060.26758948341</v>
      </c>
      <c r="L166" s="405">
        <f ca="1">SUMIF($H$91:$H$149,Lu_Nutrition_Specific,L$91:L$149)</f>
        <v>839060.26758948341</v>
      </c>
      <c r="M166" s="405">
        <f ca="1">SUMIF($H$91:$H$149,Lu_Nutrition_Specific,M$91:M$149)</f>
        <v>839060.26758948341</v>
      </c>
      <c r="N166" s="405">
        <f ca="1">SUMIF($H$91:$H$149,Lu_Nutrition_Specific,N$91:N$149)</f>
        <v>839060.26758948341</v>
      </c>
    </row>
    <row r="167" spans="6:14" ht="12" x14ac:dyDescent="0.2">
      <c r="F167" t="str">
        <f>Lu_Nutrition_Sensitive</f>
        <v>Nutrition-sensitive</v>
      </c>
      <c r="H167" s="289">
        <f t="shared" ref="H167:H168" ca="1" si="42">I167/$I$169</f>
        <v>0.41623333333333329</v>
      </c>
      <c r="I167" s="404">
        <f t="shared" ref="I167:I168" ca="1" si="43">SUM(J167:N167)</f>
        <v>2999526.3559661834</v>
      </c>
      <c r="J167" s="405">
        <f ca="1">SUMIF($H$91:$H$149,Lu_Nutrition_Sensitive,J$91:J$149)</f>
        <v>599905.27119323669</v>
      </c>
      <c r="K167" s="405">
        <f ca="1">SUMIF($H$91:$H$149,Lu_Nutrition_Sensitive,K$91:K$149)</f>
        <v>599905.27119323669</v>
      </c>
      <c r="L167" s="405">
        <f ca="1">SUMIF($H$91:$H$149,Lu_Nutrition_Sensitive,L$91:L$149)</f>
        <v>599905.27119323669</v>
      </c>
      <c r="M167" s="405">
        <f ca="1">SUMIF($H$91:$H$149,Lu_Nutrition_Sensitive,M$91:M$149)</f>
        <v>599905.27119323669</v>
      </c>
      <c r="N167" s="405">
        <f ca="1">SUMIF($H$91:$H$149,Lu_Nutrition_Sensitive,N$91:N$149)</f>
        <v>599905.27119323669</v>
      </c>
    </row>
    <row r="168" spans="6:14" ht="12" x14ac:dyDescent="0.2">
      <c r="F168" t="str">
        <f>Lu_Governance</f>
        <v>Governance</v>
      </c>
      <c r="H168" s="289">
        <f t="shared" ca="1" si="42"/>
        <v>1.6000000000000001E-3</v>
      </c>
      <c r="I168" s="404">
        <f t="shared" ca="1" si="43"/>
        <v>11530.172586400002</v>
      </c>
      <c r="J168" s="405">
        <f ca="1">SUMIF($H$91:$H$149,Lu_Governance,J$91:J$149)</f>
        <v>2306.0345172800003</v>
      </c>
      <c r="K168" s="405">
        <f ca="1">SUMIF($H$91:$H$149,Lu_Governance,K$91:K$149)</f>
        <v>2306.0345172800003</v>
      </c>
      <c r="L168" s="405">
        <f ca="1">SUMIF($H$91:$H$149,Lu_Governance,L$91:L$149)</f>
        <v>2306.0345172800003</v>
      </c>
      <c r="M168" s="405">
        <f ca="1">SUMIF($H$91:$H$149,Lu_Governance,M$91:M$149)</f>
        <v>2306.0345172800003</v>
      </c>
      <c r="N168" s="405">
        <f ca="1">SUMIF($H$91:$H$149,Lu_Governance,N$91:N$149)</f>
        <v>2306.0345172800003</v>
      </c>
    </row>
    <row r="169" spans="6:14" ht="12" x14ac:dyDescent="0.2">
      <c r="F169" s="324" t="str">
        <f>"TOTAL - "&amp;Summary_Govt_Contributions!$F$12&amp;" ("&amp;CURR_INT_ABBR&amp;")"</f>
        <v>TOTAL - TODAS las contribuciones de las agencias gubernamentales (USD)</v>
      </c>
      <c r="G169" s="74"/>
      <c r="H169" s="291">
        <f ca="1">SUM(H166:H168)</f>
        <v>1</v>
      </c>
      <c r="I169" s="295">
        <f ca="1">SUM(J169:N169)</f>
        <v>7206357.8665000005</v>
      </c>
      <c r="J169" s="55">
        <f ca="1">SUM(J166:J168)</f>
        <v>1441271.5733</v>
      </c>
      <c r="K169" s="55">
        <f t="shared" ref="K169:N169" ca="1" si="44">SUM(K166:K168)</f>
        <v>1441271.5733</v>
      </c>
      <c r="L169" s="55">
        <f t="shared" ca="1" si="44"/>
        <v>1441271.5733</v>
      </c>
      <c r="M169" s="55">
        <f t="shared" ca="1" si="44"/>
        <v>1441271.5733</v>
      </c>
      <c r="N169" s="55">
        <f t="shared" ca="1" si="44"/>
        <v>1441271.5733</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4 J74:N78 J26:N30 J32:N36 J38:N42 J50:N54 J56:N60 J62:N66 J68:N72 J145:N149 J139:N143 J127:N131 J133:N137 J115:N119 J109:N113 J103:N107 J121:N125 J91:N95 J97:N101 J44:N48" xr:uid="{00000000-0002-0000-1100-000000000000}">
      <formula1>NOT(ISERROR(J20/1))</formula1>
    </dataValidation>
  </dataValidations>
  <hyperlinks>
    <hyperlink ref="A4" r:id="rId1" tooltip="Go to Top of Sheet" xr:uid="{00000000-0004-0000-1100-000000000000}"/>
    <hyperlink ref="B4" location="HL_Sheet_Main_25" tooltip="Go to Previous Sheet" display="ç" xr:uid="{00000000-0004-0000-1100-000001000000}"/>
    <hyperlink ref="C4" location="HL_Sheet_Main_27" tooltip="Go to Next Sheet" display="è" xr:uid="{00000000-0004-0000-1100-000002000000}"/>
    <hyperlink ref="B3" location="HL_Home" tooltip="Go to Table of Contents" display="Go to Table of Contents" xr:uid="{00000000-0004-0000-1100-000003000000}"/>
    <hyperlink ref="A14" location="Summary_Govt_Contributions!B14" tooltip="Click to follow hyperlink." display="ð" xr:uid="{00000000-0004-0000-1100-000004000000}"/>
    <hyperlink ref="A155" location="Summary_Govt_Contributions!B14" tooltip="Click to follow hyperlink." display="ð" xr:uid="{00000000-0004-0000-1100-000005000000}"/>
  </hyperlinks>
  <pageMargins left="0.4" right="0.4" top="0.6" bottom="1" header="0" footer="0.3"/>
  <pageSetup orientation="landscape" r:id="rId2"/>
  <headerFooter>
    <oddFooter>&amp;L&amp;F
&amp;A
Printed: &amp;T on &amp;D&amp;C&amp;",Bold"Sheet 2.i.
Page &amp;P of &amp;N</oddFooter>
  </headerFooter>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N169"/>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2.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Government8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F12" s="276" t="str">
        <f>Government8</f>
        <v>Ministerio de Desarrollo Municipal</v>
      </c>
      <c r="G12" s="60"/>
    </row>
    <row r="13" spans="1:14" s="38" customFormat="1" x14ac:dyDescent="0.2">
      <c r="G13"/>
    </row>
    <row r="14" spans="1:14" s="38" customFormat="1" x14ac:dyDescent="0.2">
      <c r="A14" s="39" t="s">
        <v>76</v>
      </c>
      <c r="B14" s="40" t="str">
        <f>"Planned Annual Contributions by "&amp;Government8&amp;" - by Strategic Objective and Result/Indicator"</f>
        <v>Planned Annual Contributions by Ministerio de Desarrollo Municipal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253" t="s">
        <v>106</v>
      </c>
      <c r="J19" s="54" t="str">
        <f>CURR_LCU_ABBR</f>
        <v>GOZ</v>
      </c>
      <c r="K19" s="54" t="str">
        <f>CURR_LCU_ABBR</f>
        <v>GOZ</v>
      </c>
      <c r="L19" s="54" t="str">
        <f>CURR_LCU_ABBR</f>
        <v>GOZ</v>
      </c>
      <c r="M19" s="54" t="str">
        <f>CURR_LCU_ABBR</f>
        <v>GOZ</v>
      </c>
      <c r="N19" s="54" t="str">
        <f>CURR_LCU_ABBR</f>
        <v>GOZ</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262">
        <f>SUM(J20:N20)</f>
        <v>255079.65113999997</v>
      </c>
      <c r="J20" s="37">
        <f>127539825.57*0.16%/4</f>
        <v>51015.930227999997</v>
      </c>
      <c r="K20" s="383">
        <f t="shared" ref="K20:N20" si="2">127539825.57*0.16%/4</f>
        <v>51015.930227999997</v>
      </c>
      <c r="L20" s="383">
        <f t="shared" si="2"/>
        <v>51015.930227999997</v>
      </c>
      <c r="M20" s="383">
        <f t="shared" si="2"/>
        <v>51015.930227999997</v>
      </c>
      <c r="N20" s="383">
        <f t="shared" si="2"/>
        <v>51015.930227999997</v>
      </c>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262">
        <f t="shared" ref="I21:I24" si="3">SUM(J21:N21)</f>
        <v>255079.65113999997</v>
      </c>
      <c r="J21" s="383">
        <f t="shared" ref="J21:N23" si="4">127539825.57*0.16%/4</f>
        <v>51015.930227999997</v>
      </c>
      <c r="K21" s="383">
        <f t="shared" si="4"/>
        <v>51015.930227999997</v>
      </c>
      <c r="L21" s="383">
        <f t="shared" si="4"/>
        <v>51015.930227999997</v>
      </c>
      <c r="M21" s="383">
        <f t="shared" si="4"/>
        <v>51015.930227999997</v>
      </c>
      <c r="N21" s="383">
        <f t="shared" si="4"/>
        <v>51015.930227999997</v>
      </c>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262">
        <f t="shared" si="3"/>
        <v>255079.65113999997</v>
      </c>
      <c r="J22" s="383">
        <f t="shared" si="4"/>
        <v>51015.930227999997</v>
      </c>
      <c r="K22" s="383">
        <f t="shared" si="4"/>
        <v>51015.930227999997</v>
      </c>
      <c r="L22" s="383">
        <f t="shared" si="4"/>
        <v>51015.930227999997</v>
      </c>
      <c r="M22" s="383">
        <f t="shared" si="4"/>
        <v>51015.930227999997</v>
      </c>
      <c r="N22" s="383">
        <f t="shared" si="4"/>
        <v>51015.930227999997</v>
      </c>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262">
        <f t="shared" si="3"/>
        <v>255079.65113999997</v>
      </c>
      <c r="J23" s="383">
        <f t="shared" si="4"/>
        <v>51015.930227999997</v>
      </c>
      <c r="K23" s="383">
        <f t="shared" si="4"/>
        <v>51015.930227999997</v>
      </c>
      <c r="L23" s="383">
        <f t="shared" si="4"/>
        <v>51015.930227999997</v>
      </c>
      <c r="M23" s="383">
        <f t="shared" si="4"/>
        <v>51015.930227999997</v>
      </c>
      <c r="N23" s="383">
        <f t="shared" si="4"/>
        <v>51015.930227999997</v>
      </c>
    </row>
    <row r="24" spans="6:14" s="38" customFormat="1" ht="12" x14ac:dyDescent="0.2">
      <c r="F24" s="448"/>
      <c r="G24" s="41" t="str">
        <f>STRAT1_IND5</f>
        <v>Objetivo estratégico 1 Indicador 5</v>
      </c>
      <c r="H24" s="260" t="str">
        <f ca="1">OFFSET(Variables_Lu!$D$10,Basic_Setup!H38,0)</f>
        <v>Governance</v>
      </c>
      <c r="I24" s="262">
        <f t="shared" si="3"/>
        <v>0</v>
      </c>
      <c r="J24" s="383">
        <v>0</v>
      </c>
      <c r="K24" s="383">
        <v>0</v>
      </c>
      <c r="L24" s="383">
        <v>0</v>
      </c>
      <c r="M24" s="383">
        <v>0</v>
      </c>
      <c r="N24" s="383">
        <v>0</v>
      </c>
    </row>
    <row r="25" spans="6:14" s="38" customFormat="1" ht="12" x14ac:dyDescent="0.2">
      <c r="H25" s="152" t="s">
        <v>107</v>
      </c>
      <c r="I25" s="265">
        <f>SUM(I20:I24)</f>
        <v>1020318.6045599999</v>
      </c>
      <c r="J25" s="265">
        <f t="shared" ref="J25:N25" si="5">SUM(J20:J24)</f>
        <v>204063.72091199999</v>
      </c>
      <c r="K25" s="265">
        <f t="shared" si="5"/>
        <v>204063.72091199999</v>
      </c>
      <c r="L25" s="265">
        <f t="shared" si="5"/>
        <v>204063.72091199999</v>
      </c>
      <c r="M25" s="265">
        <f t="shared" si="5"/>
        <v>204063.72091199999</v>
      </c>
      <c r="N25" s="265">
        <f t="shared" si="5"/>
        <v>204063.72091199999</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262">
        <f>SUM(J26:N26)</f>
        <v>13497964.872824999</v>
      </c>
      <c r="J26" s="383">
        <f>127539825.57*6.35%/3</f>
        <v>2699592.9745649998</v>
      </c>
      <c r="K26" s="383">
        <f t="shared" ref="K26:N26" si="6">127539825.57*6.35%/3</f>
        <v>2699592.9745649998</v>
      </c>
      <c r="L26" s="383">
        <f t="shared" si="6"/>
        <v>2699592.9745649998</v>
      </c>
      <c r="M26" s="383">
        <f t="shared" si="6"/>
        <v>2699592.9745649998</v>
      </c>
      <c r="N26" s="383">
        <f t="shared" si="6"/>
        <v>2699592.9745649998</v>
      </c>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262">
        <f t="shared" ref="I27:I30" si="7">SUM(J27:N27)</f>
        <v>13497964.872824999</v>
      </c>
      <c r="J27" s="383">
        <f t="shared" ref="J27:N28" si="8">127539825.57*6.35%/3</f>
        <v>2699592.9745649998</v>
      </c>
      <c r="K27" s="383">
        <f t="shared" si="8"/>
        <v>2699592.9745649998</v>
      </c>
      <c r="L27" s="383">
        <f t="shared" si="8"/>
        <v>2699592.9745649998</v>
      </c>
      <c r="M27" s="383">
        <f t="shared" si="8"/>
        <v>2699592.9745649998</v>
      </c>
      <c r="N27" s="383">
        <f t="shared" si="8"/>
        <v>2699592.9745649998</v>
      </c>
    </row>
    <row r="28" spans="6:14" s="38" customFormat="1" ht="22.8" x14ac:dyDescent="0.2">
      <c r="F28" s="447"/>
      <c r="G28" s="42" t="str">
        <f>STRAT2_IND3</f>
        <v>Se refuerzan las intervenciones comunitarias en materia de nutrición.</v>
      </c>
      <c r="H28" s="260" t="str">
        <f ca="1">OFFSET(Variables_Lu!$D$10,Basic_Setup!H42,0)</f>
        <v>Nutrition-specific</v>
      </c>
      <c r="I28" s="262">
        <f t="shared" si="7"/>
        <v>13497964.872824999</v>
      </c>
      <c r="J28" s="383">
        <f t="shared" si="8"/>
        <v>2699592.9745649998</v>
      </c>
      <c r="K28" s="383">
        <f t="shared" si="8"/>
        <v>2699592.9745649998</v>
      </c>
      <c r="L28" s="383">
        <f t="shared" si="8"/>
        <v>2699592.9745649998</v>
      </c>
      <c r="M28" s="383">
        <f t="shared" si="8"/>
        <v>2699592.9745649998</v>
      </c>
      <c r="N28" s="383">
        <f t="shared" si="8"/>
        <v>2699592.9745649998</v>
      </c>
    </row>
    <row r="29" spans="6:14" s="38" customFormat="1" ht="12" x14ac:dyDescent="0.2">
      <c r="F29" s="447"/>
      <c r="G29" s="41" t="str">
        <f>STRAT2_IND4</f>
        <v>Objetivo estratégico 2 Indicador 4</v>
      </c>
      <c r="H29" s="260" t="str">
        <f ca="1">OFFSET(Variables_Lu!$D$10,Basic_Setup!H43,0)</f>
        <v>Nutrition-specific</v>
      </c>
      <c r="I29" s="262">
        <f t="shared" si="7"/>
        <v>0</v>
      </c>
      <c r="J29" s="383">
        <v>0</v>
      </c>
      <c r="K29" s="383">
        <v>0</v>
      </c>
      <c r="L29" s="383">
        <v>0</v>
      </c>
      <c r="M29" s="383">
        <v>0</v>
      </c>
      <c r="N29" s="383">
        <v>0</v>
      </c>
    </row>
    <row r="30" spans="6:14" s="38" customFormat="1" ht="12" x14ac:dyDescent="0.2">
      <c r="F30" s="448"/>
      <c r="G30" s="41" t="str">
        <f>STRAT2_IND5</f>
        <v>Objetivo estratégico 2 Indicador 5</v>
      </c>
      <c r="H30" s="260" t="str">
        <f ca="1">OFFSET(Variables_Lu!$D$10,Basic_Setup!H44,0)</f>
        <v>Nutrition-specific</v>
      </c>
      <c r="I30" s="262">
        <f t="shared" si="7"/>
        <v>0</v>
      </c>
      <c r="J30" s="383">
        <v>0</v>
      </c>
      <c r="K30" s="383">
        <v>0</v>
      </c>
      <c r="L30" s="383">
        <v>0</v>
      </c>
      <c r="M30" s="383">
        <v>0</v>
      </c>
      <c r="N30" s="383">
        <v>0</v>
      </c>
    </row>
    <row r="31" spans="6:14" s="38" customFormat="1" ht="12" x14ac:dyDescent="0.2">
      <c r="H31" s="152" t="s">
        <v>108</v>
      </c>
      <c r="I31" s="265">
        <f>SUM(I26:I30)</f>
        <v>40493894.618474998</v>
      </c>
      <c r="J31" s="265">
        <f t="shared" ref="J31:N31" si="9">SUM(J26:J30)</f>
        <v>8098778.9236949999</v>
      </c>
      <c r="K31" s="265">
        <f t="shared" si="9"/>
        <v>8098778.9236949999</v>
      </c>
      <c r="L31" s="265">
        <f t="shared" si="9"/>
        <v>8098778.9236949999</v>
      </c>
      <c r="M31" s="265">
        <f t="shared" si="9"/>
        <v>8098778.9236949999</v>
      </c>
      <c r="N31" s="265">
        <f t="shared" si="9"/>
        <v>8098778.9236949999</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262">
        <f>SUM(J32:N32)</f>
        <v>159616091.70085502</v>
      </c>
      <c r="J32" s="383">
        <f>127539825.57*50.06%/2</f>
        <v>31923218.340171002</v>
      </c>
      <c r="K32" s="383">
        <f t="shared" ref="K32:N33" si="10">127539825.57*50.06%/2</f>
        <v>31923218.340171002</v>
      </c>
      <c r="L32" s="383">
        <f t="shared" si="10"/>
        <v>31923218.340171002</v>
      </c>
      <c r="M32" s="383">
        <f t="shared" si="10"/>
        <v>31923218.340171002</v>
      </c>
      <c r="N32" s="383">
        <f t="shared" si="10"/>
        <v>31923218.340171002</v>
      </c>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262">
        <f t="shared" ref="I33:I36" si="11">SUM(J33:N33)</f>
        <v>159616091.70085502</v>
      </c>
      <c r="J33" s="383">
        <f>127539825.57*50.06%/2</f>
        <v>31923218.340171002</v>
      </c>
      <c r="K33" s="383">
        <f t="shared" si="10"/>
        <v>31923218.340171002</v>
      </c>
      <c r="L33" s="383">
        <f t="shared" si="10"/>
        <v>31923218.340171002</v>
      </c>
      <c r="M33" s="383">
        <f t="shared" si="10"/>
        <v>31923218.340171002</v>
      </c>
      <c r="N33" s="383">
        <f t="shared" si="10"/>
        <v>31923218.340171002</v>
      </c>
    </row>
    <row r="34" spans="6:14" s="38" customFormat="1" ht="12" x14ac:dyDescent="0.2">
      <c r="F34" s="447"/>
      <c r="G34" s="42" t="str">
        <f>STRAT3_IND3</f>
        <v>Objetivo estratégico 3 Indicador 3</v>
      </c>
      <c r="H34" s="260" t="str">
        <f ca="1">OFFSET(Variables_Lu!$D$10,Basic_Setup!H48,0)</f>
        <v>Nutrition-specific</v>
      </c>
      <c r="I34" s="262">
        <f t="shared" si="11"/>
        <v>0</v>
      </c>
      <c r="J34" s="383">
        <v>0</v>
      </c>
      <c r="K34" s="383">
        <v>0</v>
      </c>
      <c r="L34" s="383">
        <v>0</v>
      </c>
      <c r="M34" s="383">
        <v>0</v>
      </c>
      <c r="N34" s="383">
        <v>0</v>
      </c>
    </row>
    <row r="35" spans="6:14" s="38" customFormat="1" ht="12" x14ac:dyDescent="0.2">
      <c r="F35" s="447"/>
      <c r="G35" s="41" t="str">
        <f>STRAT3_IND4</f>
        <v>Objetivo estratégico 3 Indicador 4</v>
      </c>
      <c r="H35" s="260" t="str">
        <f ca="1">OFFSET(Variables_Lu!$D$10,Basic_Setup!H49,0)</f>
        <v>Nutrition-specific</v>
      </c>
      <c r="I35" s="262">
        <f t="shared" si="11"/>
        <v>0</v>
      </c>
      <c r="J35" s="383">
        <v>0</v>
      </c>
      <c r="K35" s="383">
        <v>0</v>
      </c>
      <c r="L35" s="383">
        <v>0</v>
      </c>
      <c r="M35" s="383">
        <v>0</v>
      </c>
      <c r="N35" s="383">
        <v>0</v>
      </c>
    </row>
    <row r="36" spans="6:14" s="38" customFormat="1" ht="12" x14ac:dyDescent="0.2">
      <c r="F36" s="448"/>
      <c r="G36" s="41" t="str">
        <f>STRAT3_IND5</f>
        <v>Objetivo estratégico 3 Indicador 5</v>
      </c>
      <c r="H36" s="260" t="str">
        <f ca="1">OFFSET(Variables_Lu!$D$10,Basic_Setup!H50,0)</f>
        <v>Nutrition-specific</v>
      </c>
      <c r="I36" s="262">
        <f t="shared" si="11"/>
        <v>0</v>
      </c>
      <c r="J36" s="383">
        <v>0</v>
      </c>
      <c r="K36" s="383">
        <v>0</v>
      </c>
      <c r="L36" s="383">
        <v>0</v>
      </c>
      <c r="M36" s="383">
        <v>0</v>
      </c>
      <c r="N36" s="383">
        <v>0</v>
      </c>
    </row>
    <row r="37" spans="6:14" ht="12" x14ac:dyDescent="0.2">
      <c r="H37" s="152" t="s">
        <v>109</v>
      </c>
      <c r="I37" s="265">
        <f>SUM(I32:I36)</f>
        <v>319232183.40171003</v>
      </c>
      <c r="J37" s="265">
        <f t="shared" ref="J37:N37" si="12">SUM(J32:J36)</f>
        <v>63846436.680342004</v>
      </c>
      <c r="K37" s="265">
        <f t="shared" si="12"/>
        <v>63846436.680342004</v>
      </c>
      <c r="L37" s="265">
        <f t="shared" si="12"/>
        <v>63846436.680342004</v>
      </c>
      <c r="M37" s="265">
        <f t="shared" si="12"/>
        <v>63846436.680342004</v>
      </c>
      <c r="N37" s="265">
        <f t="shared" si="12"/>
        <v>63846436.680342004</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262">
        <f>SUM(J38:N38)</f>
        <v>89851807.114065006</v>
      </c>
      <c r="J38" s="383">
        <f>127539825.57*42.27%/3</f>
        <v>17970361.422813002</v>
      </c>
      <c r="K38" s="383">
        <f t="shared" ref="K38:N38" si="13">127539825.57*42.27%/3</f>
        <v>17970361.422813002</v>
      </c>
      <c r="L38" s="383">
        <f t="shared" si="13"/>
        <v>17970361.422813002</v>
      </c>
      <c r="M38" s="383">
        <f t="shared" si="13"/>
        <v>17970361.422813002</v>
      </c>
      <c r="N38" s="383">
        <f t="shared" si="13"/>
        <v>17970361.422813002</v>
      </c>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262">
        <f t="shared" ref="I39:I42" si="14">SUM(J39:N39)</f>
        <v>89851807.114065006</v>
      </c>
      <c r="J39" s="383">
        <f t="shared" ref="J39:N40" si="15">127539825.57*42.27%/3</f>
        <v>17970361.422813002</v>
      </c>
      <c r="K39" s="383">
        <f t="shared" si="15"/>
        <v>17970361.422813002</v>
      </c>
      <c r="L39" s="383">
        <f t="shared" si="15"/>
        <v>17970361.422813002</v>
      </c>
      <c r="M39" s="383">
        <f t="shared" si="15"/>
        <v>17970361.422813002</v>
      </c>
      <c r="N39" s="383">
        <f t="shared" si="15"/>
        <v>17970361.422813002</v>
      </c>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262">
        <f t="shared" si="14"/>
        <v>89851807.114065006</v>
      </c>
      <c r="J40" s="383">
        <f t="shared" si="15"/>
        <v>17970361.422813002</v>
      </c>
      <c r="K40" s="383">
        <f t="shared" si="15"/>
        <v>17970361.422813002</v>
      </c>
      <c r="L40" s="383">
        <f t="shared" si="15"/>
        <v>17970361.422813002</v>
      </c>
      <c r="M40" s="383">
        <f t="shared" si="15"/>
        <v>17970361.422813002</v>
      </c>
      <c r="N40" s="383">
        <f t="shared" si="15"/>
        <v>17970361.422813002</v>
      </c>
    </row>
    <row r="41" spans="6:14" ht="12" x14ac:dyDescent="0.2">
      <c r="F41" s="447"/>
      <c r="G41" s="41" t="str">
        <f>STRAT4_IND4</f>
        <v>Objetivo estratégico 4 Indicador 4</v>
      </c>
      <c r="H41" s="260" t="str">
        <f ca="1">OFFSET(Variables_Lu!$D$10,Basic_Setup!H55,0)</f>
        <v>Nutrition-specific</v>
      </c>
      <c r="I41" s="262">
        <f t="shared" si="14"/>
        <v>0</v>
      </c>
      <c r="J41" s="383">
        <v>0</v>
      </c>
      <c r="K41" s="383">
        <v>0</v>
      </c>
      <c r="L41" s="383">
        <v>0</v>
      </c>
      <c r="M41" s="383">
        <v>0</v>
      </c>
      <c r="N41" s="383">
        <v>0</v>
      </c>
    </row>
    <row r="42" spans="6:14" ht="12" x14ac:dyDescent="0.2">
      <c r="F42" s="448"/>
      <c r="G42" s="41" t="str">
        <f>STRAT4_IND5</f>
        <v>Objetivo estratégico 4 Indicador 5</v>
      </c>
      <c r="H42" s="260" t="str">
        <f ca="1">OFFSET(Variables_Lu!$D$10,Basic_Setup!H56,0)</f>
        <v>Nutrition-specific</v>
      </c>
      <c r="I42" s="262">
        <f t="shared" si="14"/>
        <v>0</v>
      </c>
      <c r="J42" s="383">
        <v>0</v>
      </c>
      <c r="K42" s="383">
        <v>0</v>
      </c>
      <c r="L42" s="383">
        <v>0</v>
      </c>
      <c r="M42" s="383">
        <v>0</v>
      </c>
      <c r="N42" s="383">
        <v>0</v>
      </c>
    </row>
    <row r="43" spans="6:14" ht="12" x14ac:dyDescent="0.2">
      <c r="H43" s="152" t="s">
        <v>110</v>
      </c>
      <c r="I43" s="265">
        <f>SUM(I38:I42)</f>
        <v>269555421.34219503</v>
      </c>
      <c r="J43" s="265">
        <f t="shared" ref="J43:N43" si="16">SUM(J38:J42)</f>
        <v>53911084.26843901</v>
      </c>
      <c r="K43" s="265">
        <f t="shared" si="16"/>
        <v>53911084.26843901</v>
      </c>
      <c r="L43" s="265">
        <f t="shared" si="16"/>
        <v>53911084.26843901</v>
      </c>
      <c r="M43" s="265">
        <f t="shared" si="16"/>
        <v>53911084.26843901</v>
      </c>
      <c r="N43" s="265">
        <f t="shared" si="16"/>
        <v>53911084.26843901</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262">
        <f>SUM(J44:N44)</f>
        <v>2465769.9610199998</v>
      </c>
      <c r="J44" s="383">
        <f>127539825.57*1.16%/3</f>
        <v>493153.99220399995</v>
      </c>
      <c r="K44" s="383">
        <f t="shared" ref="K44:N44" si="17">127539825.57*1.16%/3</f>
        <v>493153.99220399995</v>
      </c>
      <c r="L44" s="383">
        <f t="shared" si="17"/>
        <v>493153.99220399995</v>
      </c>
      <c r="M44" s="383">
        <f t="shared" si="17"/>
        <v>493153.99220399995</v>
      </c>
      <c r="N44" s="383">
        <f t="shared" si="17"/>
        <v>493153.99220399995</v>
      </c>
    </row>
    <row r="45" spans="6:14" ht="22.8" x14ac:dyDescent="0.2">
      <c r="F45" s="447"/>
      <c r="G45" s="42" t="str">
        <f>STRAT5_IND2</f>
        <v>Se promueven dietas saludables y estilos de vida saludables para las personas.</v>
      </c>
      <c r="H45" s="260" t="str">
        <f ca="1">OFFSET(Variables_Lu!$D$10,Basic_Setup!H59,0)</f>
        <v>Nutrition-specific</v>
      </c>
      <c r="I45" s="262">
        <f t="shared" ref="I45:I48" si="18">SUM(J45:N45)</f>
        <v>2465769.9610199998</v>
      </c>
      <c r="J45" s="383">
        <f t="shared" ref="J45:N46" si="19">127539825.57*1.16%/3</f>
        <v>493153.99220399995</v>
      </c>
      <c r="K45" s="383">
        <f t="shared" si="19"/>
        <v>493153.99220399995</v>
      </c>
      <c r="L45" s="383">
        <f t="shared" si="19"/>
        <v>493153.99220399995</v>
      </c>
      <c r="M45" s="383">
        <f t="shared" si="19"/>
        <v>493153.99220399995</v>
      </c>
      <c r="N45" s="383">
        <f t="shared" si="19"/>
        <v>493153.99220399995</v>
      </c>
    </row>
    <row r="46" spans="6:14" ht="22.8" x14ac:dyDescent="0.2">
      <c r="F46" s="447"/>
      <c r="G46" s="42" t="str">
        <f>STRAT5_IND3</f>
        <v>Se promueven las buenas prácticas WASH a nivel comunitario y doméstico</v>
      </c>
      <c r="H46" s="260" t="str">
        <f ca="1">OFFSET(Variables_Lu!$D$10,Basic_Setup!H60,0)</f>
        <v>Nutrition-sensitive</v>
      </c>
      <c r="I46" s="262">
        <f t="shared" si="18"/>
        <v>2465769.9610199998</v>
      </c>
      <c r="J46" s="383">
        <f t="shared" si="19"/>
        <v>493153.99220399995</v>
      </c>
      <c r="K46" s="383">
        <f t="shared" si="19"/>
        <v>493153.99220399995</v>
      </c>
      <c r="L46" s="383">
        <f t="shared" si="19"/>
        <v>493153.99220399995</v>
      </c>
      <c r="M46" s="383">
        <f t="shared" si="19"/>
        <v>493153.99220399995</v>
      </c>
      <c r="N46" s="383">
        <f t="shared" si="19"/>
        <v>493153.99220399995</v>
      </c>
    </row>
    <row r="47" spans="6:14" ht="12" x14ac:dyDescent="0.2">
      <c r="F47" s="447"/>
      <c r="G47" s="41" t="str">
        <f>STRAT5_IND4</f>
        <v>Objetivo estratégico 5 Indicador 4</v>
      </c>
      <c r="H47" s="260" t="str">
        <f ca="1">OFFSET(Variables_Lu!$D$10,Basic_Setup!H61,0)</f>
        <v>Nutrition-specific</v>
      </c>
      <c r="I47" s="262">
        <f t="shared" si="18"/>
        <v>0</v>
      </c>
      <c r="J47" s="383">
        <v>0</v>
      </c>
      <c r="K47" s="383">
        <v>0</v>
      </c>
      <c r="L47" s="383">
        <v>0</v>
      </c>
      <c r="M47" s="383">
        <v>0</v>
      </c>
      <c r="N47" s="383">
        <v>0</v>
      </c>
    </row>
    <row r="48" spans="6:14" ht="12" x14ac:dyDescent="0.2">
      <c r="F48" s="448"/>
      <c r="G48" s="41" t="str">
        <f>STRAT5_IND5</f>
        <v>Objetivo estratégico 5 Indicador 5</v>
      </c>
      <c r="H48" s="260" t="str">
        <f ca="1">OFFSET(Variables_Lu!$D$10,Basic_Setup!H62,0)</f>
        <v>Nutrition-specific</v>
      </c>
      <c r="I48" s="262">
        <f t="shared" si="18"/>
        <v>0</v>
      </c>
      <c r="J48" s="383">
        <v>0</v>
      </c>
      <c r="K48" s="383">
        <v>0</v>
      </c>
      <c r="L48" s="383">
        <v>0</v>
      </c>
      <c r="M48" s="383">
        <v>0</v>
      </c>
      <c r="N48" s="383">
        <v>0</v>
      </c>
    </row>
    <row r="49" spans="6:14" ht="12" x14ac:dyDescent="0.2">
      <c r="H49" s="152" t="s">
        <v>111</v>
      </c>
      <c r="I49" s="265">
        <f>SUM(I44:I48)</f>
        <v>7397309.883059999</v>
      </c>
      <c r="J49" s="265">
        <f t="shared" ref="J49:N49" si="20">SUM(J44:J48)</f>
        <v>1479461.9766119998</v>
      </c>
      <c r="K49" s="265">
        <f t="shared" si="20"/>
        <v>1479461.9766119998</v>
      </c>
      <c r="L49" s="265">
        <f t="shared" si="20"/>
        <v>1479461.9766119998</v>
      </c>
      <c r="M49" s="265">
        <f t="shared" si="20"/>
        <v>1479461.9766119998</v>
      </c>
      <c r="N49" s="265">
        <f t="shared" si="20"/>
        <v>1479461.9766119998</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262">
        <f>SUM(J50:N50)</f>
        <v>0</v>
      </c>
      <c r="J50" s="37">
        <v>0</v>
      </c>
      <c r="K50" s="37">
        <v>0</v>
      </c>
      <c r="L50" s="37">
        <v>0</v>
      </c>
      <c r="M50" s="37">
        <v>0</v>
      </c>
      <c r="N50" s="37">
        <v>0</v>
      </c>
    </row>
    <row r="51" spans="6:14" ht="12" x14ac:dyDescent="0.2">
      <c r="F51" s="447"/>
      <c r="G51" s="42" t="str">
        <f>STRAT6_IND2</f>
        <v>Objetivo estratégico 6 Indicador 2</v>
      </c>
      <c r="H51" s="260" t="str">
        <f ca="1">OFFSET(Variables_Lu!$D$10,Basic_Setup!H65,0)</f>
        <v>Nutrition-specific</v>
      </c>
      <c r="I51" s="262">
        <f t="shared" ref="I51:I54" si="21">SUM(J51:N51)</f>
        <v>0</v>
      </c>
      <c r="J51" s="37">
        <v>0</v>
      </c>
      <c r="K51" s="37">
        <v>0</v>
      </c>
      <c r="L51" s="37">
        <v>0</v>
      </c>
      <c r="M51" s="37">
        <v>0</v>
      </c>
      <c r="N51" s="37">
        <v>0</v>
      </c>
    </row>
    <row r="52" spans="6:14" ht="12" x14ac:dyDescent="0.2">
      <c r="F52" s="447"/>
      <c r="G52" s="42" t="str">
        <f>STRAT6_IND3</f>
        <v>Objetivo estratégico 6 Indicador 3</v>
      </c>
      <c r="H52" s="260" t="str">
        <f ca="1">OFFSET(Variables_Lu!$D$10,Basic_Setup!H66,0)</f>
        <v>Nutrition-specific</v>
      </c>
      <c r="I52" s="262">
        <f t="shared" si="21"/>
        <v>0</v>
      </c>
      <c r="J52" s="37">
        <v>0</v>
      </c>
      <c r="K52" s="37">
        <v>0</v>
      </c>
      <c r="L52" s="37">
        <v>0</v>
      </c>
      <c r="M52" s="37">
        <v>0</v>
      </c>
      <c r="N52" s="37">
        <v>0</v>
      </c>
    </row>
    <row r="53" spans="6:14" ht="12" x14ac:dyDescent="0.2">
      <c r="F53" s="447"/>
      <c r="G53" s="41" t="str">
        <f>STRAT6_IND4</f>
        <v>Objetivo estratégico 6 Indicador 4</v>
      </c>
      <c r="H53" s="260" t="str">
        <f ca="1">OFFSET(Variables_Lu!$D$10,Basic_Setup!H67,0)</f>
        <v>Nutrition-specific</v>
      </c>
      <c r="I53" s="262">
        <f t="shared" si="21"/>
        <v>0</v>
      </c>
      <c r="J53" s="37">
        <v>0</v>
      </c>
      <c r="K53" s="37">
        <v>0</v>
      </c>
      <c r="L53" s="37">
        <v>0</v>
      </c>
      <c r="M53" s="37">
        <v>0</v>
      </c>
      <c r="N53" s="37">
        <v>0</v>
      </c>
    </row>
    <row r="54" spans="6:14" ht="12" x14ac:dyDescent="0.2">
      <c r="F54" s="448"/>
      <c r="G54" s="41" t="str">
        <f>STRAT6_IND5</f>
        <v>Objetivo estratégico 6 Indicador 5</v>
      </c>
      <c r="H54" s="260" t="str">
        <f ca="1">OFFSET(Variables_Lu!$D$10,Basic_Setup!H68,0)</f>
        <v>Nutrition-specific</v>
      </c>
      <c r="I54" s="262">
        <f t="shared" si="21"/>
        <v>0</v>
      </c>
      <c r="J54" s="37">
        <v>0</v>
      </c>
      <c r="K54" s="37">
        <v>0</v>
      </c>
      <c r="L54" s="37">
        <v>0</v>
      </c>
      <c r="M54" s="37">
        <v>0</v>
      </c>
      <c r="N54" s="37">
        <v>0</v>
      </c>
    </row>
    <row r="55" spans="6:14" ht="12" x14ac:dyDescent="0.2">
      <c r="H55" s="152" t="s">
        <v>159</v>
      </c>
      <c r="I55" s="265">
        <f>SUM(I50:I54)</f>
        <v>0</v>
      </c>
      <c r="J55" s="265">
        <f t="shared" ref="J55:N55" si="22">SUM(J50:J54)</f>
        <v>0</v>
      </c>
      <c r="K55" s="265">
        <f t="shared" si="22"/>
        <v>0</v>
      </c>
      <c r="L55" s="265">
        <f t="shared" si="22"/>
        <v>0</v>
      </c>
      <c r="M55" s="265">
        <f t="shared" si="22"/>
        <v>0</v>
      </c>
      <c r="N55" s="265">
        <f t="shared" si="22"/>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262">
        <f>SUM(J56:N56)</f>
        <v>0</v>
      </c>
      <c r="J56" s="37">
        <v>0</v>
      </c>
      <c r="K56" s="37">
        <v>0</v>
      </c>
      <c r="L56" s="37">
        <v>0</v>
      </c>
      <c r="M56" s="37">
        <v>0</v>
      </c>
      <c r="N56" s="37">
        <v>0</v>
      </c>
    </row>
    <row r="57" spans="6:14" ht="12" x14ac:dyDescent="0.2">
      <c r="F57" s="447"/>
      <c r="G57" s="42" t="str">
        <f>STRAT7_IND2</f>
        <v>Objetivo estratégico 7 Indicador 2</v>
      </c>
      <c r="H57" s="260" t="str">
        <f ca="1">OFFSET(Variables_Lu!$D$10,Basic_Setup!H71,0)</f>
        <v>Nutrition-specific</v>
      </c>
      <c r="I57" s="262">
        <f t="shared" ref="I57:I60" si="23">SUM(J57:N57)</f>
        <v>0</v>
      </c>
      <c r="J57" s="37">
        <v>0</v>
      </c>
      <c r="K57" s="37">
        <v>0</v>
      </c>
      <c r="L57" s="37">
        <v>0</v>
      </c>
      <c r="M57" s="37">
        <v>0</v>
      </c>
      <c r="N57" s="37">
        <v>0</v>
      </c>
    </row>
    <row r="58" spans="6:14" ht="12" x14ac:dyDescent="0.2">
      <c r="F58" s="447"/>
      <c r="G58" s="42" t="str">
        <f>STRAT7_IND3</f>
        <v>Objetivo estratégico 7 Indicador 3</v>
      </c>
      <c r="H58" s="260" t="str">
        <f ca="1">OFFSET(Variables_Lu!$D$10,Basic_Setup!H72,0)</f>
        <v>Nutrition-specific</v>
      </c>
      <c r="I58" s="262">
        <f t="shared" si="23"/>
        <v>0</v>
      </c>
      <c r="J58" s="37">
        <v>0</v>
      </c>
      <c r="K58" s="37">
        <v>0</v>
      </c>
      <c r="L58" s="37">
        <v>0</v>
      </c>
      <c r="M58" s="37">
        <v>0</v>
      </c>
      <c r="N58" s="37">
        <v>0</v>
      </c>
    </row>
    <row r="59" spans="6:14" ht="12" x14ac:dyDescent="0.2">
      <c r="F59" s="447"/>
      <c r="G59" s="41" t="str">
        <f>STRAT7_IND4</f>
        <v>Objetivo estratégico 7 Indicador 4</v>
      </c>
      <c r="H59" s="260" t="str">
        <f ca="1">OFFSET(Variables_Lu!$D$10,Basic_Setup!H73,0)</f>
        <v>Nutrition-specific</v>
      </c>
      <c r="I59" s="262">
        <f t="shared" si="23"/>
        <v>0</v>
      </c>
      <c r="J59" s="37">
        <v>0</v>
      </c>
      <c r="K59" s="37">
        <v>0</v>
      </c>
      <c r="L59" s="37">
        <v>0</v>
      </c>
      <c r="M59" s="37">
        <v>0</v>
      </c>
      <c r="N59" s="37">
        <v>0</v>
      </c>
    </row>
    <row r="60" spans="6:14" ht="12" x14ac:dyDescent="0.2">
      <c r="F60" s="448"/>
      <c r="G60" s="41" t="str">
        <f>STRAT7_IND5</f>
        <v>Objetivo estratégico 7 Indicador 5</v>
      </c>
      <c r="H60" s="260" t="str">
        <f ca="1">OFFSET(Variables_Lu!$D$10,Basic_Setup!H74,0)</f>
        <v>Nutrition-specific</v>
      </c>
      <c r="I60" s="262">
        <f t="shared" si="23"/>
        <v>0</v>
      </c>
      <c r="J60" s="37">
        <v>0</v>
      </c>
      <c r="K60" s="37">
        <v>0</v>
      </c>
      <c r="L60" s="37">
        <v>0</v>
      </c>
      <c r="M60" s="37">
        <v>0</v>
      </c>
      <c r="N60" s="37">
        <v>0</v>
      </c>
    </row>
    <row r="61" spans="6:14" ht="12" x14ac:dyDescent="0.2">
      <c r="H61" s="152" t="s">
        <v>160</v>
      </c>
      <c r="I61" s="265">
        <f>SUM(I56:I60)</f>
        <v>0</v>
      </c>
      <c r="J61" s="265">
        <f t="shared" ref="J61:N61" si="24">SUM(J56:J60)</f>
        <v>0</v>
      </c>
      <c r="K61" s="265">
        <f t="shared" si="24"/>
        <v>0</v>
      </c>
      <c r="L61" s="265">
        <f t="shared" si="24"/>
        <v>0</v>
      </c>
      <c r="M61" s="265">
        <f t="shared" si="24"/>
        <v>0</v>
      </c>
      <c r="N61" s="265">
        <f t="shared" si="24"/>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262">
        <f>SUM(J62:N62)</f>
        <v>0</v>
      </c>
      <c r="J62" s="37">
        <v>0</v>
      </c>
      <c r="K62" s="37">
        <v>0</v>
      </c>
      <c r="L62" s="37">
        <v>0</v>
      </c>
      <c r="M62" s="37">
        <v>0</v>
      </c>
      <c r="N62" s="37">
        <v>0</v>
      </c>
    </row>
    <row r="63" spans="6:14" ht="12" x14ac:dyDescent="0.2">
      <c r="F63" s="447"/>
      <c r="G63" s="42" t="str">
        <f>STRAT8_IND2</f>
        <v>Objetivo estratégico 8 Indicador 2</v>
      </c>
      <c r="H63" s="260" t="str">
        <f ca="1">OFFSET(Variables_Lu!$D$10,Basic_Setup!H77,0)</f>
        <v>Nutrition-specific</v>
      </c>
      <c r="I63" s="262">
        <f t="shared" ref="I63:I66" si="25">SUM(J63:N63)</f>
        <v>0</v>
      </c>
      <c r="J63" s="37">
        <v>0</v>
      </c>
      <c r="K63" s="37">
        <v>0</v>
      </c>
      <c r="L63" s="37">
        <v>0</v>
      </c>
      <c r="M63" s="37">
        <v>0</v>
      </c>
      <c r="N63" s="37">
        <v>0</v>
      </c>
    </row>
    <row r="64" spans="6:14" ht="12" x14ac:dyDescent="0.2">
      <c r="F64" s="447"/>
      <c r="G64" s="42" t="str">
        <f>STRAT8_IND3</f>
        <v>Objetivo estratégico 8 Indicador 3</v>
      </c>
      <c r="H64" s="260" t="str">
        <f ca="1">OFFSET(Variables_Lu!$D$10,Basic_Setup!H78,0)</f>
        <v>Nutrition-specific</v>
      </c>
      <c r="I64" s="262">
        <f t="shared" si="25"/>
        <v>0</v>
      </c>
      <c r="J64" s="37">
        <v>0</v>
      </c>
      <c r="K64" s="37">
        <v>0</v>
      </c>
      <c r="L64" s="37">
        <v>0</v>
      </c>
      <c r="M64" s="37">
        <v>0</v>
      </c>
      <c r="N64" s="37">
        <v>0</v>
      </c>
    </row>
    <row r="65" spans="6:14" ht="12" x14ac:dyDescent="0.2">
      <c r="F65" s="447"/>
      <c r="G65" s="41" t="str">
        <f>STRAT8_IND4</f>
        <v>Objetivo estratégico 8 Indicador 4</v>
      </c>
      <c r="H65" s="260" t="str">
        <f ca="1">OFFSET(Variables_Lu!$D$10,Basic_Setup!H79,0)</f>
        <v>Nutrition-specific</v>
      </c>
      <c r="I65" s="262">
        <f t="shared" si="25"/>
        <v>0</v>
      </c>
      <c r="J65" s="37">
        <v>0</v>
      </c>
      <c r="K65" s="37">
        <v>0</v>
      </c>
      <c r="L65" s="37">
        <v>0</v>
      </c>
      <c r="M65" s="37">
        <v>0</v>
      </c>
      <c r="N65" s="37">
        <v>0</v>
      </c>
    </row>
    <row r="66" spans="6:14" ht="12" x14ac:dyDescent="0.2">
      <c r="F66" s="448"/>
      <c r="G66" s="41" t="str">
        <f>STRAT8_IND5</f>
        <v>Objetivo estratégico 8 Indicador 5</v>
      </c>
      <c r="H66" s="260" t="str">
        <f ca="1">OFFSET(Variables_Lu!$D$10,Basic_Setup!H80,0)</f>
        <v>Nutrition-specific</v>
      </c>
      <c r="I66" s="262">
        <f t="shared" si="25"/>
        <v>0</v>
      </c>
      <c r="J66" s="37">
        <v>0</v>
      </c>
      <c r="K66" s="37">
        <v>0</v>
      </c>
      <c r="L66" s="37">
        <v>0</v>
      </c>
      <c r="M66" s="37">
        <v>0</v>
      </c>
      <c r="N66" s="37">
        <v>0</v>
      </c>
    </row>
    <row r="67" spans="6:14" ht="12" x14ac:dyDescent="0.2">
      <c r="H67" s="152" t="s">
        <v>161</v>
      </c>
      <c r="I67" s="265">
        <f>SUM(I62:I66)</f>
        <v>0</v>
      </c>
      <c r="J67" s="265">
        <f t="shared" ref="J67:N67" si="26">SUM(J62:J66)</f>
        <v>0</v>
      </c>
      <c r="K67" s="265">
        <f t="shared" si="26"/>
        <v>0</v>
      </c>
      <c r="L67" s="265">
        <f t="shared" si="26"/>
        <v>0</v>
      </c>
      <c r="M67" s="265">
        <f t="shared" si="26"/>
        <v>0</v>
      </c>
      <c r="N67" s="265">
        <f t="shared" si="26"/>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262">
        <f>SUM(J68:N68)</f>
        <v>0</v>
      </c>
      <c r="J68" s="37">
        <v>0</v>
      </c>
      <c r="K68" s="37">
        <v>0</v>
      </c>
      <c r="L68" s="37">
        <v>0</v>
      </c>
      <c r="M68" s="37">
        <v>0</v>
      </c>
      <c r="N68" s="37">
        <v>0</v>
      </c>
    </row>
    <row r="69" spans="6:14" ht="12" x14ac:dyDescent="0.2">
      <c r="F69" s="447"/>
      <c r="G69" s="42" t="str">
        <f>STRAT9_IND2</f>
        <v>Objetivo estratégico 9 Indicador 2</v>
      </c>
      <c r="H69" s="260" t="str">
        <f ca="1">OFFSET(Variables_Lu!$D$10,Basic_Setup!H83,0)</f>
        <v>Nutrition-specific</v>
      </c>
      <c r="I69" s="262">
        <f t="shared" ref="I69:I72" si="27">SUM(J69:N69)</f>
        <v>0</v>
      </c>
      <c r="J69" s="37">
        <v>0</v>
      </c>
      <c r="K69" s="37">
        <v>0</v>
      </c>
      <c r="L69" s="37">
        <v>0</v>
      </c>
      <c r="M69" s="37">
        <v>0</v>
      </c>
      <c r="N69" s="37">
        <v>0</v>
      </c>
    </row>
    <row r="70" spans="6:14" ht="12" x14ac:dyDescent="0.2">
      <c r="F70" s="447"/>
      <c r="G70" s="42" t="str">
        <f>STRAT9_IND3</f>
        <v>Objetivo estratégico 9 Indicador 3</v>
      </c>
      <c r="H70" s="260" t="str">
        <f ca="1">OFFSET(Variables_Lu!$D$10,Basic_Setup!H84,0)</f>
        <v>Nutrition-specific</v>
      </c>
      <c r="I70" s="262">
        <f t="shared" si="27"/>
        <v>0</v>
      </c>
      <c r="J70" s="37">
        <v>0</v>
      </c>
      <c r="K70" s="37">
        <v>0</v>
      </c>
      <c r="L70" s="37">
        <v>0</v>
      </c>
      <c r="M70" s="37">
        <v>0</v>
      </c>
      <c r="N70" s="37">
        <v>0</v>
      </c>
    </row>
    <row r="71" spans="6:14" ht="12" x14ac:dyDescent="0.2">
      <c r="F71" s="447"/>
      <c r="G71" s="41" t="str">
        <f>STRAT9_IND4</f>
        <v>Objetivo estratégico 9 Indicador 4</v>
      </c>
      <c r="H71" s="260" t="str">
        <f ca="1">OFFSET(Variables_Lu!$D$10,Basic_Setup!H85,0)</f>
        <v>Nutrition-specific</v>
      </c>
      <c r="I71" s="262">
        <f t="shared" si="27"/>
        <v>0</v>
      </c>
      <c r="J71" s="37">
        <v>0</v>
      </c>
      <c r="K71" s="37">
        <v>0</v>
      </c>
      <c r="L71" s="37">
        <v>0</v>
      </c>
      <c r="M71" s="37">
        <v>0</v>
      </c>
      <c r="N71" s="37">
        <v>0</v>
      </c>
    </row>
    <row r="72" spans="6:14" ht="12" x14ac:dyDescent="0.2">
      <c r="F72" s="448"/>
      <c r="G72" s="41" t="str">
        <f>STRAT9_IND5</f>
        <v>Objetivo estratégico 9 Indicador 5</v>
      </c>
      <c r="H72" s="260" t="str">
        <f ca="1">OFFSET(Variables_Lu!$D$10,Basic_Setup!H86,0)</f>
        <v>Nutrition-specific</v>
      </c>
      <c r="I72" s="262">
        <f t="shared" si="27"/>
        <v>0</v>
      </c>
      <c r="J72" s="37">
        <v>0</v>
      </c>
      <c r="K72" s="37">
        <v>0</v>
      </c>
      <c r="L72" s="37">
        <v>0</v>
      </c>
      <c r="M72" s="37">
        <v>0</v>
      </c>
      <c r="N72" s="37">
        <v>0</v>
      </c>
    </row>
    <row r="73" spans="6:14" ht="12" x14ac:dyDescent="0.2">
      <c r="H73" s="152" t="s">
        <v>162</v>
      </c>
      <c r="I73" s="265">
        <f>SUM(I68:I72)</f>
        <v>0</v>
      </c>
      <c r="J73" s="265">
        <f t="shared" ref="J73:N73" si="28">SUM(J68:J72)</f>
        <v>0</v>
      </c>
      <c r="K73" s="265">
        <f t="shared" si="28"/>
        <v>0</v>
      </c>
      <c r="L73" s="265">
        <f t="shared" si="28"/>
        <v>0</v>
      </c>
      <c r="M73" s="265">
        <f t="shared" si="28"/>
        <v>0</v>
      </c>
      <c r="N73" s="265">
        <f t="shared" si="28"/>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262">
        <f>SUM(J74:N74)</f>
        <v>0</v>
      </c>
      <c r="J74" s="37">
        <v>0</v>
      </c>
      <c r="K74" s="37">
        <v>0</v>
      </c>
      <c r="L74" s="37">
        <v>0</v>
      </c>
      <c r="M74" s="37">
        <v>0</v>
      </c>
      <c r="N74" s="37">
        <v>0</v>
      </c>
    </row>
    <row r="75" spans="6:14" ht="12" x14ac:dyDescent="0.2">
      <c r="F75" s="447"/>
      <c r="G75" s="42" t="str">
        <f>STRAT10_IND2</f>
        <v>Objetivo estratégico 10 Indicador 2</v>
      </c>
      <c r="H75" s="260" t="str">
        <f ca="1">OFFSET(Variables_Lu!$D$10,Basic_Setup!H89,0)</f>
        <v>Nutrition-specific</v>
      </c>
      <c r="I75" s="262">
        <f t="shared" ref="I75:I78" si="29">SUM(J75:N75)</f>
        <v>0</v>
      </c>
      <c r="J75" s="37">
        <v>0</v>
      </c>
      <c r="K75" s="37">
        <v>0</v>
      </c>
      <c r="L75" s="37">
        <v>0</v>
      </c>
      <c r="M75" s="37">
        <v>0</v>
      </c>
      <c r="N75" s="37">
        <v>0</v>
      </c>
    </row>
    <row r="76" spans="6:14" ht="12" x14ac:dyDescent="0.2">
      <c r="F76" s="447"/>
      <c r="G76" s="42" t="str">
        <f>STRAT10_IND3</f>
        <v>Objetivo estratégico 10 Indicador 3</v>
      </c>
      <c r="H76" s="260" t="str">
        <f ca="1">OFFSET(Variables_Lu!$D$10,Basic_Setup!H90,0)</f>
        <v>Nutrition-specific</v>
      </c>
      <c r="I76" s="262">
        <f t="shared" si="29"/>
        <v>0</v>
      </c>
      <c r="J76" s="37">
        <v>0</v>
      </c>
      <c r="K76" s="37">
        <v>0</v>
      </c>
      <c r="L76" s="37">
        <v>0</v>
      </c>
      <c r="M76" s="37">
        <v>0</v>
      </c>
      <c r="N76" s="37">
        <v>0</v>
      </c>
    </row>
    <row r="77" spans="6:14" ht="11.25" customHeight="1" x14ac:dyDescent="0.2">
      <c r="F77" s="447"/>
      <c r="G77" s="41" t="str">
        <f>STRAT10_IND4</f>
        <v>Objetivo estratégico 10 Indicador 4</v>
      </c>
      <c r="H77" s="260" t="str">
        <f ca="1">OFFSET(Variables_Lu!$D$10,Basic_Setup!H91,0)</f>
        <v>Nutrition-specific</v>
      </c>
      <c r="I77" s="262">
        <f t="shared" si="29"/>
        <v>0</v>
      </c>
      <c r="J77" s="37">
        <v>0</v>
      </c>
      <c r="K77" s="37">
        <v>0</v>
      </c>
      <c r="L77" s="37">
        <v>0</v>
      </c>
      <c r="M77" s="37">
        <v>0</v>
      </c>
      <c r="N77" s="37">
        <v>0</v>
      </c>
    </row>
    <row r="78" spans="6:14" ht="11.25" customHeight="1" x14ac:dyDescent="0.2">
      <c r="F78" s="448"/>
      <c r="G78" s="41" t="str">
        <f>STRAT10_IND5</f>
        <v>Objetivo estratégico 10 Indicador 5</v>
      </c>
      <c r="H78" s="260" t="str">
        <f ca="1">OFFSET(Variables_Lu!$D$10,Basic_Setup!H92,0)</f>
        <v>Nutrition-specific</v>
      </c>
      <c r="I78" s="262">
        <f t="shared" si="29"/>
        <v>0</v>
      </c>
      <c r="J78" s="37">
        <v>0</v>
      </c>
      <c r="K78" s="37">
        <v>0</v>
      </c>
      <c r="L78" s="37">
        <v>0</v>
      </c>
      <c r="M78" s="37">
        <v>0</v>
      </c>
      <c r="N78" s="37">
        <v>0</v>
      </c>
    </row>
    <row r="79" spans="6:14" ht="11.25" customHeight="1" x14ac:dyDescent="0.2">
      <c r="H79" s="152" t="s">
        <v>163</v>
      </c>
      <c r="I79" s="265">
        <f>SUM(I74:I78)</f>
        <v>0</v>
      </c>
      <c r="J79" s="265">
        <f t="shared" ref="J79:N79" si="30">SUM(J74:J78)</f>
        <v>0</v>
      </c>
      <c r="K79" s="265">
        <f t="shared" si="30"/>
        <v>0</v>
      </c>
      <c r="L79" s="265">
        <f t="shared" si="30"/>
        <v>0</v>
      </c>
      <c r="M79" s="265">
        <f t="shared" si="30"/>
        <v>0</v>
      </c>
      <c r="N79" s="265">
        <f t="shared" si="30"/>
        <v>0</v>
      </c>
    </row>
    <row r="80" spans="6:14" ht="11.25" customHeight="1" x14ac:dyDescent="0.2">
      <c r="I80" s="263"/>
    </row>
    <row r="81" spans="6:14" ht="12.6" thickBot="1" x14ac:dyDescent="0.25">
      <c r="H81" s="149" t="str">
        <f>"TOTAL - "&amp;$F$12</f>
        <v>TOTAL - Ministerio de Desarrollo Municipal</v>
      </c>
      <c r="I81" s="264">
        <f>SUM(I25,I31,I37,I43,I49,I55,I61,I67,I73,I79)</f>
        <v>637699127.85000002</v>
      </c>
      <c r="J81" s="264">
        <f>SUM(J25,J31,J37,J43,J49,J55,J61,J67,J73,J79)</f>
        <v>127539825.57000001</v>
      </c>
      <c r="K81" s="264">
        <f t="shared" ref="K81:N81" si="31">SUM(K25,K31,K37,K43,K49,K55,K61,K67,K73,K79)</f>
        <v>127539825.57000001</v>
      </c>
      <c r="L81" s="264">
        <f t="shared" si="31"/>
        <v>127539825.57000001</v>
      </c>
      <c r="M81" s="264">
        <f t="shared" si="31"/>
        <v>127539825.57000001</v>
      </c>
      <c r="N81" s="264">
        <f t="shared" si="31"/>
        <v>127539825.57000001</v>
      </c>
    </row>
    <row r="82" spans="6:14" ht="12" x14ac:dyDescent="0.2">
      <c r="I82" s="149"/>
    </row>
    <row r="83" spans="6:14" ht="12" x14ac:dyDescent="0.2">
      <c r="F83" s="44" t="s">
        <v>171</v>
      </c>
    </row>
    <row r="84" spans="6:14" x14ac:dyDescent="0.2">
      <c r="F84" s="49"/>
    </row>
    <row r="85" spans="6:14" x14ac:dyDescent="0.2">
      <c r="F85" s="49"/>
    </row>
    <row r="86" spans="6:14" x14ac:dyDescent="0.2">
      <c r="F86" s="49"/>
    </row>
    <row r="87" spans="6:14" x14ac:dyDescent="0.2">
      <c r="F87" s="49"/>
    </row>
    <row r="90" spans="6:14" ht="12.6" thickBot="1" x14ac:dyDescent="0.25">
      <c r="F90" s="1" t="s">
        <v>411</v>
      </c>
      <c r="G90" s="1" t="s">
        <v>412</v>
      </c>
      <c r="H90" s="406" t="s">
        <v>472</v>
      </c>
      <c r="I90" s="253" t="s">
        <v>106</v>
      </c>
      <c r="J90" s="54" t="str">
        <f>CURR_INT_ABBR</f>
        <v>USD</v>
      </c>
      <c r="K90" s="54" t="str">
        <f>CURR_INT_ABBR</f>
        <v>USD</v>
      </c>
      <c r="L90" s="54" t="str">
        <f>CURR_INT_ABBR</f>
        <v>USD</v>
      </c>
      <c r="M90" s="54" t="str">
        <f>CURR_INT_ABBR</f>
        <v>USD</v>
      </c>
      <c r="N90" s="54" t="str">
        <f>CURR_INT_ABBR</f>
        <v>USD</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67">
        <f t="shared" ref="I91:N100" si="32">I20/EXCHANGE_RATE</f>
        <v>141.71091729999998</v>
      </c>
      <c r="J91" s="154">
        <f t="shared" si="32"/>
        <v>28.342183459999998</v>
      </c>
      <c r="K91" s="154">
        <f t="shared" si="32"/>
        <v>28.342183459999998</v>
      </c>
      <c r="L91" s="154">
        <f t="shared" si="32"/>
        <v>28.342183459999998</v>
      </c>
      <c r="M91" s="154">
        <f t="shared" si="32"/>
        <v>28.342183459999998</v>
      </c>
      <c r="N91" s="154">
        <f t="shared" si="32"/>
        <v>28.342183459999998</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67">
        <f t="shared" si="32"/>
        <v>141.71091729999998</v>
      </c>
      <c r="J92" s="154">
        <f t="shared" si="32"/>
        <v>28.342183459999998</v>
      </c>
      <c r="K92" s="154">
        <f t="shared" si="32"/>
        <v>28.342183459999998</v>
      </c>
      <c r="L92" s="154">
        <f t="shared" si="32"/>
        <v>28.342183459999998</v>
      </c>
      <c r="M92" s="154">
        <f t="shared" si="32"/>
        <v>28.342183459999998</v>
      </c>
      <c r="N92" s="154">
        <f t="shared" si="32"/>
        <v>28.342183459999998</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67">
        <f t="shared" si="32"/>
        <v>141.71091729999998</v>
      </c>
      <c r="J93" s="154">
        <f t="shared" si="32"/>
        <v>28.342183459999998</v>
      </c>
      <c r="K93" s="154">
        <f t="shared" si="32"/>
        <v>28.342183459999998</v>
      </c>
      <c r="L93" s="154">
        <f t="shared" si="32"/>
        <v>28.342183459999998</v>
      </c>
      <c r="M93" s="154">
        <f t="shared" si="32"/>
        <v>28.342183459999998</v>
      </c>
      <c r="N93" s="154">
        <f t="shared" si="32"/>
        <v>28.342183459999998</v>
      </c>
    </row>
    <row r="94" spans="6:14" ht="22.8" x14ac:dyDescent="0.2">
      <c r="F94" s="444"/>
      <c r="G94" s="41" t="str">
        <f>STRAT1_IND4</f>
        <v>El marco legislativo y reglamentario de la nutrición se ha fortalecido y está en funcionamiento.</v>
      </c>
      <c r="H94" s="268" t="str">
        <f ca="1">OFFSET(Variables_Lu!$D$10,Basic_Setup!H37,0)</f>
        <v>Governance</v>
      </c>
      <c r="I94" s="67">
        <f t="shared" si="32"/>
        <v>141.71091729999998</v>
      </c>
      <c r="J94" s="154">
        <f t="shared" si="32"/>
        <v>28.342183459999998</v>
      </c>
      <c r="K94" s="154">
        <f t="shared" si="32"/>
        <v>28.342183459999998</v>
      </c>
      <c r="L94" s="154">
        <f t="shared" si="32"/>
        <v>28.342183459999998</v>
      </c>
      <c r="M94" s="154">
        <f t="shared" si="32"/>
        <v>28.342183459999998</v>
      </c>
      <c r="N94" s="154">
        <f t="shared" si="32"/>
        <v>28.342183459999998</v>
      </c>
    </row>
    <row r="95" spans="6:14" ht="12.6" thickBot="1" x14ac:dyDescent="0.25">
      <c r="F95" s="445"/>
      <c r="G95" s="275" t="str">
        <f>STRAT1_IND5</f>
        <v>Objetivo estratégico 1 Indicador 5</v>
      </c>
      <c r="H95" s="270" t="str">
        <f ca="1">OFFSET(Variables_Lu!$D$10,Basic_Setup!H38,0)</f>
        <v>Governance</v>
      </c>
      <c r="I95" s="67">
        <f t="shared" si="32"/>
        <v>0</v>
      </c>
      <c r="J95" s="154">
        <f t="shared" si="32"/>
        <v>0</v>
      </c>
      <c r="K95" s="154">
        <f t="shared" si="32"/>
        <v>0</v>
      </c>
      <c r="L95" s="154">
        <f t="shared" si="32"/>
        <v>0</v>
      </c>
      <c r="M95" s="154">
        <f t="shared" si="32"/>
        <v>0</v>
      </c>
      <c r="N95" s="154">
        <f t="shared" si="32"/>
        <v>0</v>
      </c>
    </row>
    <row r="96" spans="6:14" ht="12.6" thickBot="1" x14ac:dyDescent="0.25">
      <c r="F96" s="38"/>
      <c r="G96" s="38"/>
      <c r="H96" s="152" t="s">
        <v>107</v>
      </c>
      <c r="I96" s="122">
        <f t="shared" si="32"/>
        <v>566.84366919999991</v>
      </c>
      <c r="J96" s="63">
        <f t="shared" si="32"/>
        <v>113.36873383999999</v>
      </c>
      <c r="K96" s="63">
        <f t="shared" si="32"/>
        <v>113.36873383999999</v>
      </c>
      <c r="L96" s="63">
        <f t="shared" si="32"/>
        <v>113.36873383999999</v>
      </c>
      <c r="M96" s="63">
        <f t="shared" si="32"/>
        <v>113.36873383999999</v>
      </c>
      <c r="N96" s="63">
        <f t="shared" si="32"/>
        <v>113.36873383999999</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67">
        <f t="shared" si="32"/>
        <v>7498.8693737916656</v>
      </c>
      <c r="J97" s="154">
        <f t="shared" si="32"/>
        <v>1499.7738747583332</v>
      </c>
      <c r="K97" s="154">
        <f t="shared" si="32"/>
        <v>1499.7738747583332</v>
      </c>
      <c r="L97" s="154">
        <f t="shared" si="32"/>
        <v>1499.7738747583332</v>
      </c>
      <c r="M97" s="154">
        <f t="shared" si="32"/>
        <v>1499.7738747583332</v>
      </c>
      <c r="N97" s="154">
        <f t="shared" si="32"/>
        <v>1499.7738747583332</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67">
        <f t="shared" si="32"/>
        <v>7498.8693737916656</v>
      </c>
      <c r="J98" s="154">
        <f t="shared" si="32"/>
        <v>1499.7738747583332</v>
      </c>
      <c r="K98" s="154">
        <f t="shared" si="32"/>
        <v>1499.7738747583332</v>
      </c>
      <c r="L98" s="154">
        <f t="shared" si="32"/>
        <v>1499.7738747583332</v>
      </c>
      <c r="M98" s="154">
        <f t="shared" si="32"/>
        <v>1499.7738747583332</v>
      </c>
      <c r="N98" s="154">
        <f t="shared" si="32"/>
        <v>1499.7738747583332</v>
      </c>
    </row>
    <row r="99" spans="6:14" ht="22.8" x14ac:dyDescent="0.2">
      <c r="F99" s="444"/>
      <c r="G99" s="42" t="str">
        <f>STRAT2_IND3</f>
        <v>Se refuerzan las intervenciones comunitarias en materia de nutrición.</v>
      </c>
      <c r="H99" s="268" t="str">
        <f ca="1">OFFSET(Variables_Lu!$D$10,Basic_Setup!H42,0)</f>
        <v>Nutrition-specific</v>
      </c>
      <c r="I99" s="67">
        <f t="shared" si="32"/>
        <v>7498.8693737916656</v>
      </c>
      <c r="J99" s="154">
        <f t="shared" si="32"/>
        <v>1499.7738747583332</v>
      </c>
      <c r="K99" s="154">
        <f t="shared" si="32"/>
        <v>1499.7738747583332</v>
      </c>
      <c r="L99" s="154">
        <f t="shared" si="32"/>
        <v>1499.7738747583332</v>
      </c>
      <c r="M99" s="154">
        <f t="shared" si="32"/>
        <v>1499.7738747583332</v>
      </c>
      <c r="N99" s="154">
        <f t="shared" si="32"/>
        <v>1499.7738747583332</v>
      </c>
    </row>
    <row r="100" spans="6:14" ht="12" x14ac:dyDescent="0.2">
      <c r="F100" s="444"/>
      <c r="G100" s="41" t="str">
        <f>STRAT2_IND4</f>
        <v>Objetivo estratégico 2 Indicador 4</v>
      </c>
      <c r="H100" s="268" t="str">
        <f ca="1">OFFSET(Variables_Lu!$D$10,Basic_Setup!H43,0)</f>
        <v>Nutrition-specific</v>
      </c>
      <c r="I100" s="67">
        <f t="shared" si="32"/>
        <v>0</v>
      </c>
      <c r="J100" s="154">
        <f t="shared" si="32"/>
        <v>0</v>
      </c>
      <c r="K100" s="154">
        <f t="shared" si="32"/>
        <v>0</v>
      </c>
      <c r="L100" s="154">
        <f t="shared" si="32"/>
        <v>0</v>
      </c>
      <c r="M100" s="154">
        <f t="shared" si="32"/>
        <v>0</v>
      </c>
      <c r="N100" s="154">
        <f t="shared" si="32"/>
        <v>0</v>
      </c>
    </row>
    <row r="101" spans="6:14" ht="12.6" thickBot="1" x14ac:dyDescent="0.25">
      <c r="F101" s="445"/>
      <c r="G101" s="275" t="str">
        <f>STRAT2_IND5</f>
        <v>Objetivo estratégico 2 Indicador 5</v>
      </c>
      <c r="H101" s="270" t="str">
        <f ca="1">OFFSET(Variables_Lu!$D$10,Basic_Setup!H44,0)</f>
        <v>Nutrition-specific</v>
      </c>
      <c r="I101" s="67">
        <f t="shared" ref="I101:N110" si="33">I30/EXCHANGE_RATE</f>
        <v>0</v>
      </c>
      <c r="J101" s="154">
        <f t="shared" si="33"/>
        <v>0</v>
      </c>
      <c r="K101" s="154">
        <f t="shared" si="33"/>
        <v>0</v>
      </c>
      <c r="L101" s="154">
        <f t="shared" si="33"/>
        <v>0</v>
      </c>
      <c r="M101" s="154">
        <f t="shared" si="33"/>
        <v>0</v>
      </c>
      <c r="N101" s="154">
        <f t="shared" si="33"/>
        <v>0</v>
      </c>
    </row>
    <row r="102" spans="6:14" ht="12.6" thickBot="1" x14ac:dyDescent="0.25">
      <c r="F102" s="38"/>
      <c r="G102" s="38"/>
      <c r="H102" s="152" t="s">
        <v>108</v>
      </c>
      <c r="I102" s="122">
        <f t="shared" si="33"/>
        <v>22496.608121375</v>
      </c>
      <c r="J102" s="63">
        <f t="shared" si="33"/>
        <v>4499.3216242749995</v>
      </c>
      <c r="K102" s="63">
        <f t="shared" si="33"/>
        <v>4499.3216242749995</v>
      </c>
      <c r="L102" s="63">
        <f t="shared" si="33"/>
        <v>4499.3216242749995</v>
      </c>
      <c r="M102" s="63">
        <f t="shared" si="33"/>
        <v>4499.3216242749995</v>
      </c>
      <c r="N102" s="63">
        <f t="shared" si="33"/>
        <v>4499.3216242749995</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67">
        <f t="shared" si="33"/>
        <v>88675.606500475013</v>
      </c>
      <c r="J103" s="154">
        <f t="shared" si="33"/>
        <v>17735.121300095001</v>
      </c>
      <c r="K103" s="154">
        <f t="shared" si="33"/>
        <v>17735.121300095001</v>
      </c>
      <c r="L103" s="154">
        <f t="shared" si="33"/>
        <v>17735.121300095001</v>
      </c>
      <c r="M103" s="154">
        <f t="shared" si="33"/>
        <v>17735.121300095001</v>
      </c>
      <c r="N103" s="154">
        <f t="shared" si="33"/>
        <v>17735.121300095001</v>
      </c>
    </row>
    <row r="104" spans="6:14" ht="22.8" x14ac:dyDescent="0.2">
      <c r="F104" s="444"/>
      <c r="G104" s="42" t="str">
        <f>STRAT3_IND2</f>
        <v xml:space="preserve"> La seguridad alimentaria está garantizada para toda la nación.</v>
      </c>
      <c r="H104" s="268" t="str">
        <f ca="1">OFFSET(Variables_Lu!$D$10,Basic_Setup!H47,0)</f>
        <v>Nutrition-sensitive</v>
      </c>
      <c r="I104" s="67">
        <f t="shared" si="33"/>
        <v>88675.606500475013</v>
      </c>
      <c r="J104" s="154">
        <f t="shared" si="33"/>
        <v>17735.121300095001</v>
      </c>
      <c r="K104" s="154">
        <f t="shared" si="33"/>
        <v>17735.121300095001</v>
      </c>
      <c r="L104" s="154">
        <f t="shared" si="33"/>
        <v>17735.121300095001</v>
      </c>
      <c r="M104" s="154">
        <f t="shared" si="33"/>
        <v>17735.121300095001</v>
      </c>
      <c r="N104" s="154">
        <f t="shared" si="33"/>
        <v>17735.121300095001</v>
      </c>
    </row>
    <row r="105" spans="6:14" ht="12" x14ac:dyDescent="0.2">
      <c r="F105" s="444"/>
      <c r="G105" s="42" t="str">
        <f>STRAT3_IND3</f>
        <v>Objetivo estratégico 3 Indicador 3</v>
      </c>
      <c r="H105" s="268" t="str">
        <f ca="1">OFFSET(Variables_Lu!$D$10,Basic_Setup!H48,0)</f>
        <v>Nutrition-specific</v>
      </c>
      <c r="I105" s="67">
        <f t="shared" si="33"/>
        <v>0</v>
      </c>
      <c r="J105" s="154">
        <f t="shared" si="33"/>
        <v>0</v>
      </c>
      <c r="K105" s="154">
        <f t="shared" si="33"/>
        <v>0</v>
      </c>
      <c r="L105" s="154">
        <f t="shared" si="33"/>
        <v>0</v>
      </c>
      <c r="M105" s="154">
        <f t="shared" si="33"/>
        <v>0</v>
      </c>
      <c r="N105" s="154">
        <f t="shared" si="33"/>
        <v>0</v>
      </c>
    </row>
    <row r="106" spans="6:14" ht="12" x14ac:dyDescent="0.2">
      <c r="F106" s="444"/>
      <c r="G106" s="41" t="str">
        <f>STRAT3_IND4</f>
        <v>Objetivo estratégico 3 Indicador 4</v>
      </c>
      <c r="H106" s="268" t="str">
        <f ca="1">OFFSET(Variables_Lu!$D$10,Basic_Setup!H49,0)</f>
        <v>Nutrition-specific</v>
      </c>
      <c r="I106" s="67">
        <f t="shared" si="33"/>
        <v>0</v>
      </c>
      <c r="J106" s="154">
        <f t="shared" si="33"/>
        <v>0</v>
      </c>
      <c r="K106" s="154">
        <f t="shared" si="33"/>
        <v>0</v>
      </c>
      <c r="L106" s="154">
        <f t="shared" si="33"/>
        <v>0</v>
      </c>
      <c r="M106" s="154">
        <f t="shared" si="33"/>
        <v>0</v>
      </c>
      <c r="N106" s="154">
        <f t="shared" si="33"/>
        <v>0</v>
      </c>
    </row>
    <row r="107" spans="6:14" ht="12.6" thickBot="1" x14ac:dyDescent="0.25">
      <c r="F107" s="445"/>
      <c r="G107" s="275" t="str">
        <f>STRAT3_IND5</f>
        <v>Objetivo estratégico 3 Indicador 5</v>
      </c>
      <c r="H107" s="270" t="str">
        <f ca="1">OFFSET(Variables_Lu!$D$10,Basic_Setup!H50,0)</f>
        <v>Nutrition-specific</v>
      </c>
      <c r="I107" s="67">
        <f t="shared" si="33"/>
        <v>0</v>
      </c>
      <c r="J107" s="154">
        <f t="shared" si="33"/>
        <v>0</v>
      </c>
      <c r="K107" s="154">
        <f t="shared" si="33"/>
        <v>0</v>
      </c>
      <c r="L107" s="154">
        <f t="shared" si="33"/>
        <v>0</v>
      </c>
      <c r="M107" s="154">
        <f t="shared" si="33"/>
        <v>0</v>
      </c>
      <c r="N107" s="154">
        <f t="shared" si="33"/>
        <v>0</v>
      </c>
    </row>
    <row r="108" spans="6:14" ht="12.6" thickBot="1" x14ac:dyDescent="0.25">
      <c r="H108" s="152" t="s">
        <v>109</v>
      </c>
      <c r="I108" s="122">
        <f t="shared" si="33"/>
        <v>177351.21300095003</v>
      </c>
      <c r="J108" s="63">
        <f t="shared" si="33"/>
        <v>35470.242600190002</v>
      </c>
      <c r="K108" s="63">
        <f t="shared" si="33"/>
        <v>35470.242600190002</v>
      </c>
      <c r="L108" s="63">
        <f t="shared" si="33"/>
        <v>35470.242600190002</v>
      </c>
      <c r="M108" s="63">
        <f t="shared" si="33"/>
        <v>35470.242600190002</v>
      </c>
      <c r="N108" s="63">
        <f t="shared" si="33"/>
        <v>35470.242600190002</v>
      </c>
    </row>
    <row r="109" spans="6:14" ht="24"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67">
        <f t="shared" si="33"/>
        <v>49917.670618925004</v>
      </c>
      <c r="J109" s="154">
        <f t="shared" si="33"/>
        <v>9983.5341237850007</v>
      </c>
      <c r="K109" s="154">
        <f t="shared" si="33"/>
        <v>9983.5341237850007</v>
      </c>
      <c r="L109" s="154">
        <f t="shared" si="33"/>
        <v>9983.5341237850007</v>
      </c>
      <c r="M109" s="154">
        <f t="shared" si="33"/>
        <v>9983.5341237850007</v>
      </c>
      <c r="N109" s="154">
        <f t="shared" si="33"/>
        <v>9983.5341237850007</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67">
        <f t="shared" si="33"/>
        <v>49917.670618925004</v>
      </c>
      <c r="J110" s="154">
        <f t="shared" si="33"/>
        <v>9983.5341237850007</v>
      </c>
      <c r="K110" s="154">
        <f t="shared" si="33"/>
        <v>9983.5341237850007</v>
      </c>
      <c r="L110" s="154">
        <f t="shared" si="33"/>
        <v>9983.5341237850007</v>
      </c>
      <c r="M110" s="154">
        <f t="shared" si="33"/>
        <v>9983.5341237850007</v>
      </c>
      <c r="N110" s="154">
        <f t="shared" si="33"/>
        <v>9983.5341237850007</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67">
        <f t="shared" ref="I111:N120" si="34">I40/EXCHANGE_RATE</f>
        <v>49917.670618925004</v>
      </c>
      <c r="J111" s="154">
        <f t="shared" si="34"/>
        <v>9983.5341237850007</v>
      </c>
      <c r="K111" s="154">
        <f t="shared" si="34"/>
        <v>9983.5341237850007</v>
      </c>
      <c r="L111" s="154">
        <f t="shared" si="34"/>
        <v>9983.5341237850007</v>
      </c>
      <c r="M111" s="154">
        <f t="shared" si="34"/>
        <v>9983.5341237850007</v>
      </c>
      <c r="N111" s="154">
        <f t="shared" si="34"/>
        <v>9983.5341237850007</v>
      </c>
    </row>
    <row r="112" spans="6:14" ht="12" x14ac:dyDescent="0.2">
      <c r="F112" s="444"/>
      <c r="G112" s="41" t="str">
        <f>STRAT4_IND4</f>
        <v>Objetivo estratégico 4 Indicador 4</v>
      </c>
      <c r="H112" s="268" t="str">
        <f ca="1">OFFSET(Variables_Lu!$D$10,Basic_Setup!H55,0)</f>
        <v>Nutrition-specific</v>
      </c>
      <c r="I112" s="67">
        <f t="shared" si="34"/>
        <v>0</v>
      </c>
      <c r="J112" s="154">
        <f t="shared" si="34"/>
        <v>0</v>
      </c>
      <c r="K112" s="154">
        <f t="shared" si="34"/>
        <v>0</v>
      </c>
      <c r="L112" s="154">
        <f t="shared" si="34"/>
        <v>0</v>
      </c>
      <c r="M112" s="154">
        <f t="shared" si="34"/>
        <v>0</v>
      </c>
      <c r="N112" s="154">
        <f t="shared" si="34"/>
        <v>0</v>
      </c>
    </row>
    <row r="113" spans="6:14" ht="12.6" thickBot="1" x14ac:dyDescent="0.25">
      <c r="F113" s="445"/>
      <c r="G113" s="275" t="str">
        <f>STRAT4_IND5</f>
        <v>Objetivo estratégico 4 Indicador 5</v>
      </c>
      <c r="H113" s="270" t="str">
        <f ca="1">OFFSET(Variables_Lu!$D$10,Basic_Setup!H56,0)</f>
        <v>Nutrition-specific</v>
      </c>
      <c r="I113" s="67">
        <f t="shared" si="34"/>
        <v>0</v>
      </c>
      <c r="J113" s="154">
        <f t="shared" si="34"/>
        <v>0</v>
      </c>
      <c r="K113" s="154">
        <f t="shared" si="34"/>
        <v>0</v>
      </c>
      <c r="L113" s="154">
        <f t="shared" si="34"/>
        <v>0</v>
      </c>
      <c r="M113" s="154">
        <f t="shared" si="34"/>
        <v>0</v>
      </c>
      <c r="N113" s="154">
        <f t="shared" si="34"/>
        <v>0</v>
      </c>
    </row>
    <row r="114" spans="6:14" ht="12.6" thickBot="1" x14ac:dyDescent="0.25">
      <c r="H114" s="152" t="s">
        <v>110</v>
      </c>
      <c r="I114" s="122">
        <f t="shared" si="34"/>
        <v>149753.01185677503</v>
      </c>
      <c r="J114" s="63">
        <f t="shared" si="34"/>
        <v>29950.602371355006</v>
      </c>
      <c r="K114" s="63">
        <f t="shared" si="34"/>
        <v>29950.602371355006</v>
      </c>
      <c r="L114" s="63">
        <f t="shared" si="34"/>
        <v>29950.602371355006</v>
      </c>
      <c r="M114" s="63">
        <f t="shared" si="34"/>
        <v>29950.602371355006</v>
      </c>
      <c r="N114" s="63">
        <f t="shared" si="34"/>
        <v>29950.602371355006</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67">
        <f t="shared" si="34"/>
        <v>1369.8722005666666</v>
      </c>
      <c r="J115" s="154">
        <f t="shared" si="34"/>
        <v>273.97444011333329</v>
      </c>
      <c r="K115" s="154">
        <f t="shared" si="34"/>
        <v>273.97444011333329</v>
      </c>
      <c r="L115" s="154">
        <f t="shared" si="34"/>
        <v>273.97444011333329</v>
      </c>
      <c r="M115" s="154">
        <f t="shared" si="34"/>
        <v>273.97444011333329</v>
      </c>
      <c r="N115" s="154">
        <f t="shared" si="34"/>
        <v>273.97444011333329</v>
      </c>
    </row>
    <row r="116" spans="6:14" ht="22.8" x14ac:dyDescent="0.2">
      <c r="F116" s="444"/>
      <c r="G116" s="42" t="str">
        <f>STRAT5_IND2</f>
        <v>Se promueven dietas saludables y estilos de vida saludables para las personas.</v>
      </c>
      <c r="H116" s="268" t="str">
        <f ca="1">OFFSET(Variables_Lu!$D$10,Basic_Setup!H59,0)</f>
        <v>Nutrition-specific</v>
      </c>
      <c r="I116" s="67">
        <f t="shared" si="34"/>
        <v>1369.8722005666666</v>
      </c>
      <c r="J116" s="154">
        <f t="shared" si="34"/>
        <v>273.97444011333329</v>
      </c>
      <c r="K116" s="154">
        <f t="shared" si="34"/>
        <v>273.97444011333329</v>
      </c>
      <c r="L116" s="154">
        <f t="shared" si="34"/>
        <v>273.97444011333329</v>
      </c>
      <c r="M116" s="154">
        <f t="shared" si="34"/>
        <v>273.97444011333329</v>
      </c>
      <c r="N116" s="154">
        <f t="shared" si="34"/>
        <v>273.97444011333329</v>
      </c>
    </row>
    <row r="117" spans="6:14" ht="22.8" x14ac:dyDescent="0.2">
      <c r="F117" s="444"/>
      <c r="G117" s="42" t="str">
        <f>STRAT5_IND3</f>
        <v>Se promueven las buenas prácticas WASH a nivel comunitario y doméstico</v>
      </c>
      <c r="H117" s="268" t="str">
        <f ca="1">OFFSET(Variables_Lu!$D$10,Basic_Setup!H60,0)</f>
        <v>Nutrition-sensitive</v>
      </c>
      <c r="I117" s="67">
        <f t="shared" si="34"/>
        <v>1369.8722005666666</v>
      </c>
      <c r="J117" s="154">
        <f t="shared" si="34"/>
        <v>273.97444011333329</v>
      </c>
      <c r="K117" s="154">
        <f t="shared" si="34"/>
        <v>273.97444011333329</v>
      </c>
      <c r="L117" s="154">
        <f t="shared" si="34"/>
        <v>273.97444011333329</v>
      </c>
      <c r="M117" s="154">
        <f t="shared" si="34"/>
        <v>273.97444011333329</v>
      </c>
      <c r="N117" s="154">
        <f t="shared" si="34"/>
        <v>273.97444011333329</v>
      </c>
    </row>
    <row r="118" spans="6:14" ht="12" x14ac:dyDescent="0.2">
      <c r="F118" s="444"/>
      <c r="G118" s="41" t="str">
        <f>STRAT5_IND4</f>
        <v>Objetivo estratégico 5 Indicador 4</v>
      </c>
      <c r="H118" s="268" t="str">
        <f ca="1">OFFSET(Variables_Lu!$D$10,Basic_Setup!H61,0)</f>
        <v>Nutrition-specific</v>
      </c>
      <c r="I118" s="67">
        <f t="shared" si="34"/>
        <v>0</v>
      </c>
      <c r="J118" s="154">
        <f t="shared" si="34"/>
        <v>0</v>
      </c>
      <c r="K118" s="154">
        <f t="shared" si="34"/>
        <v>0</v>
      </c>
      <c r="L118" s="154">
        <f t="shared" si="34"/>
        <v>0</v>
      </c>
      <c r="M118" s="154">
        <f t="shared" si="34"/>
        <v>0</v>
      </c>
      <c r="N118" s="154">
        <f t="shared" si="34"/>
        <v>0</v>
      </c>
    </row>
    <row r="119" spans="6:14" ht="12.6" thickBot="1" x14ac:dyDescent="0.25">
      <c r="F119" s="445"/>
      <c r="G119" s="275" t="str">
        <f>STRAT5_IND5</f>
        <v>Objetivo estratégico 5 Indicador 5</v>
      </c>
      <c r="H119" s="270" t="str">
        <f ca="1">OFFSET(Variables_Lu!$D$10,Basic_Setup!H62,0)</f>
        <v>Nutrition-specific</v>
      </c>
      <c r="I119" s="67">
        <f t="shared" si="34"/>
        <v>0</v>
      </c>
      <c r="J119" s="154">
        <f t="shared" si="34"/>
        <v>0</v>
      </c>
      <c r="K119" s="154">
        <f t="shared" si="34"/>
        <v>0</v>
      </c>
      <c r="L119" s="154">
        <f t="shared" si="34"/>
        <v>0</v>
      </c>
      <c r="M119" s="154">
        <f t="shared" si="34"/>
        <v>0</v>
      </c>
      <c r="N119" s="154">
        <f t="shared" si="34"/>
        <v>0</v>
      </c>
    </row>
    <row r="120" spans="6:14" ht="12.6" thickBot="1" x14ac:dyDescent="0.25">
      <c r="H120" s="152" t="s">
        <v>111</v>
      </c>
      <c r="I120" s="122">
        <f t="shared" si="34"/>
        <v>4109.6166016999996</v>
      </c>
      <c r="J120" s="63">
        <f t="shared" si="34"/>
        <v>821.92332033999992</v>
      </c>
      <c r="K120" s="63">
        <f t="shared" si="34"/>
        <v>821.92332033999992</v>
      </c>
      <c r="L120" s="63">
        <f t="shared" si="34"/>
        <v>821.92332033999992</v>
      </c>
      <c r="M120" s="63">
        <f t="shared" si="34"/>
        <v>821.92332033999992</v>
      </c>
      <c r="N120" s="63">
        <f t="shared" si="34"/>
        <v>821.92332033999992</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67">
        <f t="shared" ref="I121:N130" si="35">I50/EXCHANGE_RATE</f>
        <v>0</v>
      </c>
      <c r="J121" s="154">
        <f t="shared" si="35"/>
        <v>0</v>
      </c>
      <c r="K121" s="154">
        <f t="shared" si="35"/>
        <v>0</v>
      </c>
      <c r="L121" s="154">
        <f t="shared" si="35"/>
        <v>0</v>
      </c>
      <c r="M121" s="154">
        <f t="shared" si="35"/>
        <v>0</v>
      </c>
      <c r="N121" s="154">
        <f t="shared" si="35"/>
        <v>0</v>
      </c>
    </row>
    <row r="122" spans="6:14" ht="12" x14ac:dyDescent="0.2">
      <c r="F122" s="444"/>
      <c r="G122" s="42" t="str">
        <f>STRAT6_IND2</f>
        <v>Objetivo estratégico 6 Indicador 2</v>
      </c>
      <c r="H122" s="268" t="str">
        <f ca="1">OFFSET(Variables_Lu!$D$10,Basic_Setup!H65,0)</f>
        <v>Nutrition-specific</v>
      </c>
      <c r="I122" s="67">
        <f t="shared" si="35"/>
        <v>0</v>
      </c>
      <c r="J122" s="154">
        <f t="shared" si="35"/>
        <v>0</v>
      </c>
      <c r="K122" s="154">
        <f t="shared" si="35"/>
        <v>0</v>
      </c>
      <c r="L122" s="154">
        <f t="shared" si="35"/>
        <v>0</v>
      </c>
      <c r="M122" s="154">
        <f t="shared" si="35"/>
        <v>0</v>
      </c>
      <c r="N122" s="154">
        <f t="shared" si="35"/>
        <v>0</v>
      </c>
    </row>
    <row r="123" spans="6:14" ht="12" x14ac:dyDescent="0.2">
      <c r="F123" s="444"/>
      <c r="G123" s="42" t="str">
        <f>STRAT6_IND3</f>
        <v>Objetivo estratégico 6 Indicador 3</v>
      </c>
      <c r="H123" s="268" t="str">
        <f ca="1">OFFSET(Variables_Lu!$D$10,Basic_Setup!H66,0)</f>
        <v>Nutrition-specific</v>
      </c>
      <c r="I123" s="67">
        <f t="shared" si="35"/>
        <v>0</v>
      </c>
      <c r="J123" s="154">
        <f t="shared" si="35"/>
        <v>0</v>
      </c>
      <c r="K123" s="154">
        <f t="shared" si="35"/>
        <v>0</v>
      </c>
      <c r="L123" s="154">
        <f t="shared" si="35"/>
        <v>0</v>
      </c>
      <c r="M123" s="154">
        <f t="shared" si="35"/>
        <v>0</v>
      </c>
      <c r="N123" s="154">
        <f t="shared" si="35"/>
        <v>0</v>
      </c>
    </row>
    <row r="124" spans="6:14" ht="12" x14ac:dyDescent="0.2">
      <c r="F124" s="444"/>
      <c r="G124" s="41" t="str">
        <f>STRAT6_IND4</f>
        <v>Objetivo estratégico 6 Indicador 4</v>
      </c>
      <c r="H124" s="268" t="str">
        <f ca="1">OFFSET(Variables_Lu!$D$10,Basic_Setup!H67,0)</f>
        <v>Nutrition-specific</v>
      </c>
      <c r="I124" s="67">
        <f t="shared" si="35"/>
        <v>0</v>
      </c>
      <c r="J124" s="154">
        <f t="shared" si="35"/>
        <v>0</v>
      </c>
      <c r="K124" s="154">
        <f t="shared" si="35"/>
        <v>0</v>
      </c>
      <c r="L124" s="154">
        <f t="shared" si="35"/>
        <v>0</v>
      </c>
      <c r="M124" s="154">
        <f t="shared" si="35"/>
        <v>0</v>
      </c>
      <c r="N124" s="154">
        <f t="shared" si="35"/>
        <v>0</v>
      </c>
    </row>
    <row r="125" spans="6:14" ht="12.6" thickBot="1" x14ac:dyDescent="0.25">
      <c r="F125" s="445"/>
      <c r="G125" s="275" t="str">
        <f>STRAT6_IND5</f>
        <v>Objetivo estratégico 6 Indicador 5</v>
      </c>
      <c r="H125" s="270" t="str">
        <f ca="1">OFFSET(Variables_Lu!$D$10,Basic_Setup!H68,0)</f>
        <v>Nutrition-specific</v>
      </c>
      <c r="I125" s="67">
        <f t="shared" si="35"/>
        <v>0</v>
      </c>
      <c r="J125" s="154">
        <f t="shared" si="35"/>
        <v>0</v>
      </c>
      <c r="K125" s="154">
        <f t="shared" si="35"/>
        <v>0</v>
      </c>
      <c r="L125" s="154">
        <f t="shared" si="35"/>
        <v>0</v>
      </c>
      <c r="M125" s="154">
        <f t="shared" si="35"/>
        <v>0</v>
      </c>
      <c r="N125" s="154">
        <f t="shared" si="35"/>
        <v>0</v>
      </c>
    </row>
    <row r="126" spans="6:14" ht="12.6" thickBot="1" x14ac:dyDescent="0.25">
      <c r="H126" s="152" t="s">
        <v>159</v>
      </c>
      <c r="I126" s="122">
        <f t="shared" si="35"/>
        <v>0</v>
      </c>
      <c r="J126" s="63">
        <f t="shared" si="35"/>
        <v>0</v>
      </c>
      <c r="K126" s="63">
        <f t="shared" si="35"/>
        <v>0</v>
      </c>
      <c r="L126" s="63">
        <f t="shared" si="35"/>
        <v>0</v>
      </c>
      <c r="M126" s="63">
        <f t="shared" si="35"/>
        <v>0</v>
      </c>
      <c r="N126" s="63">
        <f t="shared" si="35"/>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67">
        <f t="shared" si="35"/>
        <v>0</v>
      </c>
      <c r="J127" s="154">
        <f t="shared" si="35"/>
        <v>0</v>
      </c>
      <c r="K127" s="154">
        <f t="shared" si="35"/>
        <v>0</v>
      </c>
      <c r="L127" s="154">
        <f t="shared" si="35"/>
        <v>0</v>
      </c>
      <c r="M127" s="154">
        <f t="shared" si="35"/>
        <v>0</v>
      </c>
      <c r="N127" s="154">
        <f t="shared" si="35"/>
        <v>0</v>
      </c>
    </row>
    <row r="128" spans="6:14" ht="12" x14ac:dyDescent="0.2">
      <c r="F128" s="444"/>
      <c r="G128" s="42" t="str">
        <f>STRAT7_IND2</f>
        <v>Objetivo estratégico 7 Indicador 2</v>
      </c>
      <c r="H128" s="268" t="str">
        <f ca="1">OFFSET(Variables_Lu!$D$10,Basic_Setup!H71,0)</f>
        <v>Nutrition-specific</v>
      </c>
      <c r="I128" s="67">
        <f t="shared" si="35"/>
        <v>0</v>
      </c>
      <c r="J128" s="154">
        <f t="shared" si="35"/>
        <v>0</v>
      </c>
      <c r="K128" s="154">
        <f t="shared" si="35"/>
        <v>0</v>
      </c>
      <c r="L128" s="154">
        <f t="shared" si="35"/>
        <v>0</v>
      </c>
      <c r="M128" s="154">
        <f t="shared" si="35"/>
        <v>0</v>
      </c>
      <c r="N128" s="154">
        <f t="shared" si="35"/>
        <v>0</v>
      </c>
    </row>
    <row r="129" spans="6:14" ht="12" x14ac:dyDescent="0.2">
      <c r="F129" s="444"/>
      <c r="G129" s="42" t="str">
        <f>STRAT7_IND3</f>
        <v>Objetivo estratégico 7 Indicador 3</v>
      </c>
      <c r="H129" s="268" t="str">
        <f ca="1">OFFSET(Variables_Lu!$D$10,Basic_Setup!H72,0)</f>
        <v>Nutrition-specific</v>
      </c>
      <c r="I129" s="67">
        <f t="shared" si="35"/>
        <v>0</v>
      </c>
      <c r="J129" s="154">
        <f t="shared" si="35"/>
        <v>0</v>
      </c>
      <c r="K129" s="154">
        <f t="shared" si="35"/>
        <v>0</v>
      </c>
      <c r="L129" s="154">
        <f t="shared" si="35"/>
        <v>0</v>
      </c>
      <c r="M129" s="154">
        <f t="shared" si="35"/>
        <v>0</v>
      </c>
      <c r="N129" s="154">
        <f t="shared" si="35"/>
        <v>0</v>
      </c>
    </row>
    <row r="130" spans="6:14" ht="12" x14ac:dyDescent="0.2">
      <c r="F130" s="444"/>
      <c r="G130" s="41" t="str">
        <f>STRAT7_IND4</f>
        <v>Objetivo estratégico 7 Indicador 4</v>
      </c>
      <c r="H130" s="268" t="str">
        <f ca="1">OFFSET(Variables_Lu!$D$10,Basic_Setup!H73,0)</f>
        <v>Nutrition-specific</v>
      </c>
      <c r="I130" s="67">
        <f t="shared" si="35"/>
        <v>0</v>
      </c>
      <c r="J130" s="154">
        <f t="shared" si="35"/>
        <v>0</v>
      </c>
      <c r="K130" s="154">
        <f t="shared" si="35"/>
        <v>0</v>
      </c>
      <c r="L130" s="154">
        <f t="shared" si="35"/>
        <v>0</v>
      </c>
      <c r="M130" s="154">
        <f t="shared" si="35"/>
        <v>0</v>
      </c>
      <c r="N130" s="154">
        <f t="shared" si="35"/>
        <v>0</v>
      </c>
    </row>
    <row r="131" spans="6:14" ht="12.6" thickBot="1" x14ac:dyDescent="0.25">
      <c r="F131" s="445"/>
      <c r="G131" s="275" t="str">
        <f>STRAT7_IND5</f>
        <v>Objetivo estratégico 7 Indicador 5</v>
      </c>
      <c r="H131" s="270" t="str">
        <f ca="1">OFFSET(Variables_Lu!$D$10,Basic_Setup!H74,0)</f>
        <v>Nutrition-specific</v>
      </c>
      <c r="I131" s="67">
        <f t="shared" ref="I131:N140" si="36">I60/EXCHANGE_RATE</f>
        <v>0</v>
      </c>
      <c r="J131" s="154">
        <f t="shared" si="36"/>
        <v>0</v>
      </c>
      <c r="K131" s="154">
        <f t="shared" si="36"/>
        <v>0</v>
      </c>
      <c r="L131" s="154">
        <f t="shared" si="36"/>
        <v>0</v>
      </c>
      <c r="M131" s="154">
        <f t="shared" si="36"/>
        <v>0</v>
      </c>
      <c r="N131" s="154">
        <f t="shared" si="36"/>
        <v>0</v>
      </c>
    </row>
    <row r="132" spans="6:14" ht="12.6" thickBot="1" x14ac:dyDescent="0.25">
      <c r="H132" s="152" t="s">
        <v>160</v>
      </c>
      <c r="I132" s="122">
        <f t="shared" si="36"/>
        <v>0</v>
      </c>
      <c r="J132" s="63">
        <f t="shared" si="36"/>
        <v>0</v>
      </c>
      <c r="K132" s="63">
        <f t="shared" si="36"/>
        <v>0</v>
      </c>
      <c r="L132" s="63">
        <f t="shared" si="36"/>
        <v>0</v>
      </c>
      <c r="M132" s="63">
        <f t="shared" si="36"/>
        <v>0</v>
      </c>
      <c r="N132" s="63">
        <f t="shared" si="36"/>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67">
        <f t="shared" si="36"/>
        <v>0</v>
      </c>
      <c r="J133" s="154">
        <f t="shared" si="36"/>
        <v>0</v>
      </c>
      <c r="K133" s="154">
        <f t="shared" si="36"/>
        <v>0</v>
      </c>
      <c r="L133" s="154">
        <f t="shared" si="36"/>
        <v>0</v>
      </c>
      <c r="M133" s="154">
        <f t="shared" si="36"/>
        <v>0</v>
      </c>
      <c r="N133" s="154">
        <f t="shared" si="36"/>
        <v>0</v>
      </c>
    </row>
    <row r="134" spans="6:14" ht="12" x14ac:dyDescent="0.2">
      <c r="F134" s="444"/>
      <c r="G134" s="42" t="str">
        <f>STRAT8_IND2</f>
        <v>Objetivo estratégico 8 Indicador 2</v>
      </c>
      <c r="H134" s="268" t="str">
        <f ca="1">OFFSET(Variables_Lu!$D$10,Basic_Setup!H77,0)</f>
        <v>Nutrition-specific</v>
      </c>
      <c r="I134" s="67">
        <f t="shared" si="36"/>
        <v>0</v>
      </c>
      <c r="J134" s="154">
        <f t="shared" si="36"/>
        <v>0</v>
      </c>
      <c r="K134" s="154">
        <f t="shared" si="36"/>
        <v>0</v>
      </c>
      <c r="L134" s="154">
        <f t="shared" si="36"/>
        <v>0</v>
      </c>
      <c r="M134" s="154">
        <f t="shared" si="36"/>
        <v>0</v>
      </c>
      <c r="N134" s="154">
        <f t="shared" si="36"/>
        <v>0</v>
      </c>
    </row>
    <row r="135" spans="6:14" ht="12" x14ac:dyDescent="0.2">
      <c r="F135" s="444"/>
      <c r="G135" s="42" t="str">
        <f>STRAT8_IND3</f>
        <v>Objetivo estratégico 8 Indicador 3</v>
      </c>
      <c r="H135" s="268" t="str">
        <f ca="1">OFFSET(Variables_Lu!$D$10,Basic_Setup!H78,0)</f>
        <v>Nutrition-specific</v>
      </c>
      <c r="I135" s="67">
        <f t="shared" si="36"/>
        <v>0</v>
      </c>
      <c r="J135" s="154">
        <f t="shared" si="36"/>
        <v>0</v>
      </c>
      <c r="K135" s="154">
        <f t="shared" si="36"/>
        <v>0</v>
      </c>
      <c r="L135" s="154">
        <f t="shared" si="36"/>
        <v>0</v>
      </c>
      <c r="M135" s="154">
        <f t="shared" si="36"/>
        <v>0</v>
      </c>
      <c r="N135" s="154">
        <f t="shared" si="36"/>
        <v>0</v>
      </c>
    </row>
    <row r="136" spans="6:14" ht="12" x14ac:dyDescent="0.2">
      <c r="F136" s="444"/>
      <c r="G136" s="41" t="str">
        <f>STRAT8_IND4</f>
        <v>Objetivo estratégico 8 Indicador 4</v>
      </c>
      <c r="H136" s="268" t="str">
        <f ca="1">OFFSET(Variables_Lu!$D$10,Basic_Setup!H79,0)</f>
        <v>Nutrition-specific</v>
      </c>
      <c r="I136" s="67">
        <f t="shared" si="36"/>
        <v>0</v>
      </c>
      <c r="J136" s="154">
        <f t="shared" si="36"/>
        <v>0</v>
      </c>
      <c r="K136" s="154">
        <f t="shared" si="36"/>
        <v>0</v>
      </c>
      <c r="L136" s="154">
        <f t="shared" si="36"/>
        <v>0</v>
      </c>
      <c r="M136" s="154">
        <f t="shared" si="36"/>
        <v>0</v>
      </c>
      <c r="N136" s="154">
        <f t="shared" si="36"/>
        <v>0</v>
      </c>
    </row>
    <row r="137" spans="6:14" ht="12.6" thickBot="1" x14ac:dyDescent="0.25">
      <c r="F137" s="445"/>
      <c r="G137" s="275" t="str">
        <f>STRAT8_IND5</f>
        <v>Objetivo estratégico 8 Indicador 5</v>
      </c>
      <c r="H137" s="270" t="str">
        <f ca="1">OFFSET(Variables_Lu!$D$10,Basic_Setup!H80,0)</f>
        <v>Nutrition-specific</v>
      </c>
      <c r="I137" s="67">
        <f t="shared" si="36"/>
        <v>0</v>
      </c>
      <c r="J137" s="154">
        <f t="shared" si="36"/>
        <v>0</v>
      </c>
      <c r="K137" s="154">
        <f t="shared" si="36"/>
        <v>0</v>
      </c>
      <c r="L137" s="154">
        <f t="shared" si="36"/>
        <v>0</v>
      </c>
      <c r="M137" s="154">
        <f t="shared" si="36"/>
        <v>0</v>
      </c>
      <c r="N137" s="154">
        <f t="shared" si="36"/>
        <v>0</v>
      </c>
    </row>
    <row r="138" spans="6:14" ht="12.6" thickBot="1" x14ac:dyDescent="0.25">
      <c r="H138" s="152" t="s">
        <v>161</v>
      </c>
      <c r="I138" s="122">
        <f t="shared" si="36"/>
        <v>0</v>
      </c>
      <c r="J138" s="63">
        <f t="shared" si="36"/>
        <v>0</v>
      </c>
      <c r="K138" s="63">
        <f t="shared" si="36"/>
        <v>0</v>
      </c>
      <c r="L138" s="63">
        <f t="shared" si="36"/>
        <v>0</v>
      </c>
      <c r="M138" s="63">
        <f t="shared" si="36"/>
        <v>0</v>
      </c>
      <c r="N138" s="63">
        <f t="shared" si="36"/>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67">
        <f t="shared" si="36"/>
        <v>0</v>
      </c>
      <c r="J139" s="154">
        <f t="shared" si="36"/>
        <v>0</v>
      </c>
      <c r="K139" s="154">
        <f t="shared" si="36"/>
        <v>0</v>
      </c>
      <c r="L139" s="154">
        <f t="shared" si="36"/>
        <v>0</v>
      </c>
      <c r="M139" s="154">
        <f t="shared" si="36"/>
        <v>0</v>
      </c>
      <c r="N139" s="154">
        <f t="shared" si="36"/>
        <v>0</v>
      </c>
    </row>
    <row r="140" spans="6:14" ht="12" x14ac:dyDescent="0.2">
      <c r="F140" s="444"/>
      <c r="G140" s="42" t="str">
        <f>STRAT9_IND2</f>
        <v>Objetivo estratégico 9 Indicador 2</v>
      </c>
      <c r="H140" s="268" t="str">
        <f ca="1">OFFSET(Variables_Lu!$D$10,Basic_Setup!H83,0)</f>
        <v>Nutrition-specific</v>
      </c>
      <c r="I140" s="67">
        <f t="shared" si="36"/>
        <v>0</v>
      </c>
      <c r="J140" s="154">
        <f t="shared" si="36"/>
        <v>0</v>
      </c>
      <c r="K140" s="154">
        <f t="shared" si="36"/>
        <v>0</v>
      </c>
      <c r="L140" s="154">
        <f t="shared" si="36"/>
        <v>0</v>
      </c>
      <c r="M140" s="154">
        <f t="shared" si="36"/>
        <v>0</v>
      </c>
      <c r="N140" s="154">
        <f t="shared" si="36"/>
        <v>0</v>
      </c>
    </row>
    <row r="141" spans="6:14" ht="12" x14ac:dyDescent="0.2">
      <c r="F141" s="444"/>
      <c r="G141" s="42" t="str">
        <f>STRAT9_IND3</f>
        <v>Objetivo estratégico 9 Indicador 3</v>
      </c>
      <c r="H141" s="268" t="str">
        <f ca="1">OFFSET(Variables_Lu!$D$10,Basic_Setup!H84,0)</f>
        <v>Nutrition-specific</v>
      </c>
      <c r="I141" s="67">
        <f t="shared" ref="I141:N150" si="37">I70/EXCHANGE_RATE</f>
        <v>0</v>
      </c>
      <c r="J141" s="154">
        <f t="shared" si="37"/>
        <v>0</v>
      </c>
      <c r="K141" s="154">
        <f t="shared" si="37"/>
        <v>0</v>
      </c>
      <c r="L141" s="154">
        <f t="shared" si="37"/>
        <v>0</v>
      </c>
      <c r="M141" s="154">
        <f t="shared" si="37"/>
        <v>0</v>
      </c>
      <c r="N141" s="154">
        <f t="shared" si="37"/>
        <v>0</v>
      </c>
    </row>
    <row r="142" spans="6:14" ht="12" x14ac:dyDescent="0.2">
      <c r="F142" s="444"/>
      <c r="G142" s="41" t="str">
        <f>STRAT9_IND4</f>
        <v>Objetivo estratégico 9 Indicador 4</v>
      </c>
      <c r="H142" s="268" t="str">
        <f ca="1">OFFSET(Variables_Lu!$D$10,Basic_Setup!H85,0)</f>
        <v>Nutrition-specific</v>
      </c>
      <c r="I142" s="67">
        <f t="shared" si="37"/>
        <v>0</v>
      </c>
      <c r="J142" s="154">
        <f t="shared" si="37"/>
        <v>0</v>
      </c>
      <c r="K142" s="154">
        <f t="shared" si="37"/>
        <v>0</v>
      </c>
      <c r="L142" s="154">
        <f t="shared" si="37"/>
        <v>0</v>
      </c>
      <c r="M142" s="154">
        <f t="shared" si="37"/>
        <v>0</v>
      </c>
      <c r="N142" s="154">
        <f t="shared" si="37"/>
        <v>0</v>
      </c>
    </row>
    <row r="143" spans="6:14" ht="12.6" thickBot="1" x14ac:dyDescent="0.25">
      <c r="F143" s="445"/>
      <c r="G143" s="275" t="str">
        <f>STRAT9_IND5</f>
        <v>Objetivo estratégico 9 Indicador 5</v>
      </c>
      <c r="H143" s="270" t="str">
        <f ca="1">OFFSET(Variables_Lu!$D$10,Basic_Setup!H86,0)</f>
        <v>Nutrition-specific</v>
      </c>
      <c r="I143" s="67">
        <f t="shared" si="37"/>
        <v>0</v>
      </c>
      <c r="J143" s="154">
        <f t="shared" si="37"/>
        <v>0</v>
      </c>
      <c r="K143" s="154">
        <f t="shared" si="37"/>
        <v>0</v>
      </c>
      <c r="L143" s="154">
        <f t="shared" si="37"/>
        <v>0</v>
      </c>
      <c r="M143" s="154">
        <f t="shared" si="37"/>
        <v>0</v>
      </c>
      <c r="N143" s="154">
        <f t="shared" si="37"/>
        <v>0</v>
      </c>
    </row>
    <row r="144" spans="6:14" ht="12.6" thickBot="1" x14ac:dyDescent="0.25">
      <c r="H144" s="152" t="s">
        <v>162</v>
      </c>
      <c r="I144" s="122">
        <f t="shared" si="37"/>
        <v>0</v>
      </c>
      <c r="J144" s="63">
        <f t="shared" si="37"/>
        <v>0</v>
      </c>
      <c r="K144" s="63">
        <f t="shared" si="37"/>
        <v>0</v>
      </c>
      <c r="L144" s="63">
        <f t="shared" si="37"/>
        <v>0</v>
      </c>
      <c r="M144" s="63">
        <f t="shared" si="37"/>
        <v>0</v>
      </c>
      <c r="N144" s="63">
        <f t="shared" si="37"/>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67">
        <f t="shared" si="37"/>
        <v>0</v>
      </c>
      <c r="J145" s="154">
        <f t="shared" si="37"/>
        <v>0</v>
      </c>
      <c r="K145" s="154">
        <f t="shared" si="37"/>
        <v>0</v>
      </c>
      <c r="L145" s="154">
        <f t="shared" si="37"/>
        <v>0</v>
      </c>
      <c r="M145" s="154">
        <f t="shared" si="37"/>
        <v>0</v>
      </c>
      <c r="N145" s="154">
        <f t="shared" si="37"/>
        <v>0</v>
      </c>
    </row>
    <row r="146" spans="1:14" ht="12" x14ac:dyDescent="0.2">
      <c r="F146" s="444"/>
      <c r="G146" s="42" t="str">
        <f>STRAT10_IND2</f>
        <v>Objetivo estratégico 10 Indicador 2</v>
      </c>
      <c r="H146" s="268" t="str">
        <f ca="1">OFFSET(Variables_Lu!$D$10,Basic_Setup!H89,0)</f>
        <v>Nutrition-specific</v>
      </c>
      <c r="I146" s="67">
        <f t="shared" si="37"/>
        <v>0</v>
      </c>
      <c r="J146" s="154">
        <f t="shared" si="37"/>
        <v>0</v>
      </c>
      <c r="K146" s="154">
        <f t="shared" si="37"/>
        <v>0</v>
      </c>
      <c r="L146" s="154">
        <f t="shared" si="37"/>
        <v>0</v>
      </c>
      <c r="M146" s="154">
        <f t="shared" si="37"/>
        <v>0</v>
      </c>
      <c r="N146" s="154">
        <f t="shared" si="37"/>
        <v>0</v>
      </c>
    </row>
    <row r="147" spans="1:14" ht="12" x14ac:dyDescent="0.2">
      <c r="F147" s="444"/>
      <c r="G147" s="42" t="str">
        <f>STRAT10_IND3</f>
        <v>Objetivo estratégico 10 Indicador 3</v>
      </c>
      <c r="H147" s="268" t="str">
        <f ca="1">OFFSET(Variables_Lu!$D$10,Basic_Setup!H90,0)</f>
        <v>Nutrition-specific</v>
      </c>
      <c r="I147" s="67">
        <f t="shared" si="37"/>
        <v>0</v>
      </c>
      <c r="J147" s="154">
        <f t="shared" si="37"/>
        <v>0</v>
      </c>
      <c r="K147" s="154">
        <f t="shared" si="37"/>
        <v>0</v>
      </c>
      <c r="L147" s="154">
        <f t="shared" si="37"/>
        <v>0</v>
      </c>
      <c r="M147" s="154">
        <f t="shared" si="37"/>
        <v>0</v>
      </c>
      <c r="N147" s="154">
        <f t="shared" si="37"/>
        <v>0</v>
      </c>
    </row>
    <row r="148" spans="1:14" ht="12" x14ac:dyDescent="0.2">
      <c r="F148" s="444"/>
      <c r="G148" s="41" t="str">
        <f>STRAT10_IND4</f>
        <v>Objetivo estratégico 10 Indicador 4</v>
      </c>
      <c r="H148" s="268" t="str">
        <f ca="1">OFFSET(Variables_Lu!$D$10,Basic_Setup!H91,0)</f>
        <v>Nutrition-specific</v>
      </c>
      <c r="I148" s="67">
        <f t="shared" si="37"/>
        <v>0</v>
      </c>
      <c r="J148" s="154">
        <f t="shared" si="37"/>
        <v>0</v>
      </c>
      <c r="K148" s="154">
        <f t="shared" si="37"/>
        <v>0</v>
      </c>
      <c r="L148" s="154">
        <f t="shared" si="37"/>
        <v>0</v>
      </c>
      <c r="M148" s="154">
        <f t="shared" si="37"/>
        <v>0</v>
      </c>
      <c r="N148" s="154">
        <f t="shared" si="37"/>
        <v>0</v>
      </c>
    </row>
    <row r="149" spans="1:14" ht="12.6" thickBot="1" x14ac:dyDescent="0.25">
      <c r="F149" s="445"/>
      <c r="G149" s="275" t="str">
        <f>STRAT10_IND5</f>
        <v>Objetivo estratégico 10 Indicador 5</v>
      </c>
      <c r="H149" s="270" t="str">
        <f ca="1">OFFSET(Variables_Lu!$D$10,Basic_Setup!H92,0)</f>
        <v>Nutrition-specific</v>
      </c>
      <c r="I149" s="67">
        <f t="shared" si="37"/>
        <v>0</v>
      </c>
      <c r="J149" s="154">
        <f t="shared" si="37"/>
        <v>0</v>
      </c>
      <c r="K149" s="154">
        <f t="shared" si="37"/>
        <v>0</v>
      </c>
      <c r="L149" s="154">
        <f t="shared" si="37"/>
        <v>0</v>
      </c>
      <c r="M149" s="154">
        <f t="shared" si="37"/>
        <v>0</v>
      </c>
      <c r="N149" s="154">
        <f t="shared" si="37"/>
        <v>0</v>
      </c>
    </row>
    <row r="150" spans="1:14" ht="12" x14ac:dyDescent="0.2">
      <c r="H150" s="152" t="s">
        <v>163</v>
      </c>
      <c r="I150" s="122">
        <f t="shared" si="37"/>
        <v>0</v>
      </c>
      <c r="J150" s="63">
        <f t="shared" si="37"/>
        <v>0</v>
      </c>
      <c r="K150" s="63">
        <f t="shared" si="37"/>
        <v>0</v>
      </c>
      <c r="L150" s="63">
        <f t="shared" si="37"/>
        <v>0</v>
      </c>
      <c r="M150" s="63">
        <f t="shared" si="37"/>
        <v>0</v>
      </c>
      <c r="N150" s="63">
        <f t="shared" si="37"/>
        <v>0</v>
      </c>
    </row>
    <row r="151" spans="1:14" x14ac:dyDescent="0.2">
      <c r="I151" s="231"/>
      <c r="J151" s="231"/>
      <c r="K151" s="231"/>
      <c r="L151" s="231"/>
      <c r="M151" s="231"/>
      <c r="N151" s="231"/>
    </row>
    <row r="152" spans="1:14" ht="12.6" thickBot="1" x14ac:dyDescent="0.25">
      <c r="H152" s="149" t="str">
        <f>"TOTAL - "&amp;$F$12</f>
        <v>TOTAL - Ministerio de Desarrollo Municipal</v>
      </c>
      <c r="I152" s="65">
        <f t="shared" ref="I152:N152" si="38">I81/EXCHANGE_RATE</f>
        <v>354277.29324999999</v>
      </c>
      <c r="J152" s="65">
        <f t="shared" si="38"/>
        <v>70855.45865</v>
      </c>
      <c r="K152" s="65">
        <f t="shared" si="38"/>
        <v>70855.45865</v>
      </c>
      <c r="L152" s="65">
        <f t="shared" si="38"/>
        <v>70855.45865</v>
      </c>
      <c r="M152" s="65">
        <f t="shared" si="38"/>
        <v>70855.45865</v>
      </c>
      <c r="N152" s="65">
        <f t="shared" si="38"/>
        <v>70855.45865</v>
      </c>
    </row>
    <row r="153" spans="1:14" ht="12" x14ac:dyDescent="0.2">
      <c r="I153" s="149"/>
    </row>
    <row r="155" spans="1:14" x14ac:dyDescent="0.2">
      <c r="A155" s="39" t="s">
        <v>76</v>
      </c>
      <c r="B155" s="40" t="str">
        <f>"Summary of "&amp;Government8&amp;" - by Result/Indicator Type"</f>
        <v>Summary of Ministerio de Desarrollo Municipal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f ca="1">I159/$I$162</f>
        <v>0.58216666666666672</v>
      </c>
      <c r="I159" s="68">
        <f ca="1">SUM(J159:N159)</f>
        <v>371247175.59667504</v>
      </c>
      <c r="J159" s="325">
        <f t="shared" ref="J159:N161" ca="1" si="39">J166*EXCHANGE_RATE</f>
        <v>74249435.119335011</v>
      </c>
      <c r="K159" s="325">
        <f t="shared" ca="1" si="39"/>
        <v>74249435.119335011</v>
      </c>
      <c r="L159" s="325">
        <f t="shared" ca="1" si="39"/>
        <v>74249435.119335011</v>
      </c>
      <c r="M159" s="325">
        <f t="shared" ca="1" si="39"/>
        <v>74249435.119335011</v>
      </c>
      <c r="N159" s="325">
        <f t="shared" ca="1" si="39"/>
        <v>74249435.119335011</v>
      </c>
    </row>
    <row r="160" spans="1:14" ht="12" x14ac:dyDescent="0.2">
      <c r="F160" s="38" t="str">
        <f>Lu_Nutrition_Sensitive</f>
        <v>Nutrition-sensitive</v>
      </c>
      <c r="G160" s="38"/>
      <c r="H160" s="289">
        <f t="shared" ref="H160:H161" ca="1" si="40">I160/$I$162</f>
        <v>0.41623333333333329</v>
      </c>
      <c r="I160" s="69">
        <f ca="1">SUM(J160:N160)</f>
        <v>265431633.64876497</v>
      </c>
      <c r="J160" s="325">
        <f t="shared" ca="1" si="39"/>
        <v>53086326.729752995</v>
      </c>
      <c r="K160" s="325">
        <f t="shared" ca="1" si="39"/>
        <v>53086326.729752995</v>
      </c>
      <c r="L160" s="325">
        <f t="shared" ca="1" si="39"/>
        <v>53086326.729752995</v>
      </c>
      <c r="M160" s="325">
        <f t="shared" ca="1" si="39"/>
        <v>53086326.729752995</v>
      </c>
      <c r="N160" s="325">
        <f t="shared" ca="1" si="39"/>
        <v>53086326.729752995</v>
      </c>
    </row>
    <row r="161" spans="6:14" ht="12" x14ac:dyDescent="0.2">
      <c r="F161" s="38" t="str">
        <f>Lu_Governance</f>
        <v>Governance</v>
      </c>
      <c r="G161" s="38"/>
      <c r="H161" s="289">
        <f t="shared" ca="1" si="40"/>
        <v>1.5999999999999999E-3</v>
      </c>
      <c r="I161" s="69">
        <f ca="1">SUM(J161:N161)</f>
        <v>1020318.6045599999</v>
      </c>
      <c r="J161" s="325">
        <f t="shared" ca="1" si="39"/>
        <v>204063.72091199999</v>
      </c>
      <c r="K161" s="325">
        <f t="shared" ca="1" si="39"/>
        <v>204063.72091199999</v>
      </c>
      <c r="L161" s="325">
        <f t="shared" ca="1" si="39"/>
        <v>204063.72091199999</v>
      </c>
      <c r="M161" s="325">
        <f t="shared" ca="1" si="39"/>
        <v>204063.72091199999</v>
      </c>
      <c r="N161" s="325">
        <f t="shared" ca="1" si="39"/>
        <v>204063.72091199999</v>
      </c>
    </row>
    <row r="162" spans="6:14" ht="12" x14ac:dyDescent="0.2">
      <c r="F162" s="324" t="str">
        <f>"TOTAL - "&amp;Summary_Govt_Contributions!$F$12&amp;" ("&amp;CURR_LCU_ABBR&amp;")"</f>
        <v>TOTAL - TODAS las contribuciones de las agencias gubernamentales (GOZ)</v>
      </c>
      <c r="G162" s="74"/>
      <c r="H162" s="291">
        <f ca="1">SUM(H159:H161)</f>
        <v>1</v>
      </c>
      <c r="I162" s="57">
        <f ca="1">SUM(J162:N162)</f>
        <v>637699127.85000002</v>
      </c>
      <c r="J162" s="55">
        <f ca="1">SUM(J159:J161)</f>
        <v>127539825.57000001</v>
      </c>
      <c r="K162" s="55">
        <f t="shared" ref="K162:N162" ca="1" si="41">SUM(K159:K161)</f>
        <v>127539825.57000001</v>
      </c>
      <c r="L162" s="55">
        <f t="shared" ca="1" si="41"/>
        <v>127539825.57000001</v>
      </c>
      <c r="M162" s="55">
        <f t="shared" ca="1" si="41"/>
        <v>127539825.57000001</v>
      </c>
      <c r="N162" s="55">
        <f t="shared" ca="1" si="41"/>
        <v>127539825.57000001</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f ca="1">I166/$I$169</f>
        <v>0.5821666666666665</v>
      </c>
      <c r="I166" s="404">
        <f ca="1">SUM(J166:N166)</f>
        <v>206248.43088704167</v>
      </c>
      <c r="J166" s="405">
        <f ca="1">SUMIF($H$91:$H$149,Lu_Nutrition_Specific,J$91:J$149)</f>
        <v>41249.686177408337</v>
      </c>
      <c r="K166" s="405">
        <f ca="1">SUMIF($H$91:$H$149,Lu_Nutrition_Specific,K$91:K$149)</f>
        <v>41249.686177408337</v>
      </c>
      <c r="L166" s="405">
        <f ca="1">SUMIF($H$91:$H$149,Lu_Nutrition_Specific,L$91:L$149)</f>
        <v>41249.686177408337</v>
      </c>
      <c r="M166" s="405">
        <f ca="1">SUMIF($H$91:$H$149,Lu_Nutrition_Specific,M$91:M$149)</f>
        <v>41249.686177408337</v>
      </c>
      <c r="N166" s="405">
        <f ca="1">SUMIF($H$91:$H$149,Lu_Nutrition_Specific,N$91:N$149)</f>
        <v>41249.686177408337</v>
      </c>
    </row>
    <row r="167" spans="6:14" ht="12" x14ac:dyDescent="0.2">
      <c r="F167" t="str">
        <f>Lu_Nutrition_Sensitive</f>
        <v>Nutrition-sensitive</v>
      </c>
      <c r="H167" s="289">
        <f t="shared" ref="H167:H168" ca="1" si="42">I167/$I$169</f>
        <v>0.41623333333333318</v>
      </c>
      <c r="I167" s="404">
        <f t="shared" ref="I167:I168" ca="1" si="43">SUM(J167:N167)</f>
        <v>147462.01869375832</v>
      </c>
      <c r="J167" s="405">
        <f ca="1">SUMIF($H$91:$H$149,Lu_Nutrition_Sensitive,J$91:J$149)</f>
        <v>29492.403738751666</v>
      </c>
      <c r="K167" s="405">
        <f ca="1">SUMIF($H$91:$H$149,Lu_Nutrition_Sensitive,K$91:K$149)</f>
        <v>29492.403738751666</v>
      </c>
      <c r="L167" s="405">
        <f ca="1">SUMIF($H$91:$H$149,Lu_Nutrition_Sensitive,L$91:L$149)</f>
        <v>29492.403738751666</v>
      </c>
      <c r="M167" s="405">
        <f ca="1">SUMIF($H$91:$H$149,Lu_Nutrition_Sensitive,M$91:M$149)</f>
        <v>29492.403738751666</v>
      </c>
      <c r="N167" s="405">
        <f ca="1">SUMIF($H$91:$H$149,Lu_Nutrition_Sensitive,N$91:N$149)</f>
        <v>29492.403738751666</v>
      </c>
    </row>
    <row r="168" spans="6:14" ht="12" x14ac:dyDescent="0.2">
      <c r="F168" t="str">
        <f>Lu_Governance</f>
        <v>Governance</v>
      </c>
      <c r="H168" s="289">
        <f t="shared" ca="1" si="42"/>
        <v>1.5999999999999992E-3</v>
      </c>
      <c r="I168" s="404">
        <f t="shared" ca="1" si="43"/>
        <v>566.84366919999991</v>
      </c>
      <c r="J168" s="405">
        <f ca="1">SUMIF($H$91:$H$149,Lu_Governance,J$91:J$149)</f>
        <v>113.36873383999999</v>
      </c>
      <c r="K168" s="405">
        <f ca="1">SUMIF($H$91:$H$149,Lu_Governance,K$91:K$149)</f>
        <v>113.36873383999999</v>
      </c>
      <c r="L168" s="405">
        <f ca="1">SUMIF($H$91:$H$149,Lu_Governance,L$91:L$149)</f>
        <v>113.36873383999999</v>
      </c>
      <c r="M168" s="405">
        <f ca="1">SUMIF($H$91:$H$149,Lu_Governance,M$91:M$149)</f>
        <v>113.36873383999999</v>
      </c>
      <c r="N168" s="405">
        <f ca="1">SUMIF($H$91:$H$149,Lu_Governance,N$91:N$149)</f>
        <v>113.36873383999999</v>
      </c>
    </row>
    <row r="169" spans="6:14" ht="12" x14ac:dyDescent="0.2">
      <c r="F169" s="324" t="str">
        <f>"TOTAL - "&amp;Summary_Govt_Contributions!$F$12&amp;" ("&amp;CURR_INT_ABBR&amp;")"</f>
        <v>TOTAL - TODAS las contribuciones de las agencias gubernamentales (USD)</v>
      </c>
      <c r="G169" s="74"/>
      <c r="H169" s="291">
        <f ca="1">SUM(H166:H168)</f>
        <v>0.99999999999999978</v>
      </c>
      <c r="I169" s="295">
        <f ca="1">SUM(J169:N169)</f>
        <v>354277.2932500001</v>
      </c>
      <c r="J169" s="55">
        <f ca="1">SUM(J166:J168)</f>
        <v>70855.458650000015</v>
      </c>
      <c r="K169" s="55">
        <f t="shared" ref="K169:N169" ca="1" si="44">SUM(K166:K168)</f>
        <v>70855.458650000015</v>
      </c>
      <c r="L169" s="55">
        <f t="shared" ca="1" si="44"/>
        <v>70855.458650000015</v>
      </c>
      <c r="M169" s="55">
        <f t="shared" ca="1" si="44"/>
        <v>70855.458650000015</v>
      </c>
      <c r="N169" s="55">
        <f t="shared" ca="1" si="44"/>
        <v>70855.458650000015</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4 J74:N78 J26:N30 J32:N36 J38:N42 J50:N54 J56:N60 J62:N66 J68:N72 J145:N149 J139:N143 J127:N131 J133:N137 J115:N119 J109:N113 J103:N107 J121:N125 J91:N95 J97:N101 J44:N48" xr:uid="{00000000-0002-0000-1200-000000000000}">
      <formula1>NOT(ISERROR(J20/1))</formula1>
    </dataValidation>
  </dataValidations>
  <hyperlinks>
    <hyperlink ref="A4" r:id="rId1" tooltip="Go to Top of Sheet" xr:uid="{00000000-0004-0000-1200-000000000000}"/>
    <hyperlink ref="B4" location="HL_Sheet_Main_26" tooltip="Go to Previous Sheet" display="ç" xr:uid="{00000000-0004-0000-1200-000001000000}"/>
    <hyperlink ref="C4" location="HL_Sheet_Main_28" tooltip="Go to Next Sheet" display="è" xr:uid="{00000000-0004-0000-1200-000002000000}"/>
    <hyperlink ref="B3" location="HL_Home" tooltip="Go to Table of Contents" display="Go to Table of Contents" xr:uid="{00000000-0004-0000-1200-000003000000}"/>
    <hyperlink ref="A14" location="Summary_Govt_Contributions!B14" tooltip="Click to follow hyperlink." display="ð" xr:uid="{00000000-0004-0000-1200-000004000000}"/>
    <hyperlink ref="A155" location="Summary_Govt_Contributions!B14" tooltip="Click to follow hyperlink." display="ð" xr:uid="{00000000-0004-0000-1200-000005000000}"/>
  </hyperlinks>
  <pageMargins left="0.4" right="0.4" top="0.6" bottom="1" header="0" footer="0.3"/>
  <pageSetup orientation="landscape" r:id="rId2"/>
  <headerFooter>
    <oddFooter>&amp;L&amp;F
&amp;A
Printed: &amp;T on &amp;D&amp;C&amp;",Bold"Sheet 2.j.
Page &amp;P of &amp;N</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C00000"/>
    <outlinePr summaryBelow="0"/>
  </sheetPr>
  <dimension ref="A1:P39"/>
  <sheetViews>
    <sheetView showGridLines="0" showRowColHeaders="0" workbookViewId="0">
      <pane ySplit="40" topLeftCell="A56" activePane="bottomLeft" state="frozen"/>
      <selection pane="bottomLeft" activeCell="H24" sqref="H24:P24"/>
    </sheetView>
  </sheetViews>
  <sheetFormatPr defaultColWidth="11.75" defaultRowHeight="11.4" x14ac:dyDescent="0.2"/>
  <cols>
    <col min="1" max="2" width="3.75" customWidth="1"/>
    <col min="3" max="3" width="11.75" customWidth="1"/>
    <col min="4" max="4" width="3.875" bestFit="1" customWidth="1"/>
    <col min="5" max="5" width="11.75" customWidth="1"/>
    <col min="6" max="6" width="3" customWidth="1"/>
    <col min="7" max="7" width="11.75" customWidth="1"/>
    <col min="8" max="8" width="1.625" bestFit="1" customWidth="1"/>
  </cols>
  <sheetData>
    <row r="1" spans="1:16" ht="13.8" x14ac:dyDescent="0.2">
      <c r="B1" s="18" t="s">
        <v>0</v>
      </c>
    </row>
    <row r="2" spans="1:16" ht="13.2" x14ac:dyDescent="0.2">
      <c r="B2" s="5" t="str">
        <f>Model_Name</f>
        <v>Financial Gap Analysis Tool - País X (Datos de la muestra)</v>
      </c>
    </row>
    <row r="3" spans="1:16" x14ac:dyDescent="0.2">
      <c r="B3" s="422" t="s">
        <v>80</v>
      </c>
      <c r="C3" s="422"/>
      <c r="D3" s="422"/>
      <c r="E3" s="422"/>
      <c r="F3" s="422"/>
      <c r="G3" s="422"/>
      <c r="H3" s="422"/>
      <c r="I3" s="422"/>
    </row>
    <row r="4" spans="1:16" hidden="1" x14ac:dyDescent="0.2"/>
    <row r="6" spans="1:16" s="1" customFormat="1" x14ac:dyDescent="0.2">
      <c r="A6" s="6" t="s">
        <v>10</v>
      </c>
      <c r="B6" s="399" t="s">
        <v>81</v>
      </c>
    </row>
    <row r="8" spans="1:16" ht="12" customHeight="1" x14ac:dyDescent="0.2">
      <c r="B8" s="423">
        <v>1</v>
      </c>
      <c r="C8" s="423"/>
      <c r="D8" s="424" t="str">
        <f>Presentaciones!C9</f>
        <v>Presentaciones</v>
      </c>
      <c r="E8" s="424"/>
      <c r="F8" s="424"/>
      <c r="G8" s="424"/>
      <c r="H8" s="424"/>
      <c r="I8" s="424"/>
      <c r="J8" s="424"/>
      <c r="K8" s="424"/>
      <c r="L8" s="424"/>
      <c r="M8" s="424"/>
      <c r="N8" s="424"/>
      <c r="O8" s="424"/>
      <c r="P8" s="424"/>
    </row>
    <row r="9" spans="1:16" x14ac:dyDescent="0.2">
      <c r="F9" s="419" t="s">
        <v>25</v>
      </c>
      <c r="G9" s="419"/>
      <c r="H9" s="420" t="str">
        <f ca="1">'Acerca de'!B1</f>
        <v>Acerca de</v>
      </c>
      <c r="I9" s="420"/>
      <c r="J9" s="420"/>
      <c r="K9" s="420"/>
      <c r="L9" s="420"/>
      <c r="M9" s="420"/>
      <c r="N9" s="420"/>
      <c r="O9" s="420"/>
      <c r="P9" s="420"/>
    </row>
    <row r="10" spans="1:16" x14ac:dyDescent="0.2">
      <c r="F10" s="419" t="s">
        <v>71</v>
      </c>
      <c r="G10" s="419"/>
      <c r="H10" s="420" t="str">
        <f ca="1">Tablero!B1</f>
        <v>Tablero</v>
      </c>
      <c r="I10" s="420"/>
      <c r="J10" s="420"/>
      <c r="K10" s="420"/>
      <c r="L10" s="420"/>
      <c r="M10" s="420"/>
      <c r="N10" s="420"/>
      <c r="O10" s="420"/>
      <c r="P10" s="420"/>
    </row>
    <row r="11" spans="1:16" ht="12" customHeight="1" x14ac:dyDescent="0.2">
      <c r="B11" s="423">
        <v>2</v>
      </c>
      <c r="C11" s="423"/>
      <c r="D11" s="424" t="str">
        <f>Suposiciones!C9</f>
        <v>Suposiciones</v>
      </c>
      <c r="E11" s="424"/>
      <c r="F11" s="424"/>
      <c r="G11" s="424"/>
      <c r="H11" s="424"/>
      <c r="I11" s="424"/>
      <c r="J11" s="424"/>
      <c r="K11" s="424"/>
      <c r="L11" s="424"/>
      <c r="M11" s="424"/>
      <c r="N11" s="424"/>
      <c r="O11" s="424"/>
      <c r="P11" s="424"/>
    </row>
    <row r="12" spans="1:16" x14ac:dyDescent="0.2">
      <c r="F12" s="419" t="s">
        <v>25</v>
      </c>
      <c r="G12" s="419"/>
      <c r="H12" s="420" t="str">
        <f ca="1">Basic_Setup!B1</f>
        <v>Basic_Setup</v>
      </c>
      <c r="I12" s="420"/>
      <c r="J12" s="420"/>
      <c r="K12" s="420"/>
      <c r="L12" s="420"/>
      <c r="M12" s="420"/>
      <c r="N12" s="420"/>
      <c r="O12" s="420"/>
      <c r="P12" s="420"/>
    </row>
    <row r="13" spans="1:16" x14ac:dyDescent="0.2">
      <c r="F13" s="419" t="s">
        <v>71</v>
      </c>
      <c r="G13" s="419"/>
      <c r="H13" s="421" t="str">
        <f ca="1">'Financial Req'!B1</f>
        <v>Financial Req :Planned Contributions</v>
      </c>
      <c r="I13" s="421"/>
      <c r="J13" s="421"/>
      <c r="K13" s="421"/>
      <c r="L13" s="421"/>
      <c r="M13" s="421"/>
      <c r="N13" s="421"/>
      <c r="O13" s="421"/>
      <c r="P13" s="421"/>
    </row>
    <row r="14" spans="1:16" x14ac:dyDescent="0.2">
      <c r="F14" s="419" t="s">
        <v>78</v>
      </c>
      <c r="G14" s="419"/>
      <c r="H14" s="420" t="str">
        <f ca="1">Government1!B1</f>
        <v>Government1 :Planned Contributions</v>
      </c>
      <c r="I14" s="420"/>
      <c r="J14" s="420"/>
      <c r="K14" s="420"/>
      <c r="L14" s="420"/>
      <c r="M14" s="420"/>
      <c r="N14" s="420"/>
      <c r="O14" s="420"/>
      <c r="P14" s="420"/>
    </row>
    <row r="15" spans="1:16" x14ac:dyDescent="0.2">
      <c r="F15" s="419" t="s">
        <v>79</v>
      </c>
      <c r="G15" s="419"/>
      <c r="H15" s="420" t="str">
        <f ca="1">Government2!B1</f>
        <v>Government2 :Planned Contributions</v>
      </c>
      <c r="I15" s="420"/>
      <c r="J15" s="420"/>
      <c r="K15" s="420"/>
      <c r="L15" s="420"/>
      <c r="M15" s="420"/>
      <c r="N15" s="420"/>
      <c r="O15" s="420"/>
      <c r="P15" s="420"/>
    </row>
    <row r="16" spans="1:16" x14ac:dyDescent="0.2">
      <c r="F16" s="419" t="s">
        <v>147</v>
      </c>
      <c r="G16" s="419"/>
      <c r="H16" s="420" t="str">
        <f ca="1">Government3!B1</f>
        <v>Government3 :Planned Contributions</v>
      </c>
      <c r="I16" s="420"/>
      <c r="J16" s="420"/>
      <c r="K16" s="420"/>
      <c r="L16" s="420"/>
      <c r="M16" s="420"/>
      <c r="N16" s="420"/>
      <c r="O16" s="420"/>
      <c r="P16" s="420"/>
    </row>
    <row r="17" spans="6:16" x14ac:dyDescent="0.2">
      <c r="F17" s="419" t="s">
        <v>148</v>
      </c>
      <c r="G17" s="419"/>
      <c r="H17" s="420" t="str">
        <f ca="1">Government4!B1</f>
        <v>Government4 :Planned Contributions</v>
      </c>
      <c r="I17" s="420"/>
      <c r="J17" s="420"/>
      <c r="K17" s="420"/>
      <c r="L17" s="420"/>
      <c r="M17" s="420"/>
      <c r="N17" s="420"/>
      <c r="O17" s="420"/>
      <c r="P17" s="420"/>
    </row>
    <row r="18" spans="6:16" x14ac:dyDescent="0.2">
      <c r="F18" s="419" t="s">
        <v>149</v>
      </c>
      <c r="G18" s="419"/>
      <c r="H18" s="420" t="str">
        <f ca="1">Government5!B1</f>
        <v>Government5 :Planned Contributions</v>
      </c>
      <c r="I18" s="420"/>
      <c r="J18" s="420"/>
      <c r="K18" s="420"/>
      <c r="L18" s="420"/>
      <c r="M18" s="420"/>
      <c r="N18" s="420"/>
      <c r="O18" s="420"/>
      <c r="P18" s="420"/>
    </row>
    <row r="19" spans="6:16" x14ac:dyDescent="0.2">
      <c r="F19" s="419" t="s">
        <v>150</v>
      </c>
      <c r="G19" s="419"/>
      <c r="H19" s="420" t="str">
        <f ca="1">Government6!B1</f>
        <v>Government6 :Planned Contributions</v>
      </c>
      <c r="I19" s="420"/>
      <c r="J19" s="420"/>
      <c r="K19" s="420"/>
      <c r="L19" s="420"/>
      <c r="M19" s="420"/>
      <c r="N19" s="420"/>
      <c r="O19" s="420"/>
      <c r="P19" s="420"/>
    </row>
    <row r="20" spans="6:16" x14ac:dyDescent="0.2">
      <c r="F20" s="419" t="s">
        <v>151</v>
      </c>
      <c r="G20" s="419"/>
      <c r="H20" s="420" t="str">
        <f ca="1">Government7!B1</f>
        <v>Government7 :Planned Contributions</v>
      </c>
      <c r="I20" s="420"/>
      <c r="J20" s="420"/>
      <c r="K20" s="420"/>
      <c r="L20" s="420"/>
      <c r="M20" s="420"/>
      <c r="N20" s="420"/>
      <c r="O20" s="420"/>
      <c r="P20" s="420"/>
    </row>
    <row r="21" spans="6:16" x14ac:dyDescent="0.2">
      <c r="F21" s="419" t="s">
        <v>152</v>
      </c>
      <c r="G21" s="419"/>
      <c r="H21" s="420" t="str">
        <f ca="1">Government8!B1</f>
        <v>Government8 :Planned Contributions</v>
      </c>
      <c r="I21" s="420"/>
      <c r="J21" s="420"/>
      <c r="K21" s="420"/>
      <c r="L21" s="420"/>
      <c r="M21" s="420"/>
      <c r="N21" s="420"/>
      <c r="O21" s="420"/>
      <c r="P21" s="420"/>
    </row>
    <row r="22" spans="6:16" x14ac:dyDescent="0.2">
      <c r="F22" s="419" t="s">
        <v>153</v>
      </c>
      <c r="G22" s="419"/>
      <c r="H22" s="420" t="str">
        <f ca="1">Government9!B1</f>
        <v>Government9 :Planned Contributions</v>
      </c>
      <c r="I22" s="420"/>
      <c r="J22" s="420"/>
      <c r="K22" s="420"/>
      <c r="L22" s="420"/>
      <c r="M22" s="420"/>
      <c r="N22" s="420"/>
      <c r="O22" s="420"/>
      <c r="P22" s="420"/>
    </row>
    <row r="23" spans="6:16" x14ac:dyDescent="0.2">
      <c r="F23" s="419" t="s">
        <v>154</v>
      </c>
      <c r="G23" s="419"/>
      <c r="H23" s="420" t="str">
        <f ca="1">Government10!B1</f>
        <v>Government10 :Planned Contributions</v>
      </c>
      <c r="I23" s="420"/>
      <c r="J23" s="420"/>
      <c r="K23" s="420"/>
      <c r="L23" s="420"/>
      <c r="M23" s="420"/>
      <c r="N23" s="420"/>
      <c r="O23" s="420"/>
      <c r="P23" s="420"/>
    </row>
    <row r="24" spans="6:16" x14ac:dyDescent="0.2">
      <c r="F24" s="419" t="s">
        <v>155</v>
      </c>
      <c r="G24" s="419"/>
      <c r="H24" s="420" t="str">
        <f ca="1">Partner1!B1</f>
        <v>Partner1 :Planned Contributions</v>
      </c>
      <c r="I24" s="420"/>
      <c r="J24" s="420"/>
      <c r="K24" s="420"/>
      <c r="L24" s="420"/>
      <c r="M24" s="420"/>
      <c r="N24" s="420"/>
      <c r="O24" s="420"/>
      <c r="P24" s="420"/>
    </row>
    <row r="25" spans="6:16" x14ac:dyDescent="0.2">
      <c r="F25" s="419" t="s">
        <v>501</v>
      </c>
      <c r="G25" s="419"/>
      <c r="H25" s="420" t="str">
        <f ca="1">Partner2!B1</f>
        <v>Partner2 :Planned Contributions</v>
      </c>
      <c r="I25" s="420"/>
      <c r="J25" s="420"/>
      <c r="K25" s="420"/>
      <c r="L25" s="420"/>
      <c r="M25" s="420"/>
      <c r="N25" s="420"/>
      <c r="O25" s="420"/>
      <c r="P25" s="420"/>
    </row>
    <row r="26" spans="6:16" x14ac:dyDescent="0.2">
      <c r="F26" s="419" t="s">
        <v>502</v>
      </c>
      <c r="G26" s="419"/>
      <c r="H26" s="420" t="str">
        <f ca="1">Partner3!B1</f>
        <v>Partner3 :Planned Contributions</v>
      </c>
      <c r="I26" s="420"/>
      <c r="J26" s="420"/>
      <c r="K26" s="420"/>
      <c r="L26" s="420"/>
      <c r="M26" s="420"/>
      <c r="N26" s="420"/>
      <c r="O26" s="420"/>
      <c r="P26" s="420"/>
    </row>
    <row r="27" spans="6:16" x14ac:dyDescent="0.2">
      <c r="F27" s="419" t="s">
        <v>503</v>
      </c>
      <c r="G27" s="419"/>
      <c r="H27" s="420" t="str">
        <f ca="1">Partner4!B1</f>
        <v>Partner4 :Planned Contributions</v>
      </c>
      <c r="I27" s="420"/>
      <c r="J27" s="420"/>
      <c r="K27" s="420"/>
      <c r="L27" s="420"/>
      <c r="M27" s="420"/>
      <c r="N27" s="420"/>
      <c r="O27" s="420"/>
      <c r="P27" s="420"/>
    </row>
    <row r="28" spans="6:16" x14ac:dyDescent="0.2">
      <c r="F28" s="419" t="s">
        <v>504</v>
      </c>
      <c r="G28" s="419"/>
      <c r="H28" s="420" t="str">
        <f ca="1">Partner5!B1</f>
        <v>Partner5 :Planned Contributions</v>
      </c>
      <c r="I28" s="420"/>
      <c r="J28" s="420"/>
      <c r="K28" s="420"/>
      <c r="L28" s="420"/>
      <c r="M28" s="420"/>
      <c r="N28" s="420"/>
      <c r="O28" s="420"/>
      <c r="P28" s="420"/>
    </row>
    <row r="29" spans="6:16" x14ac:dyDescent="0.2">
      <c r="F29" s="419" t="s">
        <v>505</v>
      </c>
      <c r="G29" s="419"/>
      <c r="H29" s="420" t="str">
        <f ca="1">Partner6!B1</f>
        <v>Partner6 :Planned Contributions</v>
      </c>
      <c r="I29" s="420"/>
      <c r="J29" s="420"/>
      <c r="K29" s="420"/>
      <c r="L29" s="420"/>
      <c r="M29" s="420"/>
      <c r="N29" s="420"/>
      <c r="O29" s="420"/>
      <c r="P29" s="420"/>
    </row>
    <row r="30" spans="6:16" x14ac:dyDescent="0.2">
      <c r="F30" s="419" t="s">
        <v>506</v>
      </c>
      <c r="G30" s="419"/>
      <c r="H30" s="420" t="str">
        <f ca="1">Partner7!B1</f>
        <v>Partner7 :Planned Contributions</v>
      </c>
      <c r="I30" s="420"/>
      <c r="J30" s="420"/>
      <c r="K30" s="420"/>
      <c r="L30" s="420"/>
      <c r="M30" s="420"/>
      <c r="N30" s="420"/>
      <c r="O30" s="420"/>
      <c r="P30" s="420"/>
    </row>
    <row r="31" spans="6:16" x14ac:dyDescent="0.2">
      <c r="F31" s="419" t="s">
        <v>507</v>
      </c>
      <c r="G31" s="419"/>
      <c r="H31" s="420" t="str">
        <f ca="1">Partner8!B1</f>
        <v>Partner8 :Planned Contributions</v>
      </c>
      <c r="I31" s="420"/>
      <c r="J31" s="420"/>
      <c r="K31" s="420"/>
      <c r="L31" s="420"/>
      <c r="M31" s="420"/>
      <c r="N31" s="420"/>
      <c r="O31" s="420"/>
      <c r="P31" s="420"/>
    </row>
    <row r="32" spans="6:16" x14ac:dyDescent="0.2">
      <c r="F32" s="419" t="s">
        <v>508</v>
      </c>
      <c r="G32" s="419"/>
      <c r="H32" s="420" t="str">
        <f ca="1">Partner9!B1</f>
        <v>Partner9 :Planned Contributions</v>
      </c>
      <c r="I32" s="420"/>
      <c r="J32" s="420"/>
      <c r="K32" s="420"/>
      <c r="L32" s="420"/>
      <c r="M32" s="420"/>
      <c r="N32" s="420"/>
      <c r="O32" s="420"/>
      <c r="P32" s="420"/>
    </row>
    <row r="33" spans="2:16" x14ac:dyDescent="0.2">
      <c r="F33" s="419" t="s">
        <v>509</v>
      </c>
      <c r="G33" s="419"/>
      <c r="H33" s="420" t="str">
        <f ca="1">Partner10!B1</f>
        <v>Partner10 :Planned Contributions</v>
      </c>
      <c r="I33" s="420"/>
      <c r="J33" s="420"/>
      <c r="K33" s="420"/>
      <c r="L33" s="420"/>
      <c r="M33" s="420"/>
      <c r="N33" s="420"/>
      <c r="O33" s="420"/>
      <c r="P33" s="420"/>
    </row>
    <row r="34" spans="2:16" ht="12" customHeight="1" x14ac:dyDescent="0.2">
      <c r="B34" s="423">
        <v>3</v>
      </c>
      <c r="C34" s="423"/>
      <c r="D34" s="424" t="str">
        <f>Outputs!C9</f>
        <v>Resultados</v>
      </c>
      <c r="E34" s="424"/>
      <c r="F34" s="424"/>
      <c r="G34" s="424"/>
      <c r="H34" s="424"/>
      <c r="I34" s="424"/>
      <c r="J34" s="424"/>
      <c r="K34" s="424"/>
      <c r="L34" s="424"/>
      <c r="M34" s="424"/>
      <c r="N34" s="424"/>
      <c r="O34" s="424"/>
      <c r="P34" s="424"/>
    </row>
    <row r="35" spans="2:16" x14ac:dyDescent="0.2">
      <c r="F35" s="419" t="s">
        <v>25</v>
      </c>
      <c r="G35" s="419"/>
      <c r="H35" s="420" t="str">
        <f ca="1">Summary_Govt_Contributions!B1</f>
        <v>Summary_Govt_Contributions :Planned Contributions</v>
      </c>
      <c r="I35" s="420"/>
      <c r="J35" s="420"/>
      <c r="K35" s="420"/>
      <c r="L35" s="420"/>
      <c r="M35" s="420"/>
      <c r="N35" s="420"/>
      <c r="O35" s="420"/>
      <c r="P35" s="420"/>
    </row>
    <row r="36" spans="2:16" x14ac:dyDescent="0.2">
      <c r="F36" s="419" t="s">
        <v>71</v>
      </c>
      <c r="G36" s="419"/>
      <c r="H36" s="420" t="str">
        <f ca="1">Summary_Partner_Contributions!B1</f>
        <v>Summary_Partner_Contributions :Planned Contributions</v>
      </c>
      <c r="I36" s="420"/>
      <c r="J36" s="420"/>
      <c r="K36" s="420"/>
      <c r="L36" s="420"/>
      <c r="M36" s="420"/>
      <c r="N36" s="420"/>
      <c r="O36" s="420"/>
      <c r="P36" s="420"/>
    </row>
    <row r="37" spans="2:16" x14ac:dyDescent="0.2">
      <c r="F37" s="419" t="s">
        <v>78</v>
      </c>
      <c r="G37" s="419"/>
      <c r="H37" s="420" t="str">
        <f ca="1">Summary_Available_Funds!B1</f>
        <v>Summary_Available_Funds</v>
      </c>
      <c r="I37" s="420"/>
      <c r="J37" s="420"/>
      <c r="K37" s="420"/>
      <c r="L37" s="420"/>
      <c r="M37" s="420"/>
      <c r="N37" s="420"/>
      <c r="O37" s="420"/>
      <c r="P37" s="420"/>
    </row>
    <row r="38" spans="2:16" x14ac:dyDescent="0.2">
      <c r="F38" s="419" t="s">
        <v>79</v>
      </c>
      <c r="G38" s="419"/>
      <c r="H38" s="420" t="str">
        <f ca="1">Summary_Financial_Gaps!B1</f>
        <v>Summary_Financial_Gaps</v>
      </c>
      <c r="I38" s="420"/>
      <c r="J38" s="420"/>
      <c r="K38" s="420"/>
      <c r="L38" s="420"/>
      <c r="M38" s="420"/>
      <c r="N38" s="420"/>
      <c r="O38" s="420"/>
      <c r="P38" s="420"/>
    </row>
    <row r="39" spans="2:16" x14ac:dyDescent="0.2">
      <c r="F39" s="419" t="s">
        <v>147</v>
      </c>
      <c r="G39" s="419"/>
      <c r="H39" s="420" t="str">
        <f ca="1">Financial_Gap_Details!B1</f>
        <v>Financial_Gap_Details</v>
      </c>
      <c r="I39" s="420"/>
      <c r="J39" s="420"/>
      <c r="K39" s="420"/>
      <c r="L39" s="420"/>
      <c r="M39" s="420"/>
      <c r="N39" s="420"/>
      <c r="O39" s="420"/>
      <c r="P39" s="420"/>
    </row>
  </sheetData>
  <sheetProtection algorithmName="SHA-512" hashValue="PDygxrvtPtZBGc9k7B2Z5ZpfiluZfmUS09cG69pmAKLhlQz6AeJ5gDkErE3cBxbwjzXDyGdaGMsOCHMiwrGp7g==" saltValue="vL7JaZxC8RnDLoVnQDxPXQ==" spinCount="100000" sheet="1" objects="1" scenarios="1"/>
  <mergeCells count="65">
    <mergeCell ref="F39:G39"/>
    <mergeCell ref="H39:P39"/>
    <mergeCell ref="F36:G36"/>
    <mergeCell ref="H36:P36"/>
    <mergeCell ref="F37:G37"/>
    <mergeCell ref="H37:P37"/>
    <mergeCell ref="F38:G38"/>
    <mergeCell ref="H38:P38"/>
    <mergeCell ref="F33:G33"/>
    <mergeCell ref="H33:P33"/>
    <mergeCell ref="B34:C34"/>
    <mergeCell ref="D34:P34"/>
    <mergeCell ref="F35:G35"/>
    <mergeCell ref="H35:P35"/>
    <mergeCell ref="F16:G16"/>
    <mergeCell ref="H16:P16"/>
    <mergeCell ref="F17:G17"/>
    <mergeCell ref="H17:P17"/>
    <mergeCell ref="H18:P18"/>
    <mergeCell ref="F19:G19"/>
    <mergeCell ref="H19:P19"/>
    <mergeCell ref="F20:G20"/>
    <mergeCell ref="H20:P20"/>
    <mergeCell ref="B3:I3"/>
    <mergeCell ref="H9:P9"/>
    <mergeCell ref="F18:G18"/>
    <mergeCell ref="B8:C8"/>
    <mergeCell ref="D8:P8"/>
    <mergeCell ref="F9:G9"/>
    <mergeCell ref="F10:G10"/>
    <mergeCell ref="H10:P10"/>
    <mergeCell ref="B11:C11"/>
    <mergeCell ref="D11:P11"/>
    <mergeCell ref="F14:G14"/>
    <mergeCell ref="H14:P14"/>
    <mergeCell ref="F21:G21"/>
    <mergeCell ref="H21:P21"/>
    <mergeCell ref="F26:G26"/>
    <mergeCell ref="H26:P26"/>
    <mergeCell ref="F22:G22"/>
    <mergeCell ref="H22:P22"/>
    <mergeCell ref="F23:G23"/>
    <mergeCell ref="H23:P23"/>
    <mergeCell ref="F24:G24"/>
    <mergeCell ref="H24:P24"/>
    <mergeCell ref="F25:G25"/>
    <mergeCell ref="H25:P25"/>
    <mergeCell ref="F15:G15"/>
    <mergeCell ref="H15:P15"/>
    <mergeCell ref="F13:G13"/>
    <mergeCell ref="H13:P13"/>
    <mergeCell ref="F12:G12"/>
    <mergeCell ref="H12:P12"/>
    <mergeCell ref="F32:G32"/>
    <mergeCell ref="H32:P32"/>
    <mergeCell ref="F28:G28"/>
    <mergeCell ref="H28:P28"/>
    <mergeCell ref="F29:G29"/>
    <mergeCell ref="H29:P29"/>
    <mergeCell ref="F27:G27"/>
    <mergeCell ref="H27:P27"/>
    <mergeCell ref="F31:G31"/>
    <mergeCell ref="H31:P31"/>
    <mergeCell ref="F30:G30"/>
    <mergeCell ref="H30:P30"/>
  </mergeCells>
  <hyperlinks>
    <hyperlink ref="A6" r:id="rId1" tooltip="Go to Top of Sheet" xr:uid="{00000000-0004-0000-0100-000000000000}"/>
    <hyperlink ref="B8" location="HL_Sheet_Main_7" tooltip="Go to Presentations" display="HL_Sheet_Main_7" xr:uid="{00000000-0004-0000-0100-000001000000}"/>
    <hyperlink ref="D8" location="HL_Sheet_Main_7" tooltip="Go to Presentations" display="HL_Sheet_Main_7" xr:uid="{00000000-0004-0000-0100-000002000000}"/>
    <hyperlink ref="F9" location="HL_Sheet_Main_21" tooltip="Go to About" display="'a." xr:uid="{00000000-0004-0000-0100-000003000000}"/>
    <hyperlink ref="H9" location="HL_Sheet_Main_21" tooltip="Go to About" display="HL_Sheet_Main_21" xr:uid="{00000000-0004-0000-0100-000004000000}"/>
    <hyperlink ref="F10" location="Dashboard!HL_Sheet_Main_12" tooltip="Go to Dashboard" display="'b." xr:uid="{00000000-0004-0000-0100-000005000000}"/>
    <hyperlink ref="H10" location="Dashboard!HL_Sheet_Main_12" tooltip="Go to Dashboard" display="Dashboard!HL_Sheet_Main_12" xr:uid="{00000000-0004-0000-0100-000006000000}"/>
    <hyperlink ref="B11" location="HL_Sheet_Main_2" tooltip="Go to Assumptions" display="HL_Sheet_Main_2" xr:uid="{00000000-0004-0000-0100-000007000000}"/>
    <hyperlink ref="D11" location="HL_Sheet_Main_2" tooltip="Go to Assumptions" display="HL_Sheet_Main_2" xr:uid="{00000000-0004-0000-0100-000008000000}"/>
    <hyperlink ref="F12" location="HL_Sheet_Main_12" tooltip="Go to Basic_Setup" display="'a." xr:uid="{00000000-0004-0000-0100-000009000000}"/>
    <hyperlink ref="H12" location="HL_Sheet_Main_12" tooltip="Go to Basic_Setup" display="HL_Sheet_Main_12" xr:uid="{00000000-0004-0000-0100-00000A000000}"/>
    <hyperlink ref="F13" location="'Financial Req'!HL_Sheet_Main_13" tooltip="Go to Financial Req :Planned Contributions" display="'b." xr:uid="{00000000-0004-0000-0100-00000B000000}"/>
    <hyperlink ref="H13" location="'Financial Req'!HL_Sheet_Main_13" tooltip="Go to Financial Req :Planned Contributions" display="'Financial Req'!HL_Sheet_Main_13" xr:uid="{00000000-0004-0000-0100-00000C000000}"/>
    <hyperlink ref="F14" location="Government1!HL_Sheet_Main_13" tooltip="Go to Government1 :Planned Contributions" display="'c." xr:uid="{00000000-0004-0000-0100-00000D000000}"/>
    <hyperlink ref="H14" location="Government1!HL_Sheet_Main_13" tooltip="Go to Government1 :Planned Contributions" display="Government1!HL_Sheet_Main_13" xr:uid="{00000000-0004-0000-0100-00000E000000}"/>
    <hyperlink ref="F15" location="HL_Sheet_Main_17" tooltip="Go to Government2 :Planned Contributions" display="'d." xr:uid="{00000000-0004-0000-0100-00000F000000}"/>
    <hyperlink ref="H15" location="HL_Sheet_Main_17" tooltip="Go to Government2 :Planned Contributions" display="HL_Sheet_Main_17" xr:uid="{00000000-0004-0000-0100-000010000000}"/>
    <hyperlink ref="F16" location="HL_Sheet_Main_22" tooltip="Go to Government3 :Planned Contributions" display="'e." xr:uid="{00000000-0004-0000-0100-000011000000}"/>
    <hyperlink ref="H16" location="HL_Sheet_Main_22" tooltip="Go to Government3 :Planned Contributions" display="HL_Sheet_Main_22" xr:uid="{00000000-0004-0000-0100-000012000000}"/>
    <hyperlink ref="F17" location="HL_Sheet_Main_23" tooltip="Go to Government4 :Planned Contributions" display="'f." xr:uid="{00000000-0004-0000-0100-000013000000}"/>
    <hyperlink ref="H17" location="HL_Sheet_Main_23" tooltip="Go to Government4 :Planned Contributions" display="HL_Sheet_Main_23" xr:uid="{00000000-0004-0000-0100-000014000000}"/>
    <hyperlink ref="F18" location="HL_Sheet_Main_24" tooltip="Go to Government5 :Planned Contributions" display="'g." xr:uid="{00000000-0004-0000-0100-000015000000}"/>
    <hyperlink ref="H18" location="HL_Sheet_Main_24" tooltip="Go to Government5 :Planned Contributions" display="HL_Sheet_Main_24" xr:uid="{00000000-0004-0000-0100-000016000000}"/>
    <hyperlink ref="F19" location="HL_Sheet_Main_25" tooltip="Go to Government6 :Planned Contributions" display="'h." xr:uid="{00000000-0004-0000-0100-000017000000}"/>
    <hyperlink ref="H19" location="HL_Sheet_Main_25" tooltip="Go to Government6 :Planned Contributions" display="HL_Sheet_Main_25" xr:uid="{00000000-0004-0000-0100-000018000000}"/>
    <hyperlink ref="F20" location="HL_Sheet_Main_26" tooltip="Go to Government7 :Planned Contributions" display="'i." xr:uid="{00000000-0004-0000-0100-000019000000}"/>
    <hyperlink ref="H20" location="HL_Sheet_Main_26" tooltip="Go to Government7 :Planned Contributions" display="HL_Sheet_Main_26" xr:uid="{00000000-0004-0000-0100-00001A000000}"/>
    <hyperlink ref="F21" location="HL_Sheet_Main_27" tooltip="Go to Government8 :Planned Contributions" display="'j." xr:uid="{00000000-0004-0000-0100-00001B000000}"/>
    <hyperlink ref="H21" location="HL_Sheet_Main_27" tooltip="Go to Government8 :Planned Contributions" display="HL_Sheet_Main_27" xr:uid="{00000000-0004-0000-0100-00001C000000}"/>
    <hyperlink ref="F22" location="HL_Sheet_Main_28" tooltip="Go to Government9 :Planned Contributions" display="'k." xr:uid="{00000000-0004-0000-0100-00001D000000}"/>
    <hyperlink ref="H22" location="HL_Sheet_Main_28" tooltip="Go to Government9 :Planned Contributions" display="HL_Sheet_Main_28" xr:uid="{00000000-0004-0000-0100-00001E000000}"/>
    <hyperlink ref="F23" location="HL_Sheet_Main_29" tooltip="Go to Government10 :Planned Contributions" display="'l." xr:uid="{00000000-0004-0000-0100-00001F000000}"/>
    <hyperlink ref="H23" location="HL_Sheet_Main_29" tooltip="Go to Government10 :Planned Contributions" display="HL_Sheet_Main_29" xr:uid="{00000000-0004-0000-0100-000020000000}"/>
    <hyperlink ref="F24" location="HL_Sheet_Main_13" tooltip="Go to Partner1 :Planned Contributions" display="'m." xr:uid="{00000000-0004-0000-0100-000021000000}"/>
    <hyperlink ref="H24" location="HL_Sheet_Main_13" tooltip="Go to Partner1 :Planned Contributions" display="HL_Sheet_Main_13" xr:uid="{00000000-0004-0000-0100-000022000000}"/>
    <hyperlink ref="F25" location="Partner2!HL_Sheet_Main_13" tooltip="Go to Partner2 :Planned Contributions" display="'n." xr:uid="{00000000-0004-0000-0100-000023000000}"/>
    <hyperlink ref="H25" location="Partner2!HL_Sheet_Main_13" tooltip="Go to Partner2 :Planned Contributions" display="Partner2!HL_Sheet_Main_13" xr:uid="{00000000-0004-0000-0100-000024000000}"/>
    <hyperlink ref="F26" location="Partner3!HL_Sheet_Main_13" tooltip="Go to Partner3 :Planned Contributions" display="'o." xr:uid="{00000000-0004-0000-0100-000025000000}"/>
    <hyperlink ref="H26" location="Partner3!HL_Sheet_Main_13" tooltip="Go to Partner3 :Planned Contributions" display="Partner3!HL_Sheet_Main_13" xr:uid="{00000000-0004-0000-0100-000026000000}"/>
    <hyperlink ref="F27" location="Partner4!HL_Sheet_Main_13" tooltip="Go to Partner4 :Planned Contributions" display="'p." xr:uid="{00000000-0004-0000-0100-000027000000}"/>
    <hyperlink ref="H27" location="Partner4!HL_Sheet_Main_13" tooltip="Go to Partner4 :Planned Contributions" display="Partner4!HL_Sheet_Main_13" xr:uid="{00000000-0004-0000-0100-000028000000}"/>
    <hyperlink ref="F28" location="Partner5!HL_Sheet_Main_13" tooltip="Go to Partner5 :Planned Contributions" display="'q." xr:uid="{00000000-0004-0000-0100-000029000000}"/>
    <hyperlink ref="H28" location="Partner5!HL_Sheet_Main_13" tooltip="Go to Partner5 :Planned Contributions" display="Partner5!HL_Sheet_Main_13" xr:uid="{00000000-0004-0000-0100-00002A000000}"/>
    <hyperlink ref="F29" location="Partner6!HL_Sheet_Main_13" tooltip="Go to Partner6 :Planned Contributions" display="'r." xr:uid="{00000000-0004-0000-0100-00002B000000}"/>
    <hyperlink ref="H29" location="Partner6!HL_Sheet_Main_13" tooltip="Go to Partner6 :Planned Contributions" display="Partner6!HL_Sheet_Main_13" xr:uid="{00000000-0004-0000-0100-00002C000000}"/>
    <hyperlink ref="F30" location="Partner7!HL_Sheet_Main_13" tooltip="Go to Partner7 :Planned Contributions" display="'s." xr:uid="{00000000-0004-0000-0100-00002D000000}"/>
    <hyperlink ref="H30" location="Partner7!HL_Sheet_Main_13" tooltip="Go to Partner7 :Planned Contributions" display="Partner7!HL_Sheet_Main_13" xr:uid="{00000000-0004-0000-0100-00002E000000}"/>
    <hyperlink ref="F31" location="Partner8!HL_Sheet_Main_13" tooltip="Go to Partner8 :Planned Contributions" display="'t." xr:uid="{00000000-0004-0000-0100-00002F000000}"/>
    <hyperlink ref="H31" location="Partner8!HL_Sheet_Main_13" tooltip="Go to Partner8 :Planned Contributions" display="Partner8!HL_Sheet_Main_13" xr:uid="{00000000-0004-0000-0100-000030000000}"/>
    <hyperlink ref="F32" location="Partner9!HL_Sheet_Main_13" tooltip="Go to Partner9 :Planned Contributions" display="'u." xr:uid="{00000000-0004-0000-0100-000031000000}"/>
    <hyperlink ref="H32" location="Partner9!HL_Sheet_Main_13" tooltip="Go to Partner9 :Planned Contributions" display="Partner9!HL_Sheet_Main_13" xr:uid="{00000000-0004-0000-0100-000032000000}"/>
    <hyperlink ref="F33" location="Partner10!HL_Sheet_Main_13" tooltip="Go to Partner10 :Planned Contributions" display="'v." xr:uid="{00000000-0004-0000-0100-000033000000}"/>
    <hyperlink ref="H33" location="Partner10!HL_Sheet_Main_13" tooltip="Go to Partner10 :Planned Contributions" display="Partner10!HL_Sheet_Main_13" xr:uid="{00000000-0004-0000-0100-000034000000}"/>
    <hyperlink ref="B34" location="HL_Sheet_Main_3" tooltip="Go to Outputs" display="HL_Sheet_Main_3" xr:uid="{00000000-0004-0000-0100-000035000000}"/>
    <hyperlink ref="D34" location="HL_Sheet_Main_3" tooltip="Go to Outputs" display="HL_Sheet_Main_3" xr:uid="{00000000-0004-0000-0100-000036000000}"/>
    <hyperlink ref="F35" location="Summary_Govt_Contributions!HL_Sheet_Main_14" tooltip="Go to Summary_Govt_Contributions :Planned Contributions" display="'a." xr:uid="{00000000-0004-0000-0100-000037000000}"/>
    <hyperlink ref="H35" location="Summary_Govt_Contributions!HL_Sheet_Main_14" tooltip="Go to Summary_Govt_Contributions :Planned Contributions" display="Summary_Govt_Contributions!HL_Sheet_Main_14" xr:uid="{00000000-0004-0000-0100-000038000000}"/>
    <hyperlink ref="F36" location="HL_Sheet_Main_14" tooltip="Go to Summary_Partner_Contributions :Planned Contributions" display="'b." xr:uid="{00000000-0004-0000-0100-000039000000}"/>
    <hyperlink ref="H36" location="HL_Sheet_Main_14" tooltip="Go to Summary_Partner_Contributions :Planned Contributions" display="HL_Sheet_Main_14" xr:uid="{00000000-0004-0000-0100-00003A000000}"/>
    <hyperlink ref="F37" location="HL_Sheet_Main_15" tooltip="Go to Summary_Available_Funds" display="'c." xr:uid="{00000000-0004-0000-0100-00003B000000}"/>
    <hyperlink ref="H37" location="HL_Sheet_Main_15" tooltip="Go to Summary_Available_Funds" display="HL_Sheet_Main_15" xr:uid="{00000000-0004-0000-0100-00003C000000}"/>
    <hyperlink ref="F38" location="HL_Sheet_Main_16" tooltip="Go to Summary_Financial_Gaps" display="'d." xr:uid="{00000000-0004-0000-0100-00003D000000}"/>
    <hyperlink ref="H38" location="HL_Sheet_Main_16" tooltip="Go to Summary_Financial_Gaps" display="HL_Sheet_Main_16" xr:uid="{00000000-0004-0000-0100-00003E000000}"/>
    <hyperlink ref="F39" location="HL_Sheet_Main_18" tooltip="Go to Financial_Gap_Details" display="'e." xr:uid="{00000000-0004-0000-0100-00003F000000}"/>
    <hyperlink ref="H39" location="HL_Sheet_Main_18" tooltip="Go to Financial_Gap_Details" display="HL_Sheet_Main_18" xr:uid="{00000000-0004-0000-0100-000040000000}"/>
    <hyperlink ref="B3" location="'Cover'!A1" tooltip="Go to Cover Sheet" display="'Ir a la portada" xr:uid="{00000000-0004-0000-0100-000041000000}"/>
  </hyperlinks>
  <pageMargins left="0.4" right="0.4" top="0.6" bottom="1" header="0" footer="0.3"/>
  <pageSetup orientation="landscape"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N169"/>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2.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Government9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F12" s="276" t="str">
        <f>Government9</f>
        <v>[No está en uso]</v>
      </c>
      <c r="G12" s="60"/>
    </row>
    <row r="13" spans="1:14" s="38" customFormat="1" x14ac:dyDescent="0.2">
      <c r="G13"/>
    </row>
    <row r="14" spans="1:14" s="38" customFormat="1" x14ac:dyDescent="0.2">
      <c r="A14" s="39" t="s">
        <v>76</v>
      </c>
      <c r="B14" s="40" t="str">
        <f>"Planned Annual Contributions by "&amp;Government9&amp;" - by Strategic Objective and Result/Indicator"</f>
        <v>Planned Annual Contributions by [No está en uso]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253" t="s">
        <v>106</v>
      </c>
      <c r="J19" s="54" t="str">
        <f>CURR_LCU_ABBR</f>
        <v>GOZ</v>
      </c>
      <c r="K19" s="54" t="str">
        <f>CURR_LCU_ABBR</f>
        <v>GOZ</v>
      </c>
      <c r="L19" s="54" t="str">
        <f>CURR_LCU_ABBR</f>
        <v>GOZ</v>
      </c>
      <c r="M19" s="54" t="str">
        <f>CURR_LCU_ABBR</f>
        <v>GOZ</v>
      </c>
      <c r="N19" s="54" t="str">
        <f>CURR_LCU_ABBR</f>
        <v>GOZ</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262">
        <f>SUM(J20:N20)</f>
        <v>0</v>
      </c>
      <c r="J20" s="37"/>
      <c r="K20" s="37"/>
      <c r="L20" s="37"/>
      <c r="M20" s="37"/>
      <c r="N20" s="37"/>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262">
        <f t="shared" ref="I21:I24" si="2">SUM(J21:N21)</f>
        <v>0</v>
      </c>
      <c r="J21" s="37"/>
      <c r="K21" s="37"/>
      <c r="L21" s="37"/>
      <c r="M21" s="37"/>
      <c r="N21" s="37"/>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262">
        <f t="shared" si="2"/>
        <v>0</v>
      </c>
      <c r="J22" s="37"/>
      <c r="K22" s="37"/>
      <c r="L22" s="37"/>
      <c r="M22" s="37"/>
      <c r="N22" s="37"/>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262">
        <f t="shared" si="2"/>
        <v>0</v>
      </c>
      <c r="J23" s="37"/>
      <c r="K23" s="37"/>
      <c r="L23" s="37"/>
      <c r="M23" s="37"/>
      <c r="N23" s="37"/>
    </row>
    <row r="24" spans="6:14" s="38" customFormat="1" ht="12" x14ac:dyDescent="0.2">
      <c r="F24" s="448"/>
      <c r="G24" s="41" t="str">
        <f>STRAT1_IND5</f>
        <v>Objetivo estratégico 1 Indicador 5</v>
      </c>
      <c r="H24" s="260" t="str">
        <f ca="1">OFFSET(Variables_Lu!$D$10,Basic_Setup!H38,0)</f>
        <v>Governance</v>
      </c>
      <c r="I24" s="262">
        <f t="shared" si="2"/>
        <v>0</v>
      </c>
      <c r="J24" s="37"/>
      <c r="K24" s="37"/>
      <c r="L24" s="37"/>
      <c r="M24" s="37"/>
      <c r="N24" s="37"/>
    </row>
    <row r="25" spans="6:14" s="38" customFormat="1" ht="12" x14ac:dyDescent="0.2">
      <c r="H25" s="152" t="s">
        <v>107</v>
      </c>
      <c r="I25" s="265">
        <f>SUM(I20:I24)</f>
        <v>0</v>
      </c>
      <c r="J25" s="265">
        <f t="shared" ref="J25:N25" si="3">SUM(J20:J24)</f>
        <v>0</v>
      </c>
      <c r="K25" s="265">
        <f t="shared" si="3"/>
        <v>0</v>
      </c>
      <c r="L25" s="265">
        <f t="shared" si="3"/>
        <v>0</v>
      </c>
      <c r="M25" s="265">
        <f t="shared" si="3"/>
        <v>0</v>
      </c>
      <c r="N25" s="265">
        <f t="shared" si="3"/>
        <v>0</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262">
        <f>SUM(J26:N26)</f>
        <v>0</v>
      </c>
      <c r="J26" s="383"/>
      <c r="K26" s="383"/>
      <c r="L26" s="383"/>
      <c r="M26" s="383"/>
      <c r="N26" s="383"/>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262">
        <f t="shared" ref="I27:I30" si="4">SUM(J27:N27)</f>
        <v>0</v>
      </c>
      <c r="J27" s="383"/>
      <c r="K27" s="383"/>
      <c r="L27" s="383"/>
      <c r="M27" s="383"/>
      <c r="N27" s="383"/>
    </row>
    <row r="28" spans="6:14" s="38" customFormat="1" ht="22.8" x14ac:dyDescent="0.2">
      <c r="F28" s="447"/>
      <c r="G28" s="42" t="str">
        <f>STRAT2_IND3</f>
        <v>Se refuerzan las intervenciones comunitarias en materia de nutrición.</v>
      </c>
      <c r="H28" s="260" t="str">
        <f ca="1">OFFSET(Variables_Lu!$D$10,Basic_Setup!H42,0)</f>
        <v>Nutrition-specific</v>
      </c>
      <c r="I28" s="262">
        <f t="shared" si="4"/>
        <v>0</v>
      </c>
      <c r="J28" s="383"/>
      <c r="K28" s="383"/>
      <c r="L28" s="383"/>
      <c r="M28" s="383"/>
      <c r="N28" s="383"/>
    </row>
    <row r="29" spans="6:14" s="38" customFormat="1" ht="12" x14ac:dyDescent="0.2">
      <c r="F29" s="447"/>
      <c r="G29" s="41" t="str">
        <f>STRAT2_IND4</f>
        <v>Objetivo estratégico 2 Indicador 4</v>
      </c>
      <c r="H29" s="260" t="str">
        <f ca="1">OFFSET(Variables_Lu!$D$10,Basic_Setup!H43,0)</f>
        <v>Nutrition-specific</v>
      </c>
      <c r="I29" s="262">
        <f t="shared" si="4"/>
        <v>0</v>
      </c>
      <c r="J29" s="383"/>
      <c r="K29" s="383"/>
      <c r="L29" s="383"/>
      <c r="M29" s="383"/>
      <c r="N29" s="383"/>
    </row>
    <row r="30" spans="6:14" s="38" customFormat="1" ht="12" x14ac:dyDescent="0.2">
      <c r="F30" s="448"/>
      <c r="G30" s="41" t="str">
        <f>STRAT2_IND5</f>
        <v>Objetivo estratégico 2 Indicador 5</v>
      </c>
      <c r="H30" s="260" t="str">
        <f ca="1">OFFSET(Variables_Lu!$D$10,Basic_Setup!H44,0)</f>
        <v>Nutrition-specific</v>
      </c>
      <c r="I30" s="262">
        <f t="shared" si="4"/>
        <v>0</v>
      </c>
      <c r="J30" s="383"/>
      <c r="K30" s="383"/>
      <c r="L30" s="383"/>
      <c r="M30" s="383"/>
      <c r="N30" s="383"/>
    </row>
    <row r="31" spans="6:14" s="38" customFormat="1" ht="12" x14ac:dyDescent="0.2">
      <c r="H31" s="152" t="s">
        <v>108</v>
      </c>
      <c r="I31" s="265">
        <f>SUM(I26:I30)</f>
        <v>0</v>
      </c>
      <c r="J31" s="265">
        <f t="shared" ref="J31:N31" si="5">SUM(J26:J30)</f>
        <v>0</v>
      </c>
      <c r="K31" s="265">
        <f t="shared" si="5"/>
        <v>0</v>
      </c>
      <c r="L31" s="265">
        <f t="shared" si="5"/>
        <v>0</v>
      </c>
      <c r="M31" s="265">
        <f t="shared" si="5"/>
        <v>0</v>
      </c>
      <c r="N31" s="265">
        <f t="shared" si="5"/>
        <v>0</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262">
        <f>SUM(J32:N32)</f>
        <v>0</v>
      </c>
      <c r="J32" s="383"/>
      <c r="K32" s="383"/>
      <c r="L32" s="383"/>
      <c r="M32" s="383"/>
      <c r="N32" s="383"/>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262">
        <f t="shared" ref="I33:I36" si="6">SUM(J33:N33)</f>
        <v>0</v>
      </c>
      <c r="J33" s="383"/>
      <c r="K33" s="383"/>
      <c r="L33" s="383"/>
      <c r="M33" s="383"/>
      <c r="N33" s="383"/>
    </row>
    <row r="34" spans="6:14" s="38" customFormat="1" ht="12" x14ac:dyDescent="0.2">
      <c r="F34" s="447"/>
      <c r="G34" s="42" t="str">
        <f>STRAT3_IND3</f>
        <v>Objetivo estratégico 3 Indicador 3</v>
      </c>
      <c r="H34" s="260" t="str">
        <f ca="1">OFFSET(Variables_Lu!$D$10,Basic_Setup!H48,0)</f>
        <v>Nutrition-specific</v>
      </c>
      <c r="I34" s="262">
        <f t="shared" si="6"/>
        <v>0</v>
      </c>
      <c r="J34" s="383"/>
      <c r="K34" s="383"/>
      <c r="L34" s="383"/>
      <c r="M34" s="383"/>
      <c r="N34" s="383"/>
    </row>
    <row r="35" spans="6:14" s="38" customFormat="1" ht="12" x14ac:dyDescent="0.2">
      <c r="F35" s="447"/>
      <c r="G35" s="41" t="str">
        <f>STRAT3_IND4</f>
        <v>Objetivo estratégico 3 Indicador 4</v>
      </c>
      <c r="H35" s="260" t="str">
        <f ca="1">OFFSET(Variables_Lu!$D$10,Basic_Setup!H49,0)</f>
        <v>Nutrition-specific</v>
      </c>
      <c r="I35" s="262">
        <f t="shared" si="6"/>
        <v>0</v>
      </c>
      <c r="J35" s="383"/>
      <c r="K35" s="383"/>
      <c r="L35" s="383"/>
      <c r="M35" s="383"/>
      <c r="N35" s="383"/>
    </row>
    <row r="36" spans="6:14" s="38" customFormat="1" ht="12" x14ac:dyDescent="0.2">
      <c r="F36" s="448"/>
      <c r="G36" s="41" t="str">
        <f>STRAT3_IND5</f>
        <v>Objetivo estratégico 3 Indicador 5</v>
      </c>
      <c r="H36" s="260" t="str">
        <f ca="1">OFFSET(Variables_Lu!$D$10,Basic_Setup!H50,0)</f>
        <v>Nutrition-specific</v>
      </c>
      <c r="I36" s="262">
        <f t="shared" si="6"/>
        <v>0</v>
      </c>
      <c r="J36" s="383"/>
      <c r="K36" s="383"/>
      <c r="L36" s="383"/>
      <c r="M36" s="383"/>
      <c r="N36" s="383"/>
    </row>
    <row r="37" spans="6:14" ht="12" x14ac:dyDescent="0.2">
      <c r="H37" s="152" t="s">
        <v>109</v>
      </c>
      <c r="I37" s="265">
        <f>SUM(I32:I36)</f>
        <v>0</v>
      </c>
      <c r="J37" s="265">
        <f t="shared" ref="J37:N37" si="7">SUM(J32:J36)</f>
        <v>0</v>
      </c>
      <c r="K37" s="265">
        <f t="shared" si="7"/>
        <v>0</v>
      </c>
      <c r="L37" s="265">
        <f t="shared" si="7"/>
        <v>0</v>
      </c>
      <c r="M37" s="265">
        <f t="shared" si="7"/>
        <v>0</v>
      </c>
      <c r="N37" s="265">
        <f t="shared" si="7"/>
        <v>0</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262">
        <f>SUM(J38:N38)</f>
        <v>0</v>
      </c>
      <c r="J38" s="383"/>
      <c r="K38" s="383"/>
      <c r="L38" s="383"/>
      <c r="M38" s="383"/>
      <c r="N38" s="383"/>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262">
        <f t="shared" ref="I39:I42" si="8">SUM(J39:N39)</f>
        <v>0</v>
      </c>
      <c r="J39" s="383"/>
      <c r="K39" s="383"/>
      <c r="L39" s="383"/>
      <c r="M39" s="383"/>
      <c r="N39" s="383"/>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262">
        <f t="shared" si="8"/>
        <v>0</v>
      </c>
      <c r="J40" s="383"/>
      <c r="K40" s="383"/>
      <c r="L40" s="383"/>
      <c r="M40" s="383"/>
      <c r="N40" s="383"/>
    </row>
    <row r="41" spans="6:14" ht="12" x14ac:dyDescent="0.2">
      <c r="F41" s="447"/>
      <c r="G41" s="41" t="str">
        <f>STRAT4_IND4</f>
        <v>Objetivo estratégico 4 Indicador 4</v>
      </c>
      <c r="H41" s="260" t="str">
        <f ca="1">OFFSET(Variables_Lu!$D$10,Basic_Setup!H55,0)</f>
        <v>Nutrition-specific</v>
      </c>
      <c r="I41" s="262">
        <f t="shared" si="8"/>
        <v>0</v>
      </c>
      <c r="J41" s="383"/>
      <c r="K41" s="383"/>
      <c r="L41" s="383"/>
      <c r="M41" s="383"/>
      <c r="N41" s="383"/>
    </row>
    <row r="42" spans="6:14" ht="12" x14ac:dyDescent="0.2">
      <c r="F42" s="448"/>
      <c r="G42" s="41" t="str">
        <f>STRAT4_IND5</f>
        <v>Objetivo estratégico 4 Indicador 5</v>
      </c>
      <c r="H42" s="260" t="str">
        <f ca="1">OFFSET(Variables_Lu!$D$10,Basic_Setup!H56,0)</f>
        <v>Nutrition-specific</v>
      </c>
      <c r="I42" s="262">
        <f t="shared" si="8"/>
        <v>0</v>
      </c>
      <c r="J42" s="383"/>
      <c r="K42" s="383"/>
      <c r="L42" s="383"/>
      <c r="M42" s="383"/>
      <c r="N42" s="383"/>
    </row>
    <row r="43" spans="6:14" ht="12" x14ac:dyDescent="0.2">
      <c r="H43" s="152" t="s">
        <v>110</v>
      </c>
      <c r="I43" s="265">
        <f>SUM(I38:I42)</f>
        <v>0</v>
      </c>
      <c r="J43" s="265">
        <f t="shared" ref="J43:N43" si="9">SUM(J38:J42)</f>
        <v>0</v>
      </c>
      <c r="K43" s="265">
        <f t="shared" si="9"/>
        <v>0</v>
      </c>
      <c r="L43" s="265">
        <f t="shared" si="9"/>
        <v>0</v>
      </c>
      <c r="M43" s="265">
        <f t="shared" si="9"/>
        <v>0</v>
      </c>
      <c r="N43" s="265">
        <f t="shared" si="9"/>
        <v>0</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262">
        <f>SUM(J44:N44)</f>
        <v>0</v>
      </c>
      <c r="J44" s="37">
        <v>0</v>
      </c>
      <c r="K44" s="37">
        <v>0</v>
      </c>
      <c r="L44" s="37">
        <v>0</v>
      </c>
      <c r="M44" s="37">
        <v>0</v>
      </c>
      <c r="N44" s="37">
        <v>0</v>
      </c>
    </row>
    <row r="45" spans="6:14" ht="22.8" x14ac:dyDescent="0.2">
      <c r="F45" s="447"/>
      <c r="G45" s="42" t="str">
        <f>STRAT5_IND2</f>
        <v>Se promueven dietas saludables y estilos de vida saludables para las personas.</v>
      </c>
      <c r="H45" s="260" t="str">
        <f ca="1">OFFSET(Variables_Lu!$D$10,Basic_Setup!H59,0)</f>
        <v>Nutrition-specific</v>
      </c>
      <c r="I45" s="262">
        <f t="shared" ref="I45:I48" si="10">SUM(J45:N45)</f>
        <v>0</v>
      </c>
      <c r="J45" s="37">
        <v>0</v>
      </c>
      <c r="K45" s="37">
        <v>0</v>
      </c>
      <c r="L45" s="37">
        <v>0</v>
      </c>
      <c r="M45" s="37">
        <v>0</v>
      </c>
      <c r="N45" s="37">
        <v>0</v>
      </c>
    </row>
    <row r="46" spans="6:14" ht="22.8" x14ac:dyDescent="0.2">
      <c r="F46" s="447"/>
      <c r="G46" s="42" t="str">
        <f>STRAT5_IND3</f>
        <v>Se promueven las buenas prácticas WASH a nivel comunitario y doméstico</v>
      </c>
      <c r="H46" s="260" t="str">
        <f ca="1">OFFSET(Variables_Lu!$D$10,Basic_Setup!H60,0)</f>
        <v>Nutrition-sensitive</v>
      </c>
      <c r="I46" s="262">
        <f t="shared" si="10"/>
        <v>0</v>
      </c>
      <c r="J46" s="37">
        <v>0</v>
      </c>
      <c r="K46" s="37">
        <v>0</v>
      </c>
      <c r="L46" s="37">
        <v>0</v>
      </c>
      <c r="M46" s="37">
        <v>0</v>
      </c>
      <c r="N46" s="37">
        <v>0</v>
      </c>
    </row>
    <row r="47" spans="6:14" ht="12" x14ac:dyDescent="0.2">
      <c r="F47" s="447"/>
      <c r="G47" s="41" t="str">
        <f>STRAT5_IND4</f>
        <v>Objetivo estratégico 5 Indicador 4</v>
      </c>
      <c r="H47" s="260" t="str">
        <f ca="1">OFFSET(Variables_Lu!$D$10,Basic_Setup!H61,0)</f>
        <v>Nutrition-specific</v>
      </c>
      <c r="I47" s="262">
        <f t="shared" si="10"/>
        <v>0</v>
      </c>
      <c r="J47" s="37">
        <v>0</v>
      </c>
      <c r="K47" s="37">
        <v>0</v>
      </c>
      <c r="L47" s="37">
        <v>0</v>
      </c>
      <c r="M47" s="37">
        <v>0</v>
      </c>
      <c r="N47" s="37">
        <v>0</v>
      </c>
    </row>
    <row r="48" spans="6:14" ht="12" x14ac:dyDescent="0.2">
      <c r="F48" s="448"/>
      <c r="G48" s="41" t="str">
        <f>STRAT5_IND5</f>
        <v>Objetivo estratégico 5 Indicador 5</v>
      </c>
      <c r="H48" s="260" t="str">
        <f ca="1">OFFSET(Variables_Lu!$D$10,Basic_Setup!H62,0)</f>
        <v>Nutrition-specific</v>
      </c>
      <c r="I48" s="262">
        <f t="shared" si="10"/>
        <v>0</v>
      </c>
      <c r="J48" s="37">
        <v>0</v>
      </c>
      <c r="K48" s="37">
        <v>0</v>
      </c>
      <c r="L48" s="37">
        <v>0</v>
      </c>
      <c r="M48" s="37">
        <v>0</v>
      </c>
      <c r="N48" s="37">
        <v>0</v>
      </c>
    </row>
    <row r="49" spans="6:14" ht="12" x14ac:dyDescent="0.2">
      <c r="H49" s="152" t="s">
        <v>111</v>
      </c>
      <c r="I49" s="265">
        <f>SUM(I44:I48)</f>
        <v>0</v>
      </c>
      <c r="J49" s="265">
        <f t="shared" ref="J49:N49" si="11">SUM(J44:J48)</f>
        <v>0</v>
      </c>
      <c r="K49" s="265">
        <f t="shared" si="11"/>
        <v>0</v>
      </c>
      <c r="L49" s="265">
        <f t="shared" si="11"/>
        <v>0</v>
      </c>
      <c r="M49" s="265">
        <f t="shared" si="11"/>
        <v>0</v>
      </c>
      <c r="N49" s="265">
        <f t="shared" si="11"/>
        <v>0</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262">
        <f>SUM(J50:N50)</f>
        <v>0</v>
      </c>
      <c r="J50" s="37">
        <v>0</v>
      </c>
      <c r="K50" s="37">
        <v>0</v>
      </c>
      <c r="L50" s="37">
        <v>0</v>
      </c>
      <c r="M50" s="37">
        <v>0</v>
      </c>
      <c r="N50" s="37">
        <v>0</v>
      </c>
    </row>
    <row r="51" spans="6:14" ht="12" x14ac:dyDescent="0.2">
      <c r="F51" s="447"/>
      <c r="G51" s="42" t="str">
        <f>STRAT6_IND2</f>
        <v>Objetivo estratégico 6 Indicador 2</v>
      </c>
      <c r="H51" s="260" t="str">
        <f ca="1">OFFSET(Variables_Lu!$D$10,Basic_Setup!H65,0)</f>
        <v>Nutrition-specific</v>
      </c>
      <c r="I51" s="262">
        <f t="shared" ref="I51:I54" si="12">SUM(J51:N51)</f>
        <v>0</v>
      </c>
      <c r="J51" s="37">
        <v>0</v>
      </c>
      <c r="K51" s="37">
        <v>0</v>
      </c>
      <c r="L51" s="37">
        <v>0</v>
      </c>
      <c r="M51" s="37">
        <v>0</v>
      </c>
      <c r="N51" s="37">
        <v>0</v>
      </c>
    </row>
    <row r="52" spans="6:14" ht="12" x14ac:dyDescent="0.2">
      <c r="F52" s="447"/>
      <c r="G52" s="42" t="str">
        <f>STRAT6_IND3</f>
        <v>Objetivo estratégico 6 Indicador 3</v>
      </c>
      <c r="H52" s="260" t="str">
        <f ca="1">OFFSET(Variables_Lu!$D$10,Basic_Setup!H66,0)</f>
        <v>Nutrition-specific</v>
      </c>
      <c r="I52" s="262">
        <f t="shared" si="12"/>
        <v>0</v>
      </c>
      <c r="J52" s="37">
        <v>0</v>
      </c>
      <c r="K52" s="37">
        <v>0</v>
      </c>
      <c r="L52" s="37">
        <v>0</v>
      </c>
      <c r="M52" s="37">
        <v>0</v>
      </c>
      <c r="N52" s="37">
        <v>0</v>
      </c>
    </row>
    <row r="53" spans="6:14" ht="12" x14ac:dyDescent="0.2">
      <c r="F53" s="447"/>
      <c r="G53" s="41" t="str">
        <f>STRAT6_IND4</f>
        <v>Objetivo estratégico 6 Indicador 4</v>
      </c>
      <c r="H53" s="260" t="str">
        <f ca="1">OFFSET(Variables_Lu!$D$10,Basic_Setup!H67,0)</f>
        <v>Nutrition-specific</v>
      </c>
      <c r="I53" s="262">
        <f t="shared" si="12"/>
        <v>0</v>
      </c>
      <c r="J53" s="37">
        <v>0</v>
      </c>
      <c r="K53" s="37">
        <v>0</v>
      </c>
      <c r="L53" s="37">
        <v>0</v>
      </c>
      <c r="M53" s="37">
        <v>0</v>
      </c>
      <c r="N53" s="37">
        <v>0</v>
      </c>
    </row>
    <row r="54" spans="6:14" ht="12" x14ac:dyDescent="0.2">
      <c r="F54" s="448"/>
      <c r="G54" s="41" t="str">
        <f>STRAT6_IND5</f>
        <v>Objetivo estratégico 6 Indicador 5</v>
      </c>
      <c r="H54" s="260" t="str">
        <f ca="1">OFFSET(Variables_Lu!$D$10,Basic_Setup!H68,0)</f>
        <v>Nutrition-specific</v>
      </c>
      <c r="I54" s="262">
        <f t="shared" si="12"/>
        <v>0</v>
      </c>
      <c r="J54" s="37">
        <v>0</v>
      </c>
      <c r="K54" s="37">
        <v>0</v>
      </c>
      <c r="L54" s="37">
        <v>0</v>
      </c>
      <c r="M54" s="37">
        <v>0</v>
      </c>
      <c r="N54" s="37">
        <v>0</v>
      </c>
    </row>
    <row r="55" spans="6:14" ht="12" x14ac:dyDescent="0.2">
      <c r="H55" s="152" t="s">
        <v>159</v>
      </c>
      <c r="I55" s="265">
        <f>SUM(I50:I54)</f>
        <v>0</v>
      </c>
      <c r="J55" s="265">
        <f t="shared" ref="J55:N55" si="13">SUM(J50:J54)</f>
        <v>0</v>
      </c>
      <c r="K55" s="265">
        <f t="shared" si="13"/>
        <v>0</v>
      </c>
      <c r="L55" s="265">
        <f t="shared" si="13"/>
        <v>0</v>
      </c>
      <c r="M55" s="265">
        <f t="shared" si="13"/>
        <v>0</v>
      </c>
      <c r="N55" s="265">
        <f t="shared" si="13"/>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262">
        <f>SUM(J56:N56)</f>
        <v>0</v>
      </c>
      <c r="J56" s="37">
        <v>0</v>
      </c>
      <c r="K56" s="37">
        <v>0</v>
      </c>
      <c r="L56" s="37">
        <v>0</v>
      </c>
      <c r="M56" s="37">
        <v>0</v>
      </c>
      <c r="N56" s="37">
        <v>0</v>
      </c>
    </row>
    <row r="57" spans="6:14" ht="12" x14ac:dyDescent="0.2">
      <c r="F57" s="447"/>
      <c r="G57" s="42" t="str">
        <f>STRAT7_IND2</f>
        <v>Objetivo estratégico 7 Indicador 2</v>
      </c>
      <c r="H57" s="260" t="str">
        <f ca="1">OFFSET(Variables_Lu!$D$10,Basic_Setup!H71,0)</f>
        <v>Nutrition-specific</v>
      </c>
      <c r="I57" s="262">
        <f t="shared" ref="I57:I60" si="14">SUM(J57:N57)</f>
        <v>0</v>
      </c>
      <c r="J57" s="37">
        <v>0</v>
      </c>
      <c r="K57" s="37">
        <v>0</v>
      </c>
      <c r="L57" s="37">
        <v>0</v>
      </c>
      <c r="M57" s="37">
        <v>0</v>
      </c>
      <c r="N57" s="37">
        <v>0</v>
      </c>
    </row>
    <row r="58" spans="6:14" ht="12" x14ac:dyDescent="0.2">
      <c r="F58" s="447"/>
      <c r="G58" s="42" t="str">
        <f>STRAT7_IND3</f>
        <v>Objetivo estratégico 7 Indicador 3</v>
      </c>
      <c r="H58" s="260" t="str">
        <f ca="1">OFFSET(Variables_Lu!$D$10,Basic_Setup!H72,0)</f>
        <v>Nutrition-specific</v>
      </c>
      <c r="I58" s="262">
        <f t="shared" si="14"/>
        <v>0</v>
      </c>
      <c r="J58" s="37">
        <v>0</v>
      </c>
      <c r="K58" s="37">
        <v>0</v>
      </c>
      <c r="L58" s="37">
        <v>0</v>
      </c>
      <c r="M58" s="37">
        <v>0</v>
      </c>
      <c r="N58" s="37">
        <v>0</v>
      </c>
    </row>
    <row r="59" spans="6:14" ht="12" x14ac:dyDescent="0.2">
      <c r="F59" s="447"/>
      <c r="G59" s="41" t="str">
        <f>STRAT7_IND4</f>
        <v>Objetivo estratégico 7 Indicador 4</v>
      </c>
      <c r="H59" s="260" t="str">
        <f ca="1">OFFSET(Variables_Lu!$D$10,Basic_Setup!H73,0)</f>
        <v>Nutrition-specific</v>
      </c>
      <c r="I59" s="262">
        <f t="shared" si="14"/>
        <v>0</v>
      </c>
      <c r="J59" s="37">
        <v>0</v>
      </c>
      <c r="K59" s="37">
        <v>0</v>
      </c>
      <c r="L59" s="37">
        <v>0</v>
      </c>
      <c r="M59" s="37">
        <v>0</v>
      </c>
      <c r="N59" s="37">
        <v>0</v>
      </c>
    </row>
    <row r="60" spans="6:14" ht="12" x14ac:dyDescent="0.2">
      <c r="F60" s="448"/>
      <c r="G60" s="41" t="str">
        <f>STRAT7_IND5</f>
        <v>Objetivo estratégico 7 Indicador 5</v>
      </c>
      <c r="H60" s="260" t="str">
        <f ca="1">OFFSET(Variables_Lu!$D$10,Basic_Setup!H74,0)</f>
        <v>Nutrition-specific</v>
      </c>
      <c r="I60" s="262">
        <f t="shared" si="14"/>
        <v>0</v>
      </c>
      <c r="J60" s="37">
        <v>0</v>
      </c>
      <c r="K60" s="37">
        <v>0</v>
      </c>
      <c r="L60" s="37">
        <v>0</v>
      </c>
      <c r="M60" s="37">
        <v>0</v>
      </c>
      <c r="N60" s="37">
        <v>0</v>
      </c>
    </row>
    <row r="61" spans="6:14" ht="12" x14ac:dyDescent="0.2">
      <c r="H61" s="152" t="s">
        <v>160</v>
      </c>
      <c r="I61" s="265">
        <f>SUM(I56:I60)</f>
        <v>0</v>
      </c>
      <c r="J61" s="265">
        <f t="shared" ref="J61:N61" si="15">SUM(J56:J60)</f>
        <v>0</v>
      </c>
      <c r="K61" s="265">
        <f t="shared" si="15"/>
        <v>0</v>
      </c>
      <c r="L61" s="265">
        <f t="shared" si="15"/>
        <v>0</v>
      </c>
      <c r="M61" s="265">
        <f t="shared" si="15"/>
        <v>0</v>
      </c>
      <c r="N61" s="265">
        <f t="shared" si="15"/>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262">
        <f>SUM(J62:N62)</f>
        <v>0</v>
      </c>
      <c r="J62" s="37">
        <v>0</v>
      </c>
      <c r="K62" s="37">
        <v>0</v>
      </c>
      <c r="L62" s="37">
        <v>0</v>
      </c>
      <c r="M62" s="37">
        <v>0</v>
      </c>
      <c r="N62" s="37">
        <v>0</v>
      </c>
    </row>
    <row r="63" spans="6:14" ht="12" x14ac:dyDescent="0.2">
      <c r="F63" s="447"/>
      <c r="G63" s="42" t="str">
        <f>STRAT8_IND2</f>
        <v>Objetivo estratégico 8 Indicador 2</v>
      </c>
      <c r="H63" s="260" t="str">
        <f ca="1">OFFSET(Variables_Lu!$D$10,Basic_Setup!H77,0)</f>
        <v>Nutrition-specific</v>
      </c>
      <c r="I63" s="262">
        <f t="shared" ref="I63:I66" si="16">SUM(J63:N63)</f>
        <v>0</v>
      </c>
      <c r="J63" s="37">
        <v>0</v>
      </c>
      <c r="K63" s="37">
        <v>0</v>
      </c>
      <c r="L63" s="37">
        <v>0</v>
      </c>
      <c r="M63" s="37">
        <v>0</v>
      </c>
      <c r="N63" s="37">
        <v>0</v>
      </c>
    </row>
    <row r="64" spans="6:14" ht="12" x14ac:dyDescent="0.2">
      <c r="F64" s="447"/>
      <c r="G64" s="42" t="str">
        <f>STRAT8_IND3</f>
        <v>Objetivo estratégico 8 Indicador 3</v>
      </c>
      <c r="H64" s="260" t="str">
        <f ca="1">OFFSET(Variables_Lu!$D$10,Basic_Setup!H78,0)</f>
        <v>Nutrition-specific</v>
      </c>
      <c r="I64" s="262">
        <f t="shared" si="16"/>
        <v>0</v>
      </c>
      <c r="J64" s="37">
        <v>0</v>
      </c>
      <c r="K64" s="37">
        <v>0</v>
      </c>
      <c r="L64" s="37">
        <v>0</v>
      </c>
      <c r="M64" s="37">
        <v>0</v>
      </c>
      <c r="N64" s="37">
        <v>0</v>
      </c>
    </row>
    <row r="65" spans="6:14" ht="12" x14ac:dyDescent="0.2">
      <c r="F65" s="447"/>
      <c r="G65" s="41" t="str">
        <f>STRAT8_IND4</f>
        <v>Objetivo estratégico 8 Indicador 4</v>
      </c>
      <c r="H65" s="260" t="str">
        <f ca="1">OFFSET(Variables_Lu!$D$10,Basic_Setup!H79,0)</f>
        <v>Nutrition-specific</v>
      </c>
      <c r="I65" s="262">
        <f t="shared" si="16"/>
        <v>0</v>
      </c>
      <c r="J65" s="37">
        <v>0</v>
      </c>
      <c r="K65" s="37">
        <v>0</v>
      </c>
      <c r="L65" s="37">
        <v>0</v>
      </c>
      <c r="M65" s="37">
        <v>0</v>
      </c>
      <c r="N65" s="37">
        <v>0</v>
      </c>
    </row>
    <row r="66" spans="6:14" ht="12" x14ac:dyDescent="0.2">
      <c r="F66" s="448"/>
      <c r="G66" s="41" t="str">
        <f>STRAT8_IND5</f>
        <v>Objetivo estratégico 8 Indicador 5</v>
      </c>
      <c r="H66" s="260" t="str">
        <f ca="1">OFFSET(Variables_Lu!$D$10,Basic_Setup!H80,0)</f>
        <v>Nutrition-specific</v>
      </c>
      <c r="I66" s="262">
        <f t="shared" si="16"/>
        <v>0</v>
      </c>
      <c r="J66" s="37">
        <v>0</v>
      </c>
      <c r="K66" s="37">
        <v>0</v>
      </c>
      <c r="L66" s="37">
        <v>0</v>
      </c>
      <c r="M66" s="37">
        <v>0</v>
      </c>
      <c r="N66" s="37">
        <v>0</v>
      </c>
    </row>
    <row r="67" spans="6:14" ht="12" x14ac:dyDescent="0.2">
      <c r="H67" s="152" t="s">
        <v>161</v>
      </c>
      <c r="I67" s="265">
        <f>SUM(I62:I66)</f>
        <v>0</v>
      </c>
      <c r="J67" s="265">
        <f t="shared" ref="J67:N67" si="17">SUM(J62:J66)</f>
        <v>0</v>
      </c>
      <c r="K67" s="265">
        <f t="shared" si="17"/>
        <v>0</v>
      </c>
      <c r="L67" s="265">
        <f t="shared" si="17"/>
        <v>0</v>
      </c>
      <c r="M67" s="265">
        <f t="shared" si="17"/>
        <v>0</v>
      </c>
      <c r="N67" s="265">
        <f t="shared" si="17"/>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262">
        <f>SUM(J68:N68)</f>
        <v>0</v>
      </c>
      <c r="J68" s="37">
        <v>0</v>
      </c>
      <c r="K68" s="37">
        <v>0</v>
      </c>
      <c r="L68" s="37">
        <v>0</v>
      </c>
      <c r="M68" s="37">
        <v>0</v>
      </c>
      <c r="N68" s="37">
        <v>0</v>
      </c>
    </row>
    <row r="69" spans="6:14" ht="12" x14ac:dyDescent="0.2">
      <c r="F69" s="447"/>
      <c r="G69" s="42" t="str">
        <f>STRAT9_IND2</f>
        <v>Objetivo estratégico 9 Indicador 2</v>
      </c>
      <c r="H69" s="260" t="str">
        <f ca="1">OFFSET(Variables_Lu!$D$10,Basic_Setup!H83,0)</f>
        <v>Nutrition-specific</v>
      </c>
      <c r="I69" s="262">
        <f t="shared" ref="I69:I72" si="18">SUM(J69:N69)</f>
        <v>0</v>
      </c>
      <c r="J69" s="37">
        <v>0</v>
      </c>
      <c r="K69" s="37">
        <v>0</v>
      </c>
      <c r="L69" s="37">
        <v>0</v>
      </c>
      <c r="M69" s="37">
        <v>0</v>
      </c>
      <c r="N69" s="37">
        <v>0</v>
      </c>
    </row>
    <row r="70" spans="6:14" ht="12" x14ac:dyDescent="0.2">
      <c r="F70" s="447"/>
      <c r="G70" s="42" t="str">
        <f>STRAT9_IND3</f>
        <v>Objetivo estratégico 9 Indicador 3</v>
      </c>
      <c r="H70" s="260" t="str">
        <f ca="1">OFFSET(Variables_Lu!$D$10,Basic_Setup!H84,0)</f>
        <v>Nutrition-specific</v>
      </c>
      <c r="I70" s="262">
        <f t="shared" si="18"/>
        <v>0</v>
      </c>
      <c r="J70" s="37">
        <v>0</v>
      </c>
      <c r="K70" s="37">
        <v>0</v>
      </c>
      <c r="L70" s="37">
        <v>0</v>
      </c>
      <c r="M70" s="37">
        <v>0</v>
      </c>
      <c r="N70" s="37">
        <v>0</v>
      </c>
    </row>
    <row r="71" spans="6:14" ht="12" x14ac:dyDescent="0.2">
      <c r="F71" s="447"/>
      <c r="G71" s="41" t="str">
        <f>STRAT9_IND4</f>
        <v>Objetivo estratégico 9 Indicador 4</v>
      </c>
      <c r="H71" s="260" t="str">
        <f ca="1">OFFSET(Variables_Lu!$D$10,Basic_Setup!H85,0)</f>
        <v>Nutrition-specific</v>
      </c>
      <c r="I71" s="262">
        <f t="shared" si="18"/>
        <v>0</v>
      </c>
      <c r="J71" s="37">
        <v>0</v>
      </c>
      <c r="K71" s="37">
        <v>0</v>
      </c>
      <c r="L71" s="37">
        <v>0</v>
      </c>
      <c r="M71" s="37">
        <v>0</v>
      </c>
      <c r="N71" s="37">
        <v>0</v>
      </c>
    </row>
    <row r="72" spans="6:14" ht="12" x14ac:dyDescent="0.2">
      <c r="F72" s="448"/>
      <c r="G72" s="41" t="str">
        <f>STRAT9_IND5</f>
        <v>Objetivo estratégico 9 Indicador 5</v>
      </c>
      <c r="H72" s="260" t="str">
        <f ca="1">OFFSET(Variables_Lu!$D$10,Basic_Setup!H86,0)</f>
        <v>Nutrition-specific</v>
      </c>
      <c r="I72" s="262">
        <f t="shared" si="18"/>
        <v>0</v>
      </c>
      <c r="J72" s="37">
        <v>0</v>
      </c>
      <c r="K72" s="37">
        <v>0</v>
      </c>
      <c r="L72" s="37">
        <v>0</v>
      </c>
      <c r="M72" s="37">
        <v>0</v>
      </c>
      <c r="N72" s="37">
        <v>0</v>
      </c>
    </row>
    <row r="73" spans="6:14" ht="12" x14ac:dyDescent="0.2">
      <c r="H73" s="152" t="s">
        <v>162</v>
      </c>
      <c r="I73" s="265">
        <f>SUM(I68:I72)</f>
        <v>0</v>
      </c>
      <c r="J73" s="265">
        <f t="shared" ref="J73:N73" si="19">SUM(J68:J72)</f>
        <v>0</v>
      </c>
      <c r="K73" s="265">
        <f t="shared" si="19"/>
        <v>0</v>
      </c>
      <c r="L73" s="265">
        <f t="shared" si="19"/>
        <v>0</v>
      </c>
      <c r="M73" s="265">
        <f t="shared" si="19"/>
        <v>0</v>
      </c>
      <c r="N73" s="265">
        <f t="shared" si="19"/>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262">
        <f>SUM(J74:N74)</f>
        <v>0</v>
      </c>
      <c r="J74" s="37">
        <v>0</v>
      </c>
      <c r="K74" s="37">
        <v>0</v>
      </c>
      <c r="L74" s="37">
        <v>0</v>
      </c>
      <c r="M74" s="37">
        <v>0</v>
      </c>
      <c r="N74" s="37">
        <v>0</v>
      </c>
    </row>
    <row r="75" spans="6:14" ht="12" x14ac:dyDescent="0.2">
      <c r="F75" s="447"/>
      <c r="G75" s="42" t="str">
        <f>STRAT10_IND2</f>
        <v>Objetivo estratégico 10 Indicador 2</v>
      </c>
      <c r="H75" s="260" t="str">
        <f ca="1">OFFSET(Variables_Lu!$D$10,Basic_Setup!H89,0)</f>
        <v>Nutrition-specific</v>
      </c>
      <c r="I75" s="262">
        <f t="shared" ref="I75:I78" si="20">SUM(J75:N75)</f>
        <v>0</v>
      </c>
      <c r="J75" s="37">
        <v>0</v>
      </c>
      <c r="K75" s="37">
        <v>0</v>
      </c>
      <c r="L75" s="37">
        <v>0</v>
      </c>
      <c r="M75" s="37">
        <v>0</v>
      </c>
      <c r="N75" s="37">
        <v>0</v>
      </c>
    </row>
    <row r="76" spans="6:14" ht="12" x14ac:dyDescent="0.2">
      <c r="F76" s="447"/>
      <c r="G76" s="42" t="str">
        <f>STRAT10_IND3</f>
        <v>Objetivo estratégico 10 Indicador 3</v>
      </c>
      <c r="H76" s="260" t="str">
        <f ca="1">OFFSET(Variables_Lu!$D$10,Basic_Setup!H90,0)</f>
        <v>Nutrition-specific</v>
      </c>
      <c r="I76" s="262">
        <f t="shared" si="20"/>
        <v>0</v>
      </c>
      <c r="J76" s="37">
        <v>0</v>
      </c>
      <c r="K76" s="37">
        <v>0</v>
      </c>
      <c r="L76" s="37">
        <v>0</v>
      </c>
      <c r="M76" s="37">
        <v>0</v>
      </c>
      <c r="N76" s="37">
        <v>0</v>
      </c>
    </row>
    <row r="77" spans="6:14" ht="11.25" customHeight="1" x14ac:dyDescent="0.2">
      <c r="F77" s="447"/>
      <c r="G77" s="41" t="str">
        <f>STRAT10_IND4</f>
        <v>Objetivo estratégico 10 Indicador 4</v>
      </c>
      <c r="H77" s="260" t="str">
        <f ca="1">OFFSET(Variables_Lu!$D$10,Basic_Setup!H91,0)</f>
        <v>Nutrition-specific</v>
      </c>
      <c r="I77" s="262">
        <f t="shared" si="20"/>
        <v>0</v>
      </c>
      <c r="J77" s="37">
        <v>0</v>
      </c>
      <c r="K77" s="37">
        <v>0</v>
      </c>
      <c r="L77" s="37">
        <v>0</v>
      </c>
      <c r="M77" s="37">
        <v>0</v>
      </c>
      <c r="N77" s="37">
        <v>0</v>
      </c>
    </row>
    <row r="78" spans="6:14" ht="11.25" customHeight="1" x14ac:dyDescent="0.2">
      <c r="F78" s="448"/>
      <c r="G78" s="41" t="str">
        <f>STRAT10_IND5</f>
        <v>Objetivo estratégico 10 Indicador 5</v>
      </c>
      <c r="H78" s="260" t="str">
        <f ca="1">OFFSET(Variables_Lu!$D$10,Basic_Setup!H92,0)</f>
        <v>Nutrition-specific</v>
      </c>
      <c r="I78" s="262">
        <f t="shared" si="20"/>
        <v>0</v>
      </c>
      <c r="J78" s="37">
        <v>0</v>
      </c>
      <c r="K78" s="37">
        <v>0</v>
      </c>
      <c r="L78" s="37">
        <v>0</v>
      </c>
      <c r="M78" s="37">
        <v>0</v>
      </c>
      <c r="N78" s="37">
        <v>0</v>
      </c>
    </row>
    <row r="79" spans="6:14" ht="11.25" customHeight="1" x14ac:dyDescent="0.2">
      <c r="H79" s="152" t="s">
        <v>163</v>
      </c>
      <c r="I79" s="265">
        <f>SUM(I74:I78)</f>
        <v>0</v>
      </c>
      <c r="J79" s="265">
        <f t="shared" ref="J79:N79" si="21">SUM(J74:J78)</f>
        <v>0</v>
      </c>
      <c r="K79" s="265">
        <f t="shared" si="21"/>
        <v>0</v>
      </c>
      <c r="L79" s="265">
        <f t="shared" si="21"/>
        <v>0</v>
      </c>
      <c r="M79" s="265">
        <f t="shared" si="21"/>
        <v>0</v>
      </c>
      <c r="N79" s="265">
        <f t="shared" si="21"/>
        <v>0</v>
      </c>
    </row>
    <row r="80" spans="6:14" ht="11.25" customHeight="1" x14ac:dyDescent="0.2">
      <c r="I80" s="263"/>
    </row>
    <row r="81" spans="6:14" ht="12.6" thickBot="1" x14ac:dyDescent="0.25">
      <c r="H81" s="149" t="str">
        <f>"TOTAL - "&amp;$F$12</f>
        <v>TOTAL - [No está en uso]</v>
      </c>
      <c r="I81" s="264">
        <f>SUM(I25,I31,I37,I43,I49,I55,I61,I67,I73,I79)</f>
        <v>0</v>
      </c>
      <c r="J81" s="264">
        <f>SUM(J25,J31,J37,J43,J49,J55,J61,J67,J73,J79)</f>
        <v>0</v>
      </c>
      <c r="K81" s="264">
        <f t="shared" ref="K81:N81" si="22">SUM(K25,K31,K37,K43,K49,K55,K61,K67,K73,K79)</f>
        <v>0</v>
      </c>
      <c r="L81" s="264">
        <f t="shared" si="22"/>
        <v>0</v>
      </c>
      <c r="M81" s="264">
        <f t="shared" si="22"/>
        <v>0</v>
      </c>
      <c r="N81" s="264">
        <f t="shared" si="22"/>
        <v>0</v>
      </c>
    </row>
    <row r="82" spans="6:14" ht="12" x14ac:dyDescent="0.2">
      <c r="I82" s="149"/>
    </row>
    <row r="83" spans="6:14" ht="12" x14ac:dyDescent="0.2">
      <c r="F83" s="44" t="s">
        <v>171</v>
      </c>
    </row>
    <row r="84" spans="6:14" x14ac:dyDescent="0.2">
      <c r="F84" s="49"/>
    </row>
    <row r="85" spans="6:14" x14ac:dyDescent="0.2">
      <c r="F85" s="49"/>
    </row>
    <row r="86" spans="6:14" x14ac:dyDescent="0.2">
      <c r="F86" s="49"/>
    </row>
    <row r="87" spans="6:14" x14ac:dyDescent="0.2">
      <c r="F87" s="49"/>
    </row>
    <row r="90" spans="6:14" ht="12.6" thickBot="1" x14ac:dyDescent="0.25">
      <c r="F90" s="1" t="s">
        <v>411</v>
      </c>
      <c r="G90" s="1" t="s">
        <v>412</v>
      </c>
      <c r="H90" s="406" t="s">
        <v>472</v>
      </c>
      <c r="I90" s="253" t="s">
        <v>106</v>
      </c>
      <c r="J90" s="54" t="str">
        <f>CURR_INT_ABBR</f>
        <v>USD</v>
      </c>
      <c r="K90" s="54" t="str">
        <f>CURR_INT_ABBR</f>
        <v>USD</v>
      </c>
      <c r="L90" s="54" t="str">
        <f>CURR_INT_ABBR</f>
        <v>USD</v>
      </c>
      <c r="M90" s="54" t="str">
        <f>CURR_INT_ABBR</f>
        <v>USD</v>
      </c>
      <c r="N90" s="54" t="str">
        <f>CURR_INT_ABBR</f>
        <v>USD</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67">
        <f t="shared" ref="I91:N100" si="23">I20/EXCHANGE_RATE</f>
        <v>0</v>
      </c>
      <c r="J91" s="154">
        <f t="shared" si="23"/>
        <v>0</v>
      </c>
      <c r="K91" s="154">
        <f t="shared" si="23"/>
        <v>0</v>
      </c>
      <c r="L91" s="154">
        <f t="shared" si="23"/>
        <v>0</v>
      </c>
      <c r="M91" s="154">
        <f t="shared" si="23"/>
        <v>0</v>
      </c>
      <c r="N91" s="154">
        <f t="shared" si="23"/>
        <v>0</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67">
        <f t="shared" si="23"/>
        <v>0</v>
      </c>
      <c r="J92" s="154">
        <f t="shared" si="23"/>
        <v>0</v>
      </c>
      <c r="K92" s="154">
        <f t="shared" si="23"/>
        <v>0</v>
      </c>
      <c r="L92" s="154">
        <f t="shared" si="23"/>
        <v>0</v>
      </c>
      <c r="M92" s="154">
        <f t="shared" si="23"/>
        <v>0</v>
      </c>
      <c r="N92" s="154">
        <f t="shared" si="23"/>
        <v>0</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67">
        <f t="shared" si="23"/>
        <v>0</v>
      </c>
      <c r="J93" s="154">
        <f t="shared" si="23"/>
        <v>0</v>
      </c>
      <c r="K93" s="154">
        <f t="shared" si="23"/>
        <v>0</v>
      </c>
      <c r="L93" s="154">
        <f t="shared" si="23"/>
        <v>0</v>
      </c>
      <c r="M93" s="154">
        <f t="shared" si="23"/>
        <v>0</v>
      </c>
      <c r="N93" s="154">
        <f t="shared" si="23"/>
        <v>0</v>
      </c>
    </row>
    <row r="94" spans="6:14" ht="22.8" x14ac:dyDescent="0.2">
      <c r="F94" s="444"/>
      <c r="G94" s="41" t="str">
        <f>STRAT1_IND4</f>
        <v>El marco legislativo y reglamentario de la nutrición se ha fortalecido y está en funcionamiento.</v>
      </c>
      <c r="H94" s="268" t="str">
        <f ca="1">OFFSET(Variables_Lu!$D$10,Basic_Setup!H37,0)</f>
        <v>Governance</v>
      </c>
      <c r="I94" s="67">
        <f t="shared" si="23"/>
        <v>0</v>
      </c>
      <c r="J94" s="154">
        <f t="shared" si="23"/>
        <v>0</v>
      </c>
      <c r="K94" s="154">
        <f t="shared" si="23"/>
        <v>0</v>
      </c>
      <c r="L94" s="154">
        <f t="shared" si="23"/>
        <v>0</v>
      </c>
      <c r="M94" s="154">
        <f t="shared" si="23"/>
        <v>0</v>
      </c>
      <c r="N94" s="154">
        <f t="shared" si="23"/>
        <v>0</v>
      </c>
    </row>
    <row r="95" spans="6:14" ht="12.6" thickBot="1" x14ac:dyDescent="0.25">
      <c r="F95" s="445"/>
      <c r="G95" s="275" t="str">
        <f>STRAT1_IND5</f>
        <v>Objetivo estratégico 1 Indicador 5</v>
      </c>
      <c r="H95" s="270" t="str">
        <f ca="1">OFFSET(Variables_Lu!$D$10,Basic_Setup!H38,0)</f>
        <v>Governance</v>
      </c>
      <c r="I95" s="67">
        <f t="shared" si="23"/>
        <v>0</v>
      </c>
      <c r="J95" s="154">
        <f t="shared" si="23"/>
        <v>0</v>
      </c>
      <c r="K95" s="154">
        <f t="shared" si="23"/>
        <v>0</v>
      </c>
      <c r="L95" s="154">
        <f t="shared" si="23"/>
        <v>0</v>
      </c>
      <c r="M95" s="154">
        <f t="shared" si="23"/>
        <v>0</v>
      </c>
      <c r="N95" s="154">
        <f t="shared" si="23"/>
        <v>0</v>
      </c>
    </row>
    <row r="96" spans="6:14" ht="12.6" thickBot="1" x14ac:dyDescent="0.25">
      <c r="F96" s="38"/>
      <c r="G96" s="38"/>
      <c r="H96" s="152" t="s">
        <v>107</v>
      </c>
      <c r="I96" s="122">
        <f t="shared" si="23"/>
        <v>0</v>
      </c>
      <c r="J96" s="63">
        <f t="shared" si="23"/>
        <v>0</v>
      </c>
      <c r="K96" s="63">
        <f t="shared" si="23"/>
        <v>0</v>
      </c>
      <c r="L96" s="63">
        <f t="shared" si="23"/>
        <v>0</v>
      </c>
      <c r="M96" s="63">
        <f t="shared" si="23"/>
        <v>0</v>
      </c>
      <c r="N96" s="63">
        <f t="shared" si="23"/>
        <v>0</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67">
        <f t="shared" si="23"/>
        <v>0</v>
      </c>
      <c r="J97" s="154">
        <f t="shared" si="23"/>
        <v>0</v>
      </c>
      <c r="K97" s="154">
        <f t="shared" si="23"/>
        <v>0</v>
      </c>
      <c r="L97" s="154">
        <f t="shared" si="23"/>
        <v>0</v>
      </c>
      <c r="M97" s="154">
        <f t="shared" si="23"/>
        <v>0</v>
      </c>
      <c r="N97" s="154">
        <f t="shared" si="23"/>
        <v>0</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67">
        <f t="shared" si="23"/>
        <v>0</v>
      </c>
      <c r="J98" s="154">
        <f t="shared" si="23"/>
        <v>0</v>
      </c>
      <c r="K98" s="154">
        <f t="shared" si="23"/>
        <v>0</v>
      </c>
      <c r="L98" s="154">
        <f t="shared" si="23"/>
        <v>0</v>
      </c>
      <c r="M98" s="154">
        <f t="shared" si="23"/>
        <v>0</v>
      </c>
      <c r="N98" s="154">
        <f t="shared" si="23"/>
        <v>0</v>
      </c>
    </row>
    <row r="99" spans="6:14" ht="22.8" x14ac:dyDescent="0.2">
      <c r="F99" s="444"/>
      <c r="G99" s="42" t="str">
        <f>STRAT2_IND3</f>
        <v>Se refuerzan las intervenciones comunitarias en materia de nutrición.</v>
      </c>
      <c r="H99" s="268" t="str">
        <f ca="1">OFFSET(Variables_Lu!$D$10,Basic_Setup!H42,0)</f>
        <v>Nutrition-specific</v>
      </c>
      <c r="I99" s="67">
        <f t="shared" si="23"/>
        <v>0</v>
      </c>
      <c r="J99" s="154">
        <f t="shared" si="23"/>
        <v>0</v>
      </c>
      <c r="K99" s="154">
        <f t="shared" si="23"/>
        <v>0</v>
      </c>
      <c r="L99" s="154">
        <f t="shared" si="23"/>
        <v>0</v>
      </c>
      <c r="M99" s="154">
        <f t="shared" si="23"/>
        <v>0</v>
      </c>
      <c r="N99" s="154">
        <f t="shared" si="23"/>
        <v>0</v>
      </c>
    </row>
    <row r="100" spans="6:14" ht="12" x14ac:dyDescent="0.2">
      <c r="F100" s="444"/>
      <c r="G100" s="41" t="str">
        <f>STRAT2_IND4</f>
        <v>Objetivo estratégico 2 Indicador 4</v>
      </c>
      <c r="H100" s="268" t="str">
        <f ca="1">OFFSET(Variables_Lu!$D$10,Basic_Setup!H43,0)</f>
        <v>Nutrition-specific</v>
      </c>
      <c r="I100" s="67">
        <f t="shared" si="23"/>
        <v>0</v>
      </c>
      <c r="J100" s="154">
        <f t="shared" si="23"/>
        <v>0</v>
      </c>
      <c r="K100" s="154">
        <f t="shared" si="23"/>
        <v>0</v>
      </c>
      <c r="L100" s="154">
        <f t="shared" si="23"/>
        <v>0</v>
      </c>
      <c r="M100" s="154">
        <f t="shared" si="23"/>
        <v>0</v>
      </c>
      <c r="N100" s="154">
        <f t="shared" si="23"/>
        <v>0</v>
      </c>
    </row>
    <row r="101" spans="6:14" ht="12.6" thickBot="1" x14ac:dyDescent="0.25">
      <c r="F101" s="445"/>
      <c r="G101" s="275" t="str">
        <f>STRAT2_IND5</f>
        <v>Objetivo estratégico 2 Indicador 5</v>
      </c>
      <c r="H101" s="270" t="str">
        <f ca="1">OFFSET(Variables_Lu!$D$10,Basic_Setup!H44,0)</f>
        <v>Nutrition-specific</v>
      </c>
      <c r="I101" s="67">
        <f t="shared" ref="I101:N110" si="24">I30/EXCHANGE_RATE</f>
        <v>0</v>
      </c>
      <c r="J101" s="154">
        <f t="shared" si="24"/>
        <v>0</v>
      </c>
      <c r="K101" s="154">
        <f t="shared" si="24"/>
        <v>0</v>
      </c>
      <c r="L101" s="154">
        <f t="shared" si="24"/>
        <v>0</v>
      </c>
      <c r="M101" s="154">
        <f t="shared" si="24"/>
        <v>0</v>
      </c>
      <c r="N101" s="154">
        <f t="shared" si="24"/>
        <v>0</v>
      </c>
    </row>
    <row r="102" spans="6:14" ht="12.6" thickBot="1" x14ac:dyDescent="0.25">
      <c r="F102" s="38"/>
      <c r="G102" s="38"/>
      <c r="H102" s="152" t="s">
        <v>108</v>
      </c>
      <c r="I102" s="122">
        <f t="shared" si="24"/>
        <v>0</v>
      </c>
      <c r="J102" s="63">
        <f t="shared" si="24"/>
        <v>0</v>
      </c>
      <c r="K102" s="63">
        <f t="shared" si="24"/>
        <v>0</v>
      </c>
      <c r="L102" s="63">
        <f t="shared" si="24"/>
        <v>0</v>
      </c>
      <c r="M102" s="63">
        <f t="shared" si="24"/>
        <v>0</v>
      </c>
      <c r="N102" s="63">
        <f t="shared" si="24"/>
        <v>0</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67">
        <f t="shared" si="24"/>
        <v>0</v>
      </c>
      <c r="J103" s="154">
        <f t="shared" si="24"/>
        <v>0</v>
      </c>
      <c r="K103" s="154">
        <f t="shared" si="24"/>
        <v>0</v>
      </c>
      <c r="L103" s="154">
        <f t="shared" si="24"/>
        <v>0</v>
      </c>
      <c r="M103" s="154">
        <f t="shared" si="24"/>
        <v>0</v>
      </c>
      <c r="N103" s="154">
        <f t="shared" si="24"/>
        <v>0</v>
      </c>
    </row>
    <row r="104" spans="6:14" ht="22.8" x14ac:dyDescent="0.2">
      <c r="F104" s="444"/>
      <c r="G104" s="42" t="str">
        <f>STRAT3_IND2</f>
        <v xml:space="preserve"> La seguridad alimentaria está garantizada para toda la nación.</v>
      </c>
      <c r="H104" s="268" t="str">
        <f ca="1">OFFSET(Variables_Lu!$D$10,Basic_Setup!H47,0)</f>
        <v>Nutrition-sensitive</v>
      </c>
      <c r="I104" s="67">
        <f t="shared" si="24"/>
        <v>0</v>
      </c>
      <c r="J104" s="154">
        <f t="shared" si="24"/>
        <v>0</v>
      </c>
      <c r="K104" s="154">
        <f t="shared" si="24"/>
        <v>0</v>
      </c>
      <c r="L104" s="154">
        <f t="shared" si="24"/>
        <v>0</v>
      </c>
      <c r="M104" s="154">
        <f t="shared" si="24"/>
        <v>0</v>
      </c>
      <c r="N104" s="154">
        <f t="shared" si="24"/>
        <v>0</v>
      </c>
    </row>
    <row r="105" spans="6:14" ht="12" x14ac:dyDescent="0.2">
      <c r="F105" s="444"/>
      <c r="G105" s="42" t="str">
        <f>STRAT3_IND3</f>
        <v>Objetivo estratégico 3 Indicador 3</v>
      </c>
      <c r="H105" s="268" t="str">
        <f ca="1">OFFSET(Variables_Lu!$D$10,Basic_Setup!H48,0)</f>
        <v>Nutrition-specific</v>
      </c>
      <c r="I105" s="67">
        <f t="shared" si="24"/>
        <v>0</v>
      </c>
      <c r="J105" s="154">
        <f t="shared" si="24"/>
        <v>0</v>
      </c>
      <c r="K105" s="154">
        <f t="shared" si="24"/>
        <v>0</v>
      </c>
      <c r="L105" s="154">
        <f t="shared" si="24"/>
        <v>0</v>
      </c>
      <c r="M105" s="154">
        <f t="shared" si="24"/>
        <v>0</v>
      </c>
      <c r="N105" s="154">
        <f t="shared" si="24"/>
        <v>0</v>
      </c>
    </row>
    <row r="106" spans="6:14" ht="12" x14ac:dyDescent="0.2">
      <c r="F106" s="444"/>
      <c r="G106" s="41" t="str">
        <f>STRAT3_IND4</f>
        <v>Objetivo estratégico 3 Indicador 4</v>
      </c>
      <c r="H106" s="268" t="str">
        <f ca="1">OFFSET(Variables_Lu!$D$10,Basic_Setup!H49,0)</f>
        <v>Nutrition-specific</v>
      </c>
      <c r="I106" s="67">
        <f t="shared" si="24"/>
        <v>0</v>
      </c>
      <c r="J106" s="154">
        <f t="shared" si="24"/>
        <v>0</v>
      </c>
      <c r="K106" s="154">
        <f t="shared" si="24"/>
        <v>0</v>
      </c>
      <c r="L106" s="154">
        <f t="shared" si="24"/>
        <v>0</v>
      </c>
      <c r="M106" s="154">
        <f t="shared" si="24"/>
        <v>0</v>
      </c>
      <c r="N106" s="154">
        <f t="shared" si="24"/>
        <v>0</v>
      </c>
    </row>
    <row r="107" spans="6:14" ht="12.6" thickBot="1" x14ac:dyDescent="0.25">
      <c r="F107" s="445"/>
      <c r="G107" s="275" t="str">
        <f>STRAT3_IND5</f>
        <v>Objetivo estratégico 3 Indicador 5</v>
      </c>
      <c r="H107" s="270" t="str">
        <f ca="1">OFFSET(Variables_Lu!$D$10,Basic_Setup!H50,0)</f>
        <v>Nutrition-specific</v>
      </c>
      <c r="I107" s="67">
        <f t="shared" si="24"/>
        <v>0</v>
      </c>
      <c r="J107" s="154">
        <f t="shared" si="24"/>
        <v>0</v>
      </c>
      <c r="K107" s="154">
        <f t="shared" si="24"/>
        <v>0</v>
      </c>
      <c r="L107" s="154">
        <f t="shared" si="24"/>
        <v>0</v>
      </c>
      <c r="M107" s="154">
        <f t="shared" si="24"/>
        <v>0</v>
      </c>
      <c r="N107" s="154">
        <f t="shared" si="24"/>
        <v>0</v>
      </c>
    </row>
    <row r="108" spans="6:14" ht="12.6" thickBot="1" x14ac:dyDescent="0.25">
      <c r="H108" s="152" t="s">
        <v>109</v>
      </c>
      <c r="I108" s="122">
        <f t="shared" si="24"/>
        <v>0</v>
      </c>
      <c r="J108" s="63">
        <f t="shared" si="24"/>
        <v>0</v>
      </c>
      <c r="K108" s="63">
        <f t="shared" si="24"/>
        <v>0</v>
      </c>
      <c r="L108" s="63">
        <f t="shared" si="24"/>
        <v>0</v>
      </c>
      <c r="M108" s="63">
        <f t="shared" si="24"/>
        <v>0</v>
      </c>
      <c r="N108" s="63">
        <f t="shared" si="24"/>
        <v>0</v>
      </c>
    </row>
    <row r="109" spans="6:14" ht="24"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67">
        <f t="shared" si="24"/>
        <v>0</v>
      </c>
      <c r="J109" s="154">
        <f t="shared" si="24"/>
        <v>0</v>
      </c>
      <c r="K109" s="154">
        <f t="shared" si="24"/>
        <v>0</v>
      </c>
      <c r="L109" s="154">
        <f t="shared" si="24"/>
        <v>0</v>
      </c>
      <c r="M109" s="154">
        <f t="shared" si="24"/>
        <v>0</v>
      </c>
      <c r="N109" s="154">
        <f t="shared" si="24"/>
        <v>0</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67">
        <f t="shared" si="24"/>
        <v>0</v>
      </c>
      <c r="J110" s="154">
        <f t="shared" si="24"/>
        <v>0</v>
      </c>
      <c r="K110" s="154">
        <f t="shared" si="24"/>
        <v>0</v>
      </c>
      <c r="L110" s="154">
        <f t="shared" si="24"/>
        <v>0</v>
      </c>
      <c r="M110" s="154">
        <f t="shared" si="24"/>
        <v>0</v>
      </c>
      <c r="N110" s="154">
        <f t="shared" si="24"/>
        <v>0</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67">
        <f t="shared" ref="I111:N120" si="25">I40/EXCHANGE_RATE</f>
        <v>0</v>
      </c>
      <c r="J111" s="154">
        <f t="shared" si="25"/>
        <v>0</v>
      </c>
      <c r="K111" s="154">
        <f t="shared" si="25"/>
        <v>0</v>
      </c>
      <c r="L111" s="154">
        <f t="shared" si="25"/>
        <v>0</v>
      </c>
      <c r="M111" s="154">
        <f t="shared" si="25"/>
        <v>0</v>
      </c>
      <c r="N111" s="154">
        <f t="shared" si="25"/>
        <v>0</v>
      </c>
    </row>
    <row r="112" spans="6:14" ht="12" x14ac:dyDescent="0.2">
      <c r="F112" s="444"/>
      <c r="G112" s="41" t="str">
        <f>STRAT4_IND4</f>
        <v>Objetivo estratégico 4 Indicador 4</v>
      </c>
      <c r="H112" s="268" t="str">
        <f ca="1">OFFSET(Variables_Lu!$D$10,Basic_Setup!H55,0)</f>
        <v>Nutrition-specific</v>
      </c>
      <c r="I112" s="67">
        <f t="shared" si="25"/>
        <v>0</v>
      </c>
      <c r="J112" s="154">
        <f t="shared" si="25"/>
        <v>0</v>
      </c>
      <c r="K112" s="154">
        <f t="shared" si="25"/>
        <v>0</v>
      </c>
      <c r="L112" s="154">
        <f t="shared" si="25"/>
        <v>0</v>
      </c>
      <c r="M112" s="154">
        <f t="shared" si="25"/>
        <v>0</v>
      </c>
      <c r="N112" s="154">
        <f t="shared" si="25"/>
        <v>0</v>
      </c>
    </row>
    <row r="113" spans="6:14" ht="12.6" thickBot="1" x14ac:dyDescent="0.25">
      <c r="F113" s="445"/>
      <c r="G113" s="275" t="str">
        <f>STRAT4_IND5</f>
        <v>Objetivo estratégico 4 Indicador 5</v>
      </c>
      <c r="H113" s="270" t="str">
        <f ca="1">OFFSET(Variables_Lu!$D$10,Basic_Setup!H56,0)</f>
        <v>Nutrition-specific</v>
      </c>
      <c r="I113" s="67">
        <f t="shared" si="25"/>
        <v>0</v>
      </c>
      <c r="J113" s="154">
        <f t="shared" si="25"/>
        <v>0</v>
      </c>
      <c r="K113" s="154">
        <f t="shared" si="25"/>
        <v>0</v>
      </c>
      <c r="L113" s="154">
        <f t="shared" si="25"/>
        <v>0</v>
      </c>
      <c r="M113" s="154">
        <f t="shared" si="25"/>
        <v>0</v>
      </c>
      <c r="N113" s="154">
        <f t="shared" si="25"/>
        <v>0</v>
      </c>
    </row>
    <row r="114" spans="6:14" ht="12.6" thickBot="1" x14ac:dyDescent="0.25">
      <c r="H114" s="152" t="s">
        <v>110</v>
      </c>
      <c r="I114" s="122">
        <f t="shared" si="25"/>
        <v>0</v>
      </c>
      <c r="J114" s="63">
        <f t="shared" si="25"/>
        <v>0</v>
      </c>
      <c r="K114" s="63">
        <f t="shared" si="25"/>
        <v>0</v>
      </c>
      <c r="L114" s="63">
        <f t="shared" si="25"/>
        <v>0</v>
      </c>
      <c r="M114" s="63">
        <f t="shared" si="25"/>
        <v>0</v>
      </c>
      <c r="N114" s="63">
        <f t="shared" si="25"/>
        <v>0</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67">
        <f t="shared" si="25"/>
        <v>0</v>
      </c>
      <c r="J115" s="154">
        <f t="shared" si="25"/>
        <v>0</v>
      </c>
      <c r="K115" s="154">
        <f t="shared" si="25"/>
        <v>0</v>
      </c>
      <c r="L115" s="154">
        <f t="shared" si="25"/>
        <v>0</v>
      </c>
      <c r="M115" s="154">
        <f t="shared" si="25"/>
        <v>0</v>
      </c>
      <c r="N115" s="154">
        <f t="shared" si="25"/>
        <v>0</v>
      </c>
    </row>
    <row r="116" spans="6:14" ht="22.8" x14ac:dyDescent="0.2">
      <c r="F116" s="444"/>
      <c r="G116" s="42" t="str">
        <f>STRAT5_IND2</f>
        <v>Se promueven dietas saludables y estilos de vida saludables para las personas.</v>
      </c>
      <c r="H116" s="268" t="str">
        <f ca="1">OFFSET(Variables_Lu!$D$10,Basic_Setup!H59,0)</f>
        <v>Nutrition-specific</v>
      </c>
      <c r="I116" s="67">
        <f t="shared" si="25"/>
        <v>0</v>
      </c>
      <c r="J116" s="154">
        <f t="shared" si="25"/>
        <v>0</v>
      </c>
      <c r="K116" s="154">
        <f t="shared" si="25"/>
        <v>0</v>
      </c>
      <c r="L116" s="154">
        <f t="shared" si="25"/>
        <v>0</v>
      </c>
      <c r="M116" s="154">
        <f t="shared" si="25"/>
        <v>0</v>
      </c>
      <c r="N116" s="154">
        <f t="shared" si="25"/>
        <v>0</v>
      </c>
    </row>
    <row r="117" spans="6:14" ht="22.8" x14ac:dyDescent="0.2">
      <c r="F117" s="444"/>
      <c r="G117" s="42" t="str">
        <f>STRAT5_IND3</f>
        <v>Se promueven las buenas prácticas WASH a nivel comunitario y doméstico</v>
      </c>
      <c r="H117" s="268" t="str">
        <f ca="1">OFFSET(Variables_Lu!$D$10,Basic_Setup!H60,0)</f>
        <v>Nutrition-sensitive</v>
      </c>
      <c r="I117" s="67">
        <f t="shared" si="25"/>
        <v>0</v>
      </c>
      <c r="J117" s="154">
        <f t="shared" si="25"/>
        <v>0</v>
      </c>
      <c r="K117" s="154">
        <f t="shared" si="25"/>
        <v>0</v>
      </c>
      <c r="L117" s="154">
        <f t="shared" si="25"/>
        <v>0</v>
      </c>
      <c r="M117" s="154">
        <f t="shared" si="25"/>
        <v>0</v>
      </c>
      <c r="N117" s="154">
        <f t="shared" si="25"/>
        <v>0</v>
      </c>
    </row>
    <row r="118" spans="6:14" ht="12" x14ac:dyDescent="0.2">
      <c r="F118" s="444"/>
      <c r="G118" s="41" t="str">
        <f>STRAT5_IND4</f>
        <v>Objetivo estratégico 5 Indicador 4</v>
      </c>
      <c r="H118" s="268" t="str">
        <f ca="1">OFFSET(Variables_Lu!$D$10,Basic_Setup!H61,0)</f>
        <v>Nutrition-specific</v>
      </c>
      <c r="I118" s="67">
        <f t="shared" si="25"/>
        <v>0</v>
      </c>
      <c r="J118" s="154">
        <f t="shared" si="25"/>
        <v>0</v>
      </c>
      <c r="K118" s="154">
        <f t="shared" si="25"/>
        <v>0</v>
      </c>
      <c r="L118" s="154">
        <f t="shared" si="25"/>
        <v>0</v>
      </c>
      <c r="M118" s="154">
        <f t="shared" si="25"/>
        <v>0</v>
      </c>
      <c r="N118" s="154">
        <f t="shared" si="25"/>
        <v>0</v>
      </c>
    </row>
    <row r="119" spans="6:14" ht="12.6" thickBot="1" x14ac:dyDescent="0.25">
      <c r="F119" s="445"/>
      <c r="G119" s="275" t="str">
        <f>STRAT5_IND5</f>
        <v>Objetivo estratégico 5 Indicador 5</v>
      </c>
      <c r="H119" s="270" t="str">
        <f ca="1">OFFSET(Variables_Lu!$D$10,Basic_Setup!H62,0)</f>
        <v>Nutrition-specific</v>
      </c>
      <c r="I119" s="67">
        <f t="shared" si="25"/>
        <v>0</v>
      </c>
      <c r="J119" s="154">
        <f t="shared" si="25"/>
        <v>0</v>
      </c>
      <c r="K119" s="154">
        <f t="shared" si="25"/>
        <v>0</v>
      </c>
      <c r="L119" s="154">
        <f t="shared" si="25"/>
        <v>0</v>
      </c>
      <c r="M119" s="154">
        <f t="shared" si="25"/>
        <v>0</v>
      </c>
      <c r="N119" s="154">
        <f t="shared" si="25"/>
        <v>0</v>
      </c>
    </row>
    <row r="120" spans="6:14" ht="12.6" thickBot="1" x14ac:dyDescent="0.25">
      <c r="H120" s="152" t="s">
        <v>111</v>
      </c>
      <c r="I120" s="122">
        <f t="shared" si="25"/>
        <v>0</v>
      </c>
      <c r="J120" s="63">
        <f t="shared" si="25"/>
        <v>0</v>
      </c>
      <c r="K120" s="63">
        <f t="shared" si="25"/>
        <v>0</v>
      </c>
      <c r="L120" s="63">
        <f t="shared" si="25"/>
        <v>0</v>
      </c>
      <c r="M120" s="63">
        <f t="shared" si="25"/>
        <v>0</v>
      </c>
      <c r="N120" s="63">
        <f t="shared" si="25"/>
        <v>0</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67">
        <f t="shared" ref="I121:N130" si="26">I50/EXCHANGE_RATE</f>
        <v>0</v>
      </c>
      <c r="J121" s="154">
        <f t="shared" si="26"/>
        <v>0</v>
      </c>
      <c r="K121" s="154">
        <f t="shared" si="26"/>
        <v>0</v>
      </c>
      <c r="L121" s="154">
        <f t="shared" si="26"/>
        <v>0</v>
      </c>
      <c r="M121" s="154">
        <f t="shared" si="26"/>
        <v>0</v>
      </c>
      <c r="N121" s="154">
        <f t="shared" si="26"/>
        <v>0</v>
      </c>
    </row>
    <row r="122" spans="6:14" ht="12" x14ac:dyDescent="0.2">
      <c r="F122" s="444"/>
      <c r="G122" s="42" t="str">
        <f>STRAT6_IND2</f>
        <v>Objetivo estratégico 6 Indicador 2</v>
      </c>
      <c r="H122" s="268" t="str">
        <f ca="1">OFFSET(Variables_Lu!$D$10,Basic_Setup!H65,0)</f>
        <v>Nutrition-specific</v>
      </c>
      <c r="I122" s="67">
        <f t="shared" si="26"/>
        <v>0</v>
      </c>
      <c r="J122" s="154">
        <f t="shared" si="26"/>
        <v>0</v>
      </c>
      <c r="K122" s="154">
        <f t="shared" si="26"/>
        <v>0</v>
      </c>
      <c r="L122" s="154">
        <f t="shared" si="26"/>
        <v>0</v>
      </c>
      <c r="M122" s="154">
        <f t="shared" si="26"/>
        <v>0</v>
      </c>
      <c r="N122" s="154">
        <f t="shared" si="26"/>
        <v>0</v>
      </c>
    </row>
    <row r="123" spans="6:14" ht="12" x14ac:dyDescent="0.2">
      <c r="F123" s="444"/>
      <c r="G123" s="42" t="str">
        <f>STRAT6_IND3</f>
        <v>Objetivo estratégico 6 Indicador 3</v>
      </c>
      <c r="H123" s="268" t="str">
        <f ca="1">OFFSET(Variables_Lu!$D$10,Basic_Setup!H66,0)</f>
        <v>Nutrition-specific</v>
      </c>
      <c r="I123" s="67">
        <f t="shared" si="26"/>
        <v>0</v>
      </c>
      <c r="J123" s="154">
        <f t="shared" si="26"/>
        <v>0</v>
      </c>
      <c r="K123" s="154">
        <f t="shared" si="26"/>
        <v>0</v>
      </c>
      <c r="L123" s="154">
        <f t="shared" si="26"/>
        <v>0</v>
      </c>
      <c r="M123" s="154">
        <f t="shared" si="26"/>
        <v>0</v>
      </c>
      <c r="N123" s="154">
        <f t="shared" si="26"/>
        <v>0</v>
      </c>
    </row>
    <row r="124" spans="6:14" ht="12" x14ac:dyDescent="0.2">
      <c r="F124" s="444"/>
      <c r="G124" s="41" t="str">
        <f>STRAT6_IND4</f>
        <v>Objetivo estratégico 6 Indicador 4</v>
      </c>
      <c r="H124" s="268" t="str">
        <f ca="1">OFFSET(Variables_Lu!$D$10,Basic_Setup!H67,0)</f>
        <v>Nutrition-specific</v>
      </c>
      <c r="I124" s="67">
        <f t="shared" si="26"/>
        <v>0</v>
      </c>
      <c r="J124" s="154">
        <f t="shared" si="26"/>
        <v>0</v>
      </c>
      <c r="K124" s="154">
        <f t="shared" si="26"/>
        <v>0</v>
      </c>
      <c r="L124" s="154">
        <f t="shared" si="26"/>
        <v>0</v>
      </c>
      <c r="M124" s="154">
        <f t="shared" si="26"/>
        <v>0</v>
      </c>
      <c r="N124" s="154">
        <f t="shared" si="26"/>
        <v>0</v>
      </c>
    </row>
    <row r="125" spans="6:14" ht="12.6" thickBot="1" x14ac:dyDescent="0.25">
      <c r="F125" s="445"/>
      <c r="G125" s="275" t="str">
        <f>STRAT6_IND5</f>
        <v>Objetivo estratégico 6 Indicador 5</v>
      </c>
      <c r="H125" s="270" t="str">
        <f ca="1">OFFSET(Variables_Lu!$D$10,Basic_Setup!H68,0)</f>
        <v>Nutrition-specific</v>
      </c>
      <c r="I125" s="67">
        <f t="shared" si="26"/>
        <v>0</v>
      </c>
      <c r="J125" s="154">
        <f t="shared" si="26"/>
        <v>0</v>
      </c>
      <c r="K125" s="154">
        <f t="shared" si="26"/>
        <v>0</v>
      </c>
      <c r="L125" s="154">
        <f t="shared" si="26"/>
        <v>0</v>
      </c>
      <c r="M125" s="154">
        <f t="shared" si="26"/>
        <v>0</v>
      </c>
      <c r="N125" s="154">
        <f t="shared" si="26"/>
        <v>0</v>
      </c>
    </row>
    <row r="126" spans="6:14" ht="12.6" thickBot="1" x14ac:dyDescent="0.25">
      <c r="H126" s="152" t="s">
        <v>159</v>
      </c>
      <c r="I126" s="122">
        <f t="shared" si="26"/>
        <v>0</v>
      </c>
      <c r="J126" s="63">
        <f t="shared" si="26"/>
        <v>0</v>
      </c>
      <c r="K126" s="63">
        <f t="shared" si="26"/>
        <v>0</v>
      </c>
      <c r="L126" s="63">
        <f t="shared" si="26"/>
        <v>0</v>
      </c>
      <c r="M126" s="63">
        <f t="shared" si="26"/>
        <v>0</v>
      </c>
      <c r="N126" s="63">
        <f t="shared" si="26"/>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67">
        <f t="shared" si="26"/>
        <v>0</v>
      </c>
      <c r="J127" s="154">
        <f t="shared" si="26"/>
        <v>0</v>
      </c>
      <c r="K127" s="154">
        <f t="shared" si="26"/>
        <v>0</v>
      </c>
      <c r="L127" s="154">
        <f t="shared" si="26"/>
        <v>0</v>
      </c>
      <c r="M127" s="154">
        <f t="shared" si="26"/>
        <v>0</v>
      </c>
      <c r="N127" s="154">
        <f t="shared" si="26"/>
        <v>0</v>
      </c>
    </row>
    <row r="128" spans="6:14" ht="12" x14ac:dyDescent="0.2">
      <c r="F128" s="444"/>
      <c r="G128" s="42" t="str">
        <f>STRAT7_IND2</f>
        <v>Objetivo estratégico 7 Indicador 2</v>
      </c>
      <c r="H128" s="268" t="str">
        <f ca="1">OFFSET(Variables_Lu!$D$10,Basic_Setup!H71,0)</f>
        <v>Nutrition-specific</v>
      </c>
      <c r="I128" s="67">
        <f t="shared" si="26"/>
        <v>0</v>
      </c>
      <c r="J128" s="154">
        <f t="shared" si="26"/>
        <v>0</v>
      </c>
      <c r="K128" s="154">
        <f t="shared" si="26"/>
        <v>0</v>
      </c>
      <c r="L128" s="154">
        <f t="shared" si="26"/>
        <v>0</v>
      </c>
      <c r="M128" s="154">
        <f t="shared" si="26"/>
        <v>0</v>
      </c>
      <c r="N128" s="154">
        <f t="shared" si="26"/>
        <v>0</v>
      </c>
    </row>
    <row r="129" spans="6:14" ht="12" x14ac:dyDescent="0.2">
      <c r="F129" s="444"/>
      <c r="G129" s="42" t="str">
        <f>STRAT7_IND3</f>
        <v>Objetivo estratégico 7 Indicador 3</v>
      </c>
      <c r="H129" s="268" t="str">
        <f ca="1">OFFSET(Variables_Lu!$D$10,Basic_Setup!H72,0)</f>
        <v>Nutrition-specific</v>
      </c>
      <c r="I129" s="67">
        <f t="shared" si="26"/>
        <v>0</v>
      </c>
      <c r="J129" s="154">
        <f t="shared" si="26"/>
        <v>0</v>
      </c>
      <c r="K129" s="154">
        <f t="shared" si="26"/>
        <v>0</v>
      </c>
      <c r="L129" s="154">
        <f t="shared" si="26"/>
        <v>0</v>
      </c>
      <c r="M129" s="154">
        <f t="shared" si="26"/>
        <v>0</v>
      </c>
      <c r="N129" s="154">
        <f t="shared" si="26"/>
        <v>0</v>
      </c>
    </row>
    <row r="130" spans="6:14" ht="12" x14ac:dyDescent="0.2">
      <c r="F130" s="444"/>
      <c r="G130" s="41" t="str">
        <f>STRAT7_IND4</f>
        <v>Objetivo estratégico 7 Indicador 4</v>
      </c>
      <c r="H130" s="268" t="str">
        <f ca="1">OFFSET(Variables_Lu!$D$10,Basic_Setup!H73,0)</f>
        <v>Nutrition-specific</v>
      </c>
      <c r="I130" s="67">
        <f t="shared" si="26"/>
        <v>0</v>
      </c>
      <c r="J130" s="154">
        <f t="shared" si="26"/>
        <v>0</v>
      </c>
      <c r="K130" s="154">
        <f t="shared" si="26"/>
        <v>0</v>
      </c>
      <c r="L130" s="154">
        <f t="shared" si="26"/>
        <v>0</v>
      </c>
      <c r="M130" s="154">
        <f t="shared" si="26"/>
        <v>0</v>
      </c>
      <c r="N130" s="154">
        <f t="shared" si="26"/>
        <v>0</v>
      </c>
    </row>
    <row r="131" spans="6:14" ht="12.6" thickBot="1" x14ac:dyDescent="0.25">
      <c r="F131" s="445"/>
      <c r="G131" s="275" t="str">
        <f>STRAT7_IND5</f>
        <v>Objetivo estratégico 7 Indicador 5</v>
      </c>
      <c r="H131" s="270" t="str">
        <f ca="1">OFFSET(Variables_Lu!$D$10,Basic_Setup!H74,0)</f>
        <v>Nutrition-specific</v>
      </c>
      <c r="I131" s="67">
        <f t="shared" ref="I131:N140" si="27">I60/EXCHANGE_RATE</f>
        <v>0</v>
      </c>
      <c r="J131" s="154">
        <f t="shared" si="27"/>
        <v>0</v>
      </c>
      <c r="K131" s="154">
        <f t="shared" si="27"/>
        <v>0</v>
      </c>
      <c r="L131" s="154">
        <f t="shared" si="27"/>
        <v>0</v>
      </c>
      <c r="M131" s="154">
        <f t="shared" si="27"/>
        <v>0</v>
      </c>
      <c r="N131" s="154">
        <f t="shared" si="27"/>
        <v>0</v>
      </c>
    </row>
    <row r="132" spans="6:14" ht="12.6" thickBot="1" x14ac:dyDescent="0.25">
      <c r="H132" s="152" t="s">
        <v>160</v>
      </c>
      <c r="I132" s="122">
        <f t="shared" si="27"/>
        <v>0</v>
      </c>
      <c r="J132" s="63">
        <f t="shared" si="27"/>
        <v>0</v>
      </c>
      <c r="K132" s="63">
        <f t="shared" si="27"/>
        <v>0</v>
      </c>
      <c r="L132" s="63">
        <f t="shared" si="27"/>
        <v>0</v>
      </c>
      <c r="M132" s="63">
        <f t="shared" si="27"/>
        <v>0</v>
      </c>
      <c r="N132" s="63">
        <f t="shared" si="27"/>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67">
        <f t="shared" si="27"/>
        <v>0</v>
      </c>
      <c r="J133" s="154">
        <f t="shared" si="27"/>
        <v>0</v>
      </c>
      <c r="K133" s="154">
        <f t="shared" si="27"/>
        <v>0</v>
      </c>
      <c r="L133" s="154">
        <f t="shared" si="27"/>
        <v>0</v>
      </c>
      <c r="M133" s="154">
        <f t="shared" si="27"/>
        <v>0</v>
      </c>
      <c r="N133" s="154">
        <f t="shared" si="27"/>
        <v>0</v>
      </c>
    </row>
    <row r="134" spans="6:14" ht="12" x14ac:dyDescent="0.2">
      <c r="F134" s="444"/>
      <c r="G134" s="42" t="str">
        <f>STRAT8_IND2</f>
        <v>Objetivo estratégico 8 Indicador 2</v>
      </c>
      <c r="H134" s="268" t="str">
        <f ca="1">OFFSET(Variables_Lu!$D$10,Basic_Setup!H77,0)</f>
        <v>Nutrition-specific</v>
      </c>
      <c r="I134" s="67">
        <f t="shared" si="27"/>
        <v>0</v>
      </c>
      <c r="J134" s="154">
        <f t="shared" si="27"/>
        <v>0</v>
      </c>
      <c r="K134" s="154">
        <f t="shared" si="27"/>
        <v>0</v>
      </c>
      <c r="L134" s="154">
        <f t="shared" si="27"/>
        <v>0</v>
      </c>
      <c r="M134" s="154">
        <f t="shared" si="27"/>
        <v>0</v>
      </c>
      <c r="N134" s="154">
        <f t="shared" si="27"/>
        <v>0</v>
      </c>
    </row>
    <row r="135" spans="6:14" ht="12" x14ac:dyDescent="0.2">
      <c r="F135" s="444"/>
      <c r="G135" s="42" t="str">
        <f>STRAT8_IND3</f>
        <v>Objetivo estratégico 8 Indicador 3</v>
      </c>
      <c r="H135" s="268" t="str">
        <f ca="1">OFFSET(Variables_Lu!$D$10,Basic_Setup!H78,0)</f>
        <v>Nutrition-specific</v>
      </c>
      <c r="I135" s="67">
        <f t="shared" si="27"/>
        <v>0</v>
      </c>
      <c r="J135" s="154">
        <f t="shared" si="27"/>
        <v>0</v>
      </c>
      <c r="K135" s="154">
        <f t="shared" si="27"/>
        <v>0</v>
      </c>
      <c r="L135" s="154">
        <f t="shared" si="27"/>
        <v>0</v>
      </c>
      <c r="M135" s="154">
        <f t="shared" si="27"/>
        <v>0</v>
      </c>
      <c r="N135" s="154">
        <f t="shared" si="27"/>
        <v>0</v>
      </c>
    </row>
    <row r="136" spans="6:14" ht="12" x14ac:dyDescent="0.2">
      <c r="F136" s="444"/>
      <c r="G136" s="41" t="str">
        <f>STRAT8_IND4</f>
        <v>Objetivo estratégico 8 Indicador 4</v>
      </c>
      <c r="H136" s="268" t="str">
        <f ca="1">OFFSET(Variables_Lu!$D$10,Basic_Setup!H79,0)</f>
        <v>Nutrition-specific</v>
      </c>
      <c r="I136" s="67">
        <f t="shared" si="27"/>
        <v>0</v>
      </c>
      <c r="J136" s="154">
        <f t="shared" si="27"/>
        <v>0</v>
      </c>
      <c r="K136" s="154">
        <f t="shared" si="27"/>
        <v>0</v>
      </c>
      <c r="L136" s="154">
        <f t="shared" si="27"/>
        <v>0</v>
      </c>
      <c r="M136" s="154">
        <f t="shared" si="27"/>
        <v>0</v>
      </c>
      <c r="N136" s="154">
        <f t="shared" si="27"/>
        <v>0</v>
      </c>
    </row>
    <row r="137" spans="6:14" ht="12.6" thickBot="1" x14ac:dyDescent="0.25">
      <c r="F137" s="445"/>
      <c r="G137" s="275" t="str">
        <f>STRAT8_IND5</f>
        <v>Objetivo estratégico 8 Indicador 5</v>
      </c>
      <c r="H137" s="270" t="str">
        <f ca="1">OFFSET(Variables_Lu!$D$10,Basic_Setup!H80,0)</f>
        <v>Nutrition-specific</v>
      </c>
      <c r="I137" s="67">
        <f t="shared" si="27"/>
        <v>0</v>
      </c>
      <c r="J137" s="154">
        <f t="shared" si="27"/>
        <v>0</v>
      </c>
      <c r="K137" s="154">
        <f t="shared" si="27"/>
        <v>0</v>
      </c>
      <c r="L137" s="154">
        <f t="shared" si="27"/>
        <v>0</v>
      </c>
      <c r="M137" s="154">
        <f t="shared" si="27"/>
        <v>0</v>
      </c>
      <c r="N137" s="154">
        <f t="shared" si="27"/>
        <v>0</v>
      </c>
    </row>
    <row r="138" spans="6:14" ht="12.6" thickBot="1" x14ac:dyDescent="0.25">
      <c r="H138" s="152" t="s">
        <v>161</v>
      </c>
      <c r="I138" s="122">
        <f t="shared" si="27"/>
        <v>0</v>
      </c>
      <c r="J138" s="63">
        <f t="shared" si="27"/>
        <v>0</v>
      </c>
      <c r="K138" s="63">
        <f t="shared" si="27"/>
        <v>0</v>
      </c>
      <c r="L138" s="63">
        <f t="shared" si="27"/>
        <v>0</v>
      </c>
      <c r="M138" s="63">
        <f t="shared" si="27"/>
        <v>0</v>
      </c>
      <c r="N138" s="63">
        <f t="shared" si="27"/>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67">
        <f t="shared" si="27"/>
        <v>0</v>
      </c>
      <c r="J139" s="154">
        <f t="shared" si="27"/>
        <v>0</v>
      </c>
      <c r="K139" s="154">
        <f t="shared" si="27"/>
        <v>0</v>
      </c>
      <c r="L139" s="154">
        <f t="shared" si="27"/>
        <v>0</v>
      </c>
      <c r="M139" s="154">
        <f t="shared" si="27"/>
        <v>0</v>
      </c>
      <c r="N139" s="154">
        <f t="shared" si="27"/>
        <v>0</v>
      </c>
    </row>
    <row r="140" spans="6:14" ht="12" x14ac:dyDescent="0.2">
      <c r="F140" s="444"/>
      <c r="G140" s="42" t="str">
        <f>STRAT9_IND2</f>
        <v>Objetivo estratégico 9 Indicador 2</v>
      </c>
      <c r="H140" s="268" t="str">
        <f ca="1">OFFSET(Variables_Lu!$D$10,Basic_Setup!H83,0)</f>
        <v>Nutrition-specific</v>
      </c>
      <c r="I140" s="67">
        <f t="shared" si="27"/>
        <v>0</v>
      </c>
      <c r="J140" s="154">
        <f t="shared" si="27"/>
        <v>0</v>
      </c>
      <c r="K140" s="154">
        <f t="shared" si="27"/>
        <v>0</v>
      </c>
      <c r="L140" s="154">
        <f t="shared" si="27"/>
        <v>0</v>
      </c>
      <c r="M140" s="154">
        <f t="shared" si="27"/>
        <v>0</v>
      </c>
      <c r="N140" s="154">
        <f t="shared" si="27"/>
        <v>0</v>
      </c>
    </row>
    <row r="141" spans="6:14" ht="12" x14ac:dyDescent="0.2">
      <c r="F141" s="444"/>
      <c r="G141" s="42" t="str">
        <f>STRAT9_IND3</f>
        <v>Objetivo estratégico 9 Indicador 3</v>
      </c>
      <c r="H141" s="268" t="str">
        <f ca="1">OFFSET(Variables_Lu!$D$10,Basic_Setup!H84,0)</f>
        <v>Nutrition-specific</v>
      </c>
      <c r="I141" s="67">
        <f t="shared" ref="I141:N150" si="28">I70/EXCHANGE_RATE</f>
        <v>0</v>
      </c>
      <c r="J141" s="154">
        <f t="shared" si="28"/>
        <v>0</v>
      </c>
      <c r="K141" s="154">
        <f t="shared" si="28"/>
        <v>0</v>
      </c>
      <c r="L141" s="154">
        <f t="shared" si="28"/>
        <v>0</v>
      </c>
      <c r="M141" s="154">
        <f t="shared" si="28"/>
        <v>0</v>
      </c>
      <c r="N141" s="154">
        <f t="shared" si="28"/>
        <v>0</v>
      </c>
    </row>
    <row r="142" spans="6:14" ht="12" x14ac:dyDescent="0.2">
      <c r="F142" s="444"/>
      <c r="G142" s="41" t="str">
        <f>STRAT9_IND4</f>
        <v>Objetivo estratégico 9 Indicador 4</v>
      </c>
      <c r="H142" s="268" t="str">
        <f ca="1">OFFSET(Variables_Lu!$D$10,Basic_Setup!H85,0)</f>
        <v>Nutrition-specific</v>
      </c>
      <c r="I142" s="67">
        <f t="shared" si="28"/>
        <v>0</v>
      </c>
      <c r="J142" s="154">
        <f t="shared" si="28"/>
        <v>0</v>
      </c>
      <c r="K142" s="154">
        <f t="shared" si="28"/>
        <v>0</v>
      </c>
      <c r="L142" s="154">
        <f t="shared" si="28"/>
        <v>0</v>
      </c>
      <c r="M142" s="154">
        <f t="shared" si="28"/>
        <v>0</v>
      </c>
      <c r="N142" s="154">
        <f t="shared" si="28"/>
        <v>0</v>
      </c>
    </row>
    <row r="143" spans="6:14" ht="12.6" thickBot="1" x14ac:dyDescent="0.25">
      <c r="F143" s="445"/>
      <c r="G143" s="275" t="str">
        <f>STRAT9_IND5</f>
        <v>Objetivo estratégico 9 Indicador 5</v>
      </c>
      <c r="H143" s="270" t="str">
        <f ca="1">OFFSET(Variables_Lu!$D$10,Basic_Setup!H86,0)</f>
        <v>Nutrition-specific</v>
      </c>
      <c r="I143" s="67">
        <f t="shared" si="28"/>
        <v>0</v>
      </c>
      <c r="J143" s="154">
        <f t="shared" si="28"/>
        <v>0</v>
      </c>
      <c r="K143" s="154">
        <f t="shared" si="28"/>
        <v>0</v>
      </c>
      <c r="L143" s="154">
        <f t="shared" si="28"/>
        <v>0</v>
      </c>
      <c r="M143" s="154">
        <f t="shared" si="28"/>
        <v>0</v>
      </c>
      <c r="N143" s="154">
        <f t="shared" si="28"/>
        <v>0</v>
      </c>
    </row>
    <row r="144" spans="6:14" ht="12.6" thickBot="1" x14ac:dyDescent="0.25">
      <c r="H144" s="152" t="s">
        <v>162</v>
      </c>
      <c r="I144" s="122">
        <f t="shared" si="28"/>
        <v>0</v>
      </c>
      <c r="J144" s="63">
        <f t="shared" si="28"/>
        <v>0</v>
      </c>
      <c r="K144" s="63">
        <f t="shared" si="28"/>
        <v>0</v>
      </c>
      <c r="L144" s="63">
        <f t="shared" si="28"/>
        <v>0</v>
      </c>
      <c r="M144" s="63">
        <f t="shared" si="28"/>
        <v>0</v>
      </c>
      <c r="N144" s="63">
        <f t="shared" si="28"/>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67">
        <f t="shared" si="28"/>
        <v>0</v>
      </c>
      <c r="J145" s="154">
        <f t="shared" si="28"/>
        <v>0</v>
      </c>
      <c r="K145" s="154">
        <f t="shared" si="28"/>
        <v>0</v>
      </c>
      <c r="L145" s="154">
        <f t="shared" si="28"/>
        <v>0</v>
      </c>
      <c r="M145" s="154">
        <f t="shared" si="28"/>
        <v>0</v>
      </c>
      <c r="N145" s="154">
        <f t="shared" si="28"/>
        <v>0</v>
      </c>
    </row>
    <row r="146" spans="1:14" ht="12" x14ac:dyDescent="0.2">
      <c r="F146" s="444"/>
      <c r="G146" s="42" t="str">
        <f>STRAT10_IND2</f>
        <v>Objetivo estratégico 10 Indicador 2</v>
      </c>
      <c r="H146" s="268" t="str">
        <f ca="1">OFFSET(Variables_Lu!$D$10,Basic_Setup!H89,0)</f>
        <v>Nutrition-specific</v>
      </c>
      <c r="I146" s="67">
        <f t="shared" si="28"/>
        <v>0</v>
      </c>
      <c r="J146" s="154">
        <f t="shared" si="28"/>
        <v>0</v>
      </c>
      <c r="K146" s="154">
        <f t="shared" si="28"/>
        <v>0</v>
      </c>
      <c r="L146" s="154">
        <f t="shared" si="28"/>
        <v>0</v>
      </c>
      <c r="M146" s="154">
        <f t="shared" si="28"/>
        <v>0</v>
      </c>
      <c r="N146" s="154">
        <f t="shared" si="28"/>
        <v>0</v>
      </c>
    </row>
    <row r="147" spans="1:14" ht="12" x14ac:dyDescent="0.2">
      <c r="F147" s="444"/>
      <c r="G147" s="42" t="str">
        <f>STRAT10_IND3</f>
        <v>Objetivo estratégico 10 Indicador 3</v>
      </c>
      <c r="H147" s="268" t="str">
        <f ca="1">OFFSET(Variables_Lu!$D$10,Basic_Setup!H90,0)</f>
        <v>Nutrition-specific</v>
      </c>
      <c r="I147" s="67">
        <f t="shared" si="28"/>
        <v>0</v>
      </c>
      <c r="J147" s="154">
        <f t="shared" si="28"/>
        <v>0</v>
      </c>
      <c r="K147" s="154">
        <f t="shared" si="28"/>
        <v>0</v>
      </c>
      <c r="L147" s="154">
        <f t="shared" si="28"/>
        <v>0</v>
      </c>
      <c r="M147" s="154">
        <f t="shared" si="28"/>
        <v>0</v>
      </c>
      <c r="N147" s="154">
        <f t="shared" si="28"/>
        <v>0</v>
      </c>
    </row>
    <row r="148" spans="1:14" ht="12" x14ac:dyDescent="0.2">
      <c r="F148" s="444"/>
      <c r="G148" s="41" t="str">
        <f>STRAT10_IND4</f>
        <v>Objetivo estratégico 10 Indicador 4</v>
      </c>
      <c r="H148" s="268" t="str">
        <f ca="1">OFFSET(Variables_Lu!$D$10,Basic_Setup!H91,0)</f>
        <v>Nutrition-specific</v>
      </c>
      <c r="I148" s="67">
        <f t="shared" si="28"/>
        <v>0</v>
      </c>
      <c r="J148" s="154">
        <f t="shared" si="28"/>
        <v>0</v>
      </c>
      <c r="K148" s="154">
        <f t="shared" si="28"/>
        <v>0</v>
      </c>
      <c r="L148" s="154">
        <f t="shared" si="28"/>
        <v>0</v>
      </c>
      <c r="M148" s="154">
        <f t="shared" si="28"/>
        <v>0</v>
      </c>
      <c r="N148" s="154">
        <f t="shared" si="28"/>
        <v>0</v>
      </c>
    </row>
    <row r="149" spans="1:14" ht="12.6" thickBot="1" x14ac:dyDescent="0.25">
      <c r="F149" s="445"/>
      <c r="G149" s="275" t="str">
        <f>STRAT10_IND5</f>
        <v>Objetivo estratégico 10 Indicador 5</v>
      </c>
      <c r="H149" s="270" t="str">
        <f ca="1">OFFSET(Variables_Lu!$D$10,Basic_Setup!H92,0)</f>
        <v>Nutrition-specific</v>
      </c>
      <c r="I149" s="67">
        <f t="shared" si="28"/>
        <v>0</v>
      </c>
      <c r="J149" s="154">
        <f t="shared" si="28"/>
        <v>0</v>
      </c>
      <c r="K149" s="154">
        <f t="shared" si="28"/>
        <v>0</v>
      </c>
      <c r="L149" s="154">
        <f t="shared" si="28"/>
        <v>0</v>
      </c>
      <c r="M149" s="154">
        <f t="shared" si="28"/>
        <v>0</v>
      </c>
      <c r="N149" s="154">
        <f t="shared" si="28"/>
        <v>0</v>
      </c>
    </row>
    <row r="150" spans="1:14" ht="12" x14ac:dyDescent="0.2">
      <c r="H150" s="152" t="s">
        <v>163</v>
      </c>
      <c r="I150" s="122">
        <f t="shared" si="28"/>
        <v>0</v>
      </c>
      <c r="J150" s="63">
        <f t="shared" si="28"/>
        <v>0</v>
      </c>
      <c r="K150" s="63">
        <f t="shared" si="28"/>
        <v>0</v>
      </c>
      <c r="L150" s="63">
        <f t="shared" si="28"/>
        <v>0</v>
      </c>
      <c r="M150" s="63">
        <f t="shared" si="28"/>
        <v>0</v>
      </c>
      <c r="N150" s="63">
        <f t="shared" si="28"/>
        <v>0</v>
      </c>
    </row>
    <row r="151" spans="1:14" x14ac:dyDescent="0.2">
      <c r="I151" s="231"/>
      <c r="J151" s="231"/>
      <c r="K151" s="231"/>
      <c r="L151" s="231"/>
      <c r="M151" s="231"/>
      <c r="N151" s="231"/>
    </row>
    <row r="152" spans="1:14" ht="12.6" thickBot="1" x14ac:dyDescent="0.25">
      <c r="H152" s="149" t="str">
        <f>"TOTAL - "&amp;$F$12</f>
        <v>TOTAL - [No está en uso]</v>
      </c>
      <c r="I152" s="65">
        <f t="shared" ref="I152:N152" si="29">I81/EXCHANGE_RATE</f>
        <v>0</v>
      </c>
      <c r="J152" s="65">
        <f t="shared" si="29"/>
        <v>0</v>
      </c>
      <c r="K152" s="65">
        <f t="shared" si="29"/>
        <v>0</v>
      </c>
      <c r="L152" s="65">
        <f t="shared" si="29"/>
        <v>0</v>
      </c>
      <c r="M152" s="65">
        <f t="shared" si="29"/>
        <v>0</v>
      </c>
      <c r="N152" s="65">
        <f t="shared" si="29"/>
        <v>0</v>
      </c>
    </row>
    <row r="153" spans="1:14" ht="12" x14ac:dyDescent="0.2">
      <c r="I153" s="149"/>
    </row>
    <row r="155" spans="1:14" x14ac:dyDescent="0.2">
      <c r="A155" s="39" t="s">
        <v>76</v>
      </c>
      <c r="B155" s="40" t="str">
        <f>"Summary of "&amp;Government9&amp;" - by Result/Indicator Type"</f>
        <v>Summary of [No está en uso]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t="e">
        <f ca="1">I159/$I$162</f>
        <v>#DIV/0!</v>
      </c>
      <c r="I159" s="68">
        <f ca="1">SUM(J159:N159)</f>
        <v>0</v>
      </c>
      <c r="J159" s="325">
        <f t="shared" ref="J159:N161" ca="1" si="30">J166*EXCHANGE_RATE</f>
        <v>0</v>
      </c>
      <c r="K159" s="325">
        <f t="shared" ca="1" si="30"/>
        <v>0</v>
      </c>
      <c r="L159" s="325">
        <f t="shared" ca="1" si="30"/>
        <v>0</v>
      </c>
      <c r="M159" s="325">
        <f t="shared" ca="1" si="30"/>
        <v>0</v>
      </c>
      <c r="N159" s="325">
        <f t="shared" ca="1" si="30"/>
        <v>0</v>
      </c>
    </row>
    <row r="160" spans="1:14" ht="12" x14ac:dyDescent="0.2">
      <c r="F160" s="38" t="str">
        <f>Lu_Nutrition_Sensitive</f>
        <v>Nutrition-sensitive</v>
      </c>
      <c r="G160" s="38"/>
      <c r="H160" s="289" t="e">
        <f t="shared" ref="H160:H161" ca="1" si="31">I160/$I$162</f>
        <v>#DIV/0!</v>
      </c>
      <c r="I160" s="69">
        <f ca="1">SUM(J160:N160)</f>
        <v>0</v>
      </c>
      <c r="J160" s="325">
        <f t="shared" ca="1" si="30"/>
        <v>0</v>
      </c>
      <c r="K160" s="325">
        <f t="shared" ca="1" si="30"/>
        <v>0</v>
      </c>
      <c r="L160" s="325">
        <f t="shared" ca="1" si="30"/>
        <v>0</v>
      </c>
      <c r="M160" s="325">
        <f t="shared" ca="1" si="30"/>
        <v>0</v>
      </c>
      <c r="N160" s="325">
        <f t="shared" ca="1" si="30"/>
        <v>0</v>
      </c>
    </row>
    <row r="161" spans="6:14" ht="12" x14ac:dyDescent="0.2">
      <c r="F161" s="38" t="str">
        <f>Lu_Governance</f>
        <v>Governance</v>
      </c>
      <c r="G161" s="38"/>
      <c r="H161" s="289" t="e">
        <f t="shared" ca="1" si="31"/>
        <v>#DIV/0!</v>
      </c>
      <c r="I161" s="69">
        <f ca="1">SUM(J161:N161)</f>
        <v>0</v>
      </c>
      <c r="J161" s="325">
        <f t="shared" ca="1" si="30"/>
        <v>0</v>
      </c>
      <c r="K161" s="325">
        <f t="shared" ca="1" si="30"/>
        <v>0</v>
      </c>
      <c r="L161" s="325">
        <f t="shared" ca="1" si="30"/>
        <v>0</v>
      </c>
      <c r="M161" s="325">
        <f t="shared" ca="1" si="30"/>
        <v>0</v>
      </c>
      <c r="N161" s="325">
        <f t="shared" ca="1" si="30"/>
        <v>0</v>
      </c>
    </row>
    <row r="162" spans="6:14" ht="12" x14ac:dyDescent="0.2">
      <c r="F162" s="324" t="str">
        <f>"TOTAL - "&amp;Summary_Govt_Contributions!$F$12&amp;" ("&amp;CURR_LCU_ABBR&amp;")"</f>
        <v>TOTAL - TODAS las contribuciones de las agencias gubernamentales (GOZ)</v>
      </c>
      <c r="G162" s="74"/>
      <c r="H162" s="291" t="e">
        <f ca="1">SUM(H159:H161)</f>
        <v>#DIV/0!</v>
      </c>
      <c r="I162" s="57">
        <f ca="1">SUM(J162:N162)</f>
        <v>0</v>
      </c>
      <c r="J162" s="55">
        <f ca="1">SUM(J159:J161)</f>
        <v>0</v>
      </c>
      <c r="K162" s="55">
        <f t="shared" ref="K162:N162" ca="1" si="32">SUM(K159:K161)</f>
        <v>0</v>
      </c>
      <c r="L162" s="55">
        <f t="shared" ca="1" si="32"/>
        <v>0</v>
      </c>
      <c r="M162" s="55">
        <f t="shared" ca="1" si="32"/>
        <v>0</v>
      </c>
      <c r="N162" s="55">
        <f t="shared" ca="1" si="32"/>
        <v>0</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t="e">
        <f ca="1">I166/$I$169</f>
        <v>#DIV/0!</v>
      </c>
      <c r="I166" s="404">
        <f ca="1">SUM(J166:N166)</f>
        <v>0</v>
      </c>
      <c r="J166" s="405">
        <f ca="1">SUMIF($H$91:$H$149,Lu_Nutrition_Specific,J$91:J$149)</f>
        <v>0</v>
      </c>
      <c r="K166" s="405">
        <f ca="1">SUMIF($H$91:$H$149,Lu_Nutrition_Specific,K$91:K$149)</f>
        <v>0</v>
      </c>
      <c r="L166" s="405">
        <f ca="1">SUMIF($H$91:$H$149,Lu_Nutrition_Specific,L$91:L$149)</f>
        <v>0</v>
      </c>
      <c r="M166" s="405">
        <f ca="1">SUMIF($H$91:$H$149,Lu_Nutrition_Specific,M$91:M$149)</f>
        <v>0</v>
      </c>
      <c r="N166" s="405">
        <f ca="1">SUMIF($H$91:$H$149,Lu_Nutrition_Specific,N$91:N$149)</f>
        <v>0</v>
      </c>
    </row>
    <row r="167" spans="6:14" ht="12" x14ac:dyDescent="0.2">
      <c r="F167" t="str">
        <f>Lu_Nutrition_Sensitive</f>
        <v>Nutrition-sensitive</v>
      </c>
      <c r="H167" s="289" t="e">
        <f t="shared" ref="H167:H168" ca="1" si="33">I167/$I$169</f>
        <v>#DIV/0!</v>
      </c>
      <c r="I167" s="404">
        <f t="shared" ref="I167:I168" ca="1" si="34">SUM(J167:N167)</f>
        <v>0</v>
      </c>
      <c r="J167" s="405">
        <f ca="1">SUMIF($H$91:$H$149,Lu_Nutrition_Sensitive,J$91:J$149)</f>
        <v>0</v>
      </c>
      <c r="K167" s="405">
        <f ca="1">SUMIF($H$91:$H$149,Lu_Nutrition_Sensitive,K$91:K$149)</f>
        <v>0</v>
      </c>
      <c r="L167" s="405">
        <f ca="1">SUMIF($H$91:$H$149,Lu_Nutrition_Sensitive,L$91:L$149)</f>
        <v>0</v>
      </c>
      <c r="M167" s="405">
        <f ca="1">SUMIF($H$91:$H$149,Lu_Nutrition_Sensitive,M$91:M$149)</f>
        <v>0</v>
      </c>
      <c r="N167" s="405">
        <f ca="1">SUMIF($H$91:$H$149,Lu_Nutrition_Sensitive,N$91:N$149)</f>
        <v>0</v>
      </c>
    </row>
    <row r="168" spans="6:14" ht="12" x14ac:dyDescent="0.2">
      <c r="F168" t="str">
        <f>Lu_Governance</f>
        <v>Governance</v>
      </c>
      <c r="H168" s="289" t="e">
        <f t="shared" ca="1" si="33"/>
        <v>#DIV/0!</v>
      </c>
      <c r="I168" s="404">
        <f t="shared" ca="1" si="34"/>
        <v>0</v>
      </c>
      <c r="J168" s="405">
        <f ca="1">SUMIF($H$91:$H$149,Lu_Governance,J$91:J$149)</f>
        <v>0</v>
      </c>
      <c r="K168" s="405">
        <f ca="1">SUMIF($H$91:$H$149,Lu_Governance,K$91:K$149)</f>
        <v>0</v>
      </c>
      <c r="L168" s="405">
        <f ca="1">SUMIF($H$91:$H$149,Lu_Governance,L$91:L$149)</f>
        <v>0</v>
      </c>
      <c r="M168" s="405">
        <f ca="1">SUMIF($H$91:$H$149,Lu_Governance,M$91:M$149)</f>
        <v>0</v>
      </c>
      <c r="N168" s="405">
        <f ca="1">SUMIF($H$91:$H$149,Lu_Governance,N$91:N$149)</f>
        <v>0</v>
      </c>
    </row>
    <row r="169" spans="6:14" ht="12" x14ac:dyDescent="0.2">
      <c r="F169" s="324" t="str">
        <f>"TOTAL - "&amp;Summary_Govt_Contributions!$F$12&amp;" ("&amp;CURR_INT_ABBR&amp;")"</f>
        <v>TOTAL - TODAS las contribuciones de las agencias gubernamentales (USD)</v>
      </c>
      <c r="G169" s="74"/>
      <c r="H169" s="291" t="e">
        <f ca="1">SUM(H166:H168)</f>
        <v>#DIV/0!</v>
      </c>
      <c r="I169" s="295">
        <f ca="1">SUM(J169:N169)</f>
        <v>0</v>
      </c>
      <c r="J169" s="55">
        <f ca="1">SUM(J166:J168)</f>
        <v>0</v>
      </c>
      <c r="K169" s="55">
        <f t="shared" ref="K169:N169" ca="1" si="35">SUM(K166:K168)</f>
        <v>0</v>
      </c>
      <c r="L169" s="55">
        <f t="shared" ca="1" si="35"/>
        <v>0</v>
      </c>
      <c r="M169" s="55">
        <f t="shared" ca="1" si="35"/>
        <v>0</v>
      </c>
      <c r="N169" s="55">
        <f t="shared" ca="1" si="35"/>
        <v>0</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4 J74:N78 J44:N48 J26:N30 J32:N36 J50:N54 J56:N60 J62:N66 J68:N72 J145:N149 J139:N143 J127:N131 J133:N137 J115:N119 J109:N113 J103:N107 J121:N125 J91:N95 J97:N101 J38:N42" xr:uid="{00000000-0002-0000-1300-000000000000}">
      <formula1>NOT(ISERROR(J20/1))</formula1>
    </dataValidation>
  </dataValidations>
  <hyperlinks>
    <hyperlink ref="A4" r:id="rId1" tooltip="Go to Top of Sheet" xr:uid="{00000000-0004-0000-1300-000000000000}"/>
    <hyperlink ref="B4" location="HL_Sheet_Main_27" tooltip="Go to Previous Sheet" display="ç" xr:uid="{00000000-0004-0000-1300-000001000000}"/>
    <hyperlink ref="C4" location="HL_Sheet_Main_29" tooltip="Go to Next Sheet" display="è" xr:uid="{00000000-0004-0000-1300-000002000000}"/>
    <hyperlink ref="B3" location="HL_Home" tooltip="Go to Table of Contents" display="Go to Table of Contents" xr:uid="{00000000-0004-0000-1300-000003000000}"/>
    <hyperlink ref="A14" location="Summary_Govt_Contributions!B14" tooltip="Click to follow hyperlink." display="ð" xr:uid="{00000000-0004-0000-1300-000004000000}"/>
    <hyperlink ref="A155" location="Summary_Govt_Contributions!B14" tooltip="Click to follow hyperlink." display="ð" xr:uid="{00000000-0004-0000-1300-000005000000}"/>
  </hyperlinks>
  <pageMargins left="0.4" right="0.4" top="0.6" bottom="1" header="0" footer="0.3"/>
  <pageSetup orientation="landscape" r:id="rId2"/>
  <headerFooter>
    <oddFooter>&amp;L&amp;F
&amp;A
Printed: &amp;T on &amp;D&amp;C&amp;",Bold"Sheet 2.k.
Page &amp;P of &amp;N</oddFooter>
  </headerFooter>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N169"/>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2.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Government10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F12" s="276" t="str">
        <f>Government10</f>
        <v>[No está en uso]</v>
      </c>
      <c r="G12" s="60"/>
    </row>
    <row r="13" spans="1:14" s="38" customFormat="1" x14ac:dyDescent="0.2">
      <c r="G13"/>
    </row>
    <row r="14" spans="1:14" s="38" customFormat="1" x14ac:dyDescent="0.2">
      <c r="A14" s="39" t="s">
        <v>76</v>
      </c>
      <c r="B14" s="40" t="str">
        <f>"Planned Annual Contributions by "&amp;Government10&amp;" - by Strategic Objective and Result/Indicator"</f>
        <v>Planned Annual Contributions by [No está en uso]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253" t="s">
        <v>106</v>
      </c>
      <c r="J19" s="54" t="str">
        <f>CURR_LCU_ABBR</f>
        <v>GOZ</v>
      </c>
      <c r="K19" s="54" t="str">
        <f>CURR_LCU_ABBR</f>
        <v>GOZ</v>
      </c>
      <c r="L19" s="54" t="str">
        <f>CURR_LCU_ABBR</f>
        <v>GOZ</v>
      </c>
      <c r="M19" s="54" t="str">
        <f>CURR_LCU_ABBR</f>
        <v>GOZ</v>
      </c>
      <c r="N19" s="54" t="str">
        <f>CURR_LCU_ABBR</f>
        <v>GOZ</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262">
        <f>SUM(J20:N20)</f>
        <v>0</v>
      </c>
      <c r="J20" s="37"/>
      <c r="K20" s="37"/>
      <c r="L20" s="37"/>
      <c r="M20" s="37"/>
      <c r="N20" s="37"/>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262">
        <f t="shared" ref="I21:I23" si="2">SUM(J21:N21)</f>
        <v>0</v>
      </c>
      <c r="J21" s="37"/>
      <c r="K21" s="37"/>
      <c r="L21" s="37"/>
      <c r="M21" s="37"/>
      <c r="N21" s="37"/>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262">
        <f t="shared" si="2"/>
        <v>0</v>
      </c>
      <c r="J22" s="37"/>
      <c r="K22" s="37"/>
      <c r="L22" s="37"/>
      <c r="M22" s="37"/>
      <c r="N22" s="37"/>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262">
        <f t="shared" si="2"/>
        <v>0</v>
      </c>
      <c r="J23" s="37"/>
      <c r="K23" s="37"/>
      <c r="L23" s="37"/>
      <c r="M23" s="37"/>
      <c r="N23" s="37"/>
    </row>
    <row r="24" spans="6:14" s="38" customFormat="1" ht="12" x14ac:dyDescent="0.2">
      <c r="F24" s="448"/>
      <c r="G24" s="41" t="str">
        <f>STRAT1_IND5</f>
        <v>Objetivo estratégico 1 Indicador 5</v>
      </c>
      <c r="H24" s="260" t="str">
        <f ca="1">OFFSET(Variables_Lu!$D$10,Basic_Setup!H38,0)</f>
        <v>Governance</v>
      </c>
      <c r="I24" s="262">
        <f>SUM(J24:N24)</f>
        <v>0</v>
      </c>
      <c r="J24" s="37"/>
      <c r="K24" s="37"/>
      <c r="L24" s="37"/>
      <c r="M24" s="37"/>
      <c r="N24" s="37"/>
    </row>
    <row r="25" spans="6:14" s="38" customFormat="1" ht="12" x14ac:dyDescent="0.2">
      <c r="H25" s="152" t="s">
        <v>107</v>
      </c>
      <c r="I25" s="265">
        <f>SUM(I20:I24)</f>
        <v>0</v>
      </c>
      <c r="J25" s="265">
        <f>SUM(J20:J24)</f>
        <v>0</v>
      </c>
      <c r="K25" s="265">
        <f t="shared" ref="K25:M25" si="3">SUM(K20:K24)</f>
        <v>0</v>
      </c>
      <c r="L25" s="265">
        <f t="shared" si="3"/>
        <v>0</v>
      </c>
      <c r="M25" s="265">
        <f t="shared" si="3"/>
        <v>0</v>
      </c>
      <c r="N25" s="265">
        <f>SUM(N20:N24)</f>
        <v>0</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262">
        <f>SUM(J26:N26)</f>
        <v>0</v>
      </c>
      <c r="J26" s="383"/>
      <c r="K26" s="383"/>
      <c r="L26" s="383"/>
      <c r="M26" s="383"/>
      <c r="N26" s="383"/>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262">
        <f t="shared" ref="I27:I30" si="4">SUM(J27:N27)</f>
        <v>0</v>
      </c>
      <c r="J27" s="383"/>
      <c r="K27" s="383"/>
      <c r="L27" s="383"/>
      <c r="M27" s="383"/>
      <c r="N27" s="383"/>
    </row>
    <row r="28" spans="6:14" s="38" customFormat="1" ht="22.8" x14ac:dyDescent="0.2">
      <c r="F28" s="447"/>
      <c r="G28" s="42" t="str">
        <f>STRAT2_IND3</f>
        <v>Se refuerzan las intervenciones comunitarias en materia de nutrición.</v>
      </c>
      <c r="H28" s="260" t="str">
        <f ca="1">OFFSET(Variables_Lu!$D$10,Basic_Setup!H42,0)</f>
        <v>Nutrition-specific</v>
      </c>
      <c r="I28" s="262">
        <f t="shared" si="4"/>
        <v>0</v>
      </c>
      <c r="J28" s="383"/>
      <c r="K28" s="383"/>
      <c r="L28" s="383"/>
      <c r="M28" s="383"/>
      <c r="N28" s="383"/>
    </row>
    <row r="29" spans="6:14" s="38" customFormat="1" ht="12" x14ac:dyDescent="0.2">
      <c r="F29" s="447"/>
      <c r="G29" s="41" t="str">
        <f>STRAT2_IND4</f>
        <v>Objetivo estratégico 2 Indicador 4</v>
      </c>
      <c r="H29" s="260" t="str">
        <f ca="1">OFFSET(Variables_Lu!$D$10,Basic_Setup!H43,0)</f>
        <v>Nutrition-specific</v>
      </c>
      <c r="I29" s="262">
        <f t="shared" si="4"/>
        <v>0</v>
      </c>
      <c r="J29" s="383"/>
      <c r="K29" s="383"/>
      <c r="L29" s="383"/>
      <c r="M29" s="383"/>
      <c r="N29" s="383"/>
    </row>
    <row r="30" spans="6:14" s="38" customFormat="1" ht="12" x14ac:dyDescent="0.2">
      <c r="F30" s="448"/>
      <c r="G30" s="41" t="str">
        <f>STRAT2_IND5</f>
        <v>Objetivo estratégico 2 Indicador 5</v>
      </c>
      <c r="H30" s="260" t="str">
        <f ca="1">OFFSET(Variables_Lu!$D$10,Basic_Setup!H44,0)</f>
        <v>Nutrition-specific</v>
      </c>
      <c r="I30" s="262">
        <f t="shared" si="4"/>
        <v>0</v>
      </c>
      <c r="J30" s="383"/>
      <c r="K30" s="383"/>
      <c r="L30" s="383"/>
      <c r="M30" s="383"/>
      <c r="N30" s="383"/>
    </row>
    <row r="31" spans="6:14" s="38" customFormat="1" ht="12" x14ac:dyDescent="0.2">
      <c r="H31" s="152" t="s">
        <v>108</v>
      </c>
      <c r="I31" s="265">
        <f>SUM(I26:I30)</f>
        <v>0</v>
      </c>
      <c r="J31" s="265">
        <f t="shared" ref="J31:N31" si="5">SUM(J26:J30)</f>
        <v>0</v>
      </c>
      <c r="K31" s="265">
        <f t="shared" si="5"/>
        <v>0</v>
      </c>
      <c r="L31" s="265">
        <f t="shared" si="5"/>
        <v>0</v>
      </c>
      <c r="M31" s="265">
        <f t="shared" si="5"/>
        <v>0</v>
      </c>
      <c r="N31" s="265">
        <f t="shared" si="5"/>
        <v>0</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262">
        <f>SUM(J32:N32)</f>
        <v>0</v>
      </c>
      <c r="J32" s="383"/>
      <c r="K32" s="383"/>
      <c r="L32" s="383"/>
      <c r="M32" s="383"/>
      <c r="N32" s="383"/>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262">
        <f t="shared" ref="I33:I36" si="6">SUM(J33:N33)</f>
        <v>0</v>
      </c>
      <c r="J33" s="383"/>
      <c r="K33" s="383"/>
      <c r="L33" s="383"/>
      <c r="M33" s="383"/>
      <c r="N33" s="383"/>
    </row>
    <row r="34" spans="6:14" s="38" customFormat="1" ht="12" x14ac:dyDescent="0.2">
      <c r="F34" s="447"/>
      <c r="G34" s="42" t="str">
        <f>STRAT3_IND3</f>
        <v>Objetivo estratégico 3 Indicador 3</v>
      </c>
      <c r="H34" s="260" t="str">
        <f ca="1">OFFSET(Variables_Lu!$D$10,Basic_Setup!H48,0)</f>
        <v>Nutrition-specific</v>
      </c>
      <c r="I34" s="262">
        <f t="shared" si="6"/>
        <v>0</v>
      </c>
      <c r="J34" s="383"/>
      <c r="K34" s="383"/>
      <c r="L34" s="383"/>
      <c r="M34" s="383"/>
      <c r="N34" s="383"/>
    </row>
    <row r="35" spans="6:14" s="38" customFormat="1" ht="12" x14ac:dyDescent="0.2">
      <c r="F35" s="447"/>
      <c r="G35" s="41" t="str">
        <f>STRAT3_IND4</f>
        <v>Objetivo estratégico 3 Indicador 4</v>
      </c>
      <c r="H35" s="260" t="str">
        <f ca="1">OFFSET(Variables_Lu!$D$10,Basic_Setup!H49,0)</f>
        <v>Nutrition-specific</v>
      </c>
      <c r="I35" s="262">
        <f t="shared" si="6"/>
        <v>0</v>
      </c>
      <c r="J35" s="383"/>
      <c r="K35" s="383"/>
      <c r="L35" s="383"/>
      <c r="M35" s="383"/>
      <c r="N35" s="383"/>
    </row>
    <row r="36" spans="6:14" s="38" customFormat="1" ht="12" x14ac:dyDescent="0.2">
      <c r="F36" s="448"/>
      <c r="G36" s="41" t="str">
        <f>STRAT3_IND5</f>
        <v>Objetivo estratégico 3 Indicador 5</v>
      </c>
      <c r="H36" s="260" t="str">
        <f ca="1">OFFSET(Variables_Lu!$D$10,Basic_Setup!H50,0)</f>
        <v>Nutrition-specific</v>
      </c>
      <c r="I36" s="262">
        <f t="shared" si="6"/>
        <v>0</v>
      </c>
      <c r="J36" s="383"/>
      <c r="K36" s="383"/>
      <c r="L36" s="383"/>
      <c r="M36" s="383"/>
      <c r="N36" s="383"/>
    </row>
    <row r="37" spans="6:14" ht="12" x14ac:dyDescent="0.2">
      <c r="H37" s="152" t="s">
        <v>109</v>
      </c>
      <c r="I37" s="265">
        <f>SUM(I32:I36)</f>
        <v>0</v>
      </c>
      <c r="J37" s="265">
        <f t="shared" ref="J37:N37" si="7">SUM(J32:J36)</f>
        <v>0</v>
      </c>
      <c r="K37" s="265">
        <f t="shared" si="7"/>
        <v>0</v>
      </c>
      <c r="L37" s="265">
        <f t="shared" si="7"/>
        <v>0</v>
      </c>
      <c r="M37" s="265">
        <f t="shared" si="7"/>
        <v>0</v>
      </c>
      <c r="N37" s="265">
        <f t="shared" si="7"/>
        <v>0</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262">
        <f>SUM(J38:N38)</f>
        <v>0</v>
      </c>
      <c r="J38" s="383"/>
      <c r="K38" s="383"/>
      <c r="L38" s="383"/>
      <c r="M38" s="383"/>
      <c r="N38" s="383"/>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262">
        <f t="shared" ref="I39:I42" si="8">SUM(J39:N39)</f>
        <v>0</v>
      </c>
      <c r="J39" s="383"/>
      <c r="K39" s="383"/>
      <c r="L39" s="383"/>
      <c r="M39" s="383"/>
      <c r="N39" s="383"/>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262">
        <f t="shared" si="8"/>
        <v>0</v>
      </c>
      <c r="J40" s="383"/>
      <c r="K40" s="383"/>
      <c r="L40" s="383"/>
      <c r="M40" s="383"/>
      <c r="N40" s="383"/>
    </row>
    <row r="41" spans="6:14" ht="12" x14ac:dyDescent="0.2">
      <c r="F41" s="447"/>
      <c r="G41" s="41" t="str">
        <f>STRAT4_IND4</f>
        <v>Objetivo estratégico 4 Indicador 4</v>
      </c>
      <c r="H41" s="260" t="str">
        <f ca="1">OFFSET(Variables_Lu!$D$10,Basic_Setup!H55,0)</f>
        <v>Nutrition-specific</v>
      </c>
      <c r="I41" s="262">
        <f t="shared" si="8"/>
        <v>0</v>
      </c>
      <c r="J41" s="383"/>
      <c r="K41" s="383"/>
      <c r="L41" s="383"/>
      <c r="M41" s="383"/>
      <c r="N41" s="383"/>
    </row>
    <row r="42" spans="6:14" ht="12" x14ac:dyDescent="0.2">
      <c r="F42" s="448"/>
      <c r="G42" s="41" t="str">
        <f>STRAT4_IND5</f>
        <v>Objetivo estratégico 4 Indicador 5</v>
      </c>
      <c r="H42" s="260" t="str">
        <f ca="1">OFFSET(Variables_Lu!$D$10,Basic_Setup!H56,0)</f>
        <v>Nutrition-specific</v>
      </c>
      <c r="I42" s="262">
        <f t="shared" si="8"/>
        <v>0</v>
      </c>
      <c r="J42" s="383"/>
      <c r="K42" s="383"/>
      <c r="L42" s="383"/>
      <c r="M42" s="383"/>
      <c r="N42" s="383"/>
    </row>
    <row r="43" spans="6:14" ht="12" x14ac:dyDescent="0.2">
      <c r="H43" s="152" t="s">
        <v>110</v>
      </c>
      <c r="I43" s="265">
        <f>SUM(I38:I42)</f>
        <v>0</v>
      </c>
      <c r="J43" s="265">
        <f t="shared" ref="J43:N43" si="9">SUM(J38:J42)</f>
        <v>0</v>
      </c>
      <c r="K43" s="265">
        <f t="shared" si="9"/>
        <v>0</v>
      </c>
      <c r="L43" s="265">
        <f t="shared" si="9"/>
        <v>0</v>
      </c>
      <c r="M43" s="265">
        <f t="shared" si="9"/>
        <v>0</v>
      </c>
      <c r="N43" s="265">
        <f t="shared" si="9"/>
        <v>0</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262">
        <f>SUM(J44:N44)</f>
        <v>0</v>
      </c>
      <c r="J44" s="37">
        <v>0</v>
      </c>
      <c r="K44" s="37">
        <v>0</v>
      </c>
      <c r="L44" s="37">
        <v>0</v>
      </c>
      <c r="M44" s="37">
        <v>0</v>
      </c>
      <c r="N44" s="37">
        <v>0</v>
      </c>
    </row>
    <row r="45" spans="6:14" ht="22.8" x14ac:dyDescent="0.2">
      <c r="F45" s="447"/>
      <c r="G45" s="42" t="str">
        <f>STRAT5_IND2</f>
        <v>Se promueven dietas saludables y estilos de vida saludables para las personas.</v>
      </c>
      <c r="H45" s="260" t="str">
        <f ca="1">OFFSET(Variables_Lu!$D$10,Basic_Setup!H59,0)</f>
        <v>Nutrition-specific</v>
      </c>
      <c r="I45" s="262">
        <f t="shared" ref="I45:I48" si="10">SUM(J45:N45)</f>
        <v>0</v>
      </c>
      <c r="J45" s="37">
        <v>0</v>
      </c>
      <c r="K45" s="37">
        <v>0</v>
      </c>
      <c r="L45" s="37">
        <v>0</v>
      </c>
      <c r="M45" s="37">
        <v>0</v>
      </c>
      <c r="N45" s="37">
        <v>0</v>
      </c>
    </row>
    <row r="46" spans="6:14" ht="22.8" x14ac:dyDescent="0.2">
      <c r="F46" s="447"/>
      <c r="G46" s="42" t="str">
        <f>STRAT5_IND3</f>
        <v>Se promueven las buenas prácticas WASH a nivel comunitario y doméstico</v>
      </c>
      <c r="H46" s="260" t="str">
        <f ca="1">OFFSET(Variables_Lu!$D$10,Basic_Setup!H60,0)</f>
        <v>Nutrition-sensitive</v>
      </c>
      <c r="I46" s="262">
        <f t="shared" si="10"/>
        <v>0</v>
      </c>
      <c r="J46" s="37">
        <v>0</v>
      </c>
      <c r="K46" s="37">
        <v>0</v>
      </c>
      <c r="L46" s="37">
        <v>0</v>
      </c>
      <c r="M46" s="37">
        <v>0</v>
      </c>
      <c r="N46" s="37">
        <v>0</v>
      </c>
    </row>
    <row r="47" spans="6:14" ht="12" x14ac:dyDescent="0.2">
      <c r="F47" s="447"/>
      <c r="G47" s="41" t="str">
        <f>STRAT5_IND4</f>
        <v>Objetivo estratégico 5 Indicador 4</v>
      </c>
      <c r="H47" s="260" t="str">
        <f ca="1">OFFSET(Variables_Lu!$D$10,Basic_Setup!H61,0)</f>
        <v>Nutrition-specific</v>
      </c>
      <c r="I47" s="262">
        <f t="shared" si="10"/>
        <v>0</v>
      </c>
      <c r="J47" s="37">
        <v>0</v>
      </c>
      <c r="K47" s="37">
        <v>0</v>
      </c>
      <c r="L47" s="37">
        <v>0</v>
      </c>
      <c r="M47" s="37">
        <v>0</v>
      </c>
      <c r="N47" s="37">
        <v>0</v>
      </c>
    </row>
    <row r="48" spans="6:14" ht="12" x14ac:dyDescent="0.2">
      <c r="F48" s="448"/>
      <c r="G48" s="41" t="str">
        <f>STRAT5_IND5</f>
        <v>Objetivo estratégico 5 Indicador 5</v>
      </c>
      <c r="H48" s="260" t="str">
        <f ca="1">OFFSET(Variables_Lu!$D$10,Basic_Setup!H62,0)</f>
        <v>Nutrition-specific</v>
      </c>
      <c r="I48" s="262">
        <f t="shared" si="10"/>
        <v>0</v>
      </c>
      <c r="J48" s="37">
        <v>0</v>
      </c>
      <c r="K48" s="37">
        <v>0</v>
      </c>
      <c r="L48" s="37">
        <v>0</v>
      </c>
      <c r="M48" s="37">
        <v>0</v>
      </c>
      <c r="N48" s="37">
        <v>0</v>
      </c>
    </row>
    <row r="49" spans="6:14" ht="12" x14ac:dyDescent="0.2">
      <c r="H49" s="152" t="s">
        <v>111</v>
      </c>
      <c r="I49" s="265">
        <f>SUM(I44:I48)</f>
        <v>0</v>
      </c>
      <c r="J49" s="265">
        <f t="shared" ref="J49:N49" si="11">SUM(J44:J48)</f>
        <v>0</v>
      </c>
      <c r="K49" s="265">
        <f t="shared" si="11"/>
        <v>0</v>
      </c>
      <c r="L49" s="265">
        <f t="shared" si="11"/>
        <v>0</v>
      </c>
      <c r="M49" s="265">
        <f t="shared" si="11"/>
        <v>0</v>
      </c>
      <c r="N49" s="265">
        <f t="shared" si="11"/>
        <v>0</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262">
        <f>SUM(J50:N50)</f>
        <v>0</v>
      </c>
      <c r="J50" s="37">
        <v>0</v>
      </c>
      <c r="K50" s="37">
        <v>0</v>
      </c>
      <c r="L50" s="37">
        <v>0</v>
      </c>
      <c r="M50" s="37">
        <v>0</v>
      </c>
      <c r="N50" s="37">
        <v>0</v>
      </c>
    </row>
    <row r="51" spans="6:14" ht="12" x14ac:dyDescent="0.2">
      <c r="F51" s="447"/>
      <c r="G51" s="42" t="str">
        <f>STRAT6_IND2</f>
        <v>Objetivo estratégico 6 Indicador 2</v>
      </c>
      <c r="H51" s="260" t="str">
        <f ca="1">OFFSET(Variables_Lu!$D$10,Basic_Setup!H65,0)</f>
        <v>Nutrition-specific</v>
      </c>
      <c r="I51" s="262">
        <f t="shared" ref="I51:I54" si="12">SUM(J51:N51)</f>
        <v>0</v>
      </c>
      <c r="J51" s="37">
        <v>0</v>
      </c>
      <c r="K51" s="37">
        <v>0</v>
      </c>
      <c r="L51" s="37">
        <v>0</v>
      </c>
      <c r="M51" s="37">
        <v>0</v>
      </c>
      <c r="N51" s="37">
        <v>0</v>
      </c>
    </row>
    <row r="52" spans="6:14" ht="12" x14ac:dyDescent="0.2">
      <c r="F52" s="447"/>
      <c r="G52" s="42" t="str">
        <f>STRAT6_IND3</f>
        <v>Objetivo estratégico 6 Indicador 3</v>
      </c>
      <c r="H52" s="260" t="str">
        <f ca="1">OFFSET(Variables_Lu!$D$10,Basic_Setup!H66,0)</f>
        <v>Nutrition-specific</v>
      </c>
      <c r="I52" s="262">
        <f t="shared" si="12"/>
        <v>0</v>
      </c>
      <c r="J52" s="37">
        <v>0</v>
      </c>
      <c r="K52" s="37">
        <v>0</v>
      </c>
      <c r="L52" s="37">
        <v>0</v>
      </c>
      <c r="M52" s="37">
        <v>0</v>
      </c>
      <c r="N52" s="37">
        <v>0</v>
      </c>
    </row>
    <row r="53" spans="6:14" ht="12" x14ac:dyDescent="0.2">
      <c r="F53" s="447"/>
      <c r="G53" s="41" t="str">
        <f>STRAT6_IND4</f>
        <v>Objetivo estratégico 6 Indicador 4</v>
      </c>
      <c r="H53" s="260" t="str">
        <f ca="1">OFFSET(Variables_Lu!$D$10,Basic_Setup!H67,0)</f>
        <v>Nutrition-specific</v>
      </c>
      <c r="I53" s="262">
        <f t="shared" si="12"/>
        <v>0</v>
      </c>
      <c r="J53" s="37">
        <v>0</v>
      </c>
      <c r="K53" s="37">
        <v>0</v>
      </c>
      <c r="L53" s="37">
        <v>0</v>
      </c>
      <c r="M53" s="37">
        <v>0</v>
      </c>
      <c r="N53" s="37">
        <v>0</v>
      </c>
    </row>
    <row r="54" spans="6:14" ht="12" x14ac:dyDescent="0.2">
      <c r="F54" s="448"/>
      <c r="G54" s="41" t="str">
        <f>STRAT6_IND5</f>
        <v>Objetivo estratégico 6 Indicador 5</v>
      </c>
      <c r="H54" s="260" t="str">
        <f ca="1">OFFSET(Variables_Lu!$D$10,Basic_Setup!H68,0)</f>
        <v>Nutrition-specific</v>
      </c>
      <c r="I54" s="262">
        <f t="shared" si="12"/>
        <v>0</v>
      </c>
      <c r="J54" s="37">
        <v>0</v>
      </c>
      <c r="K54" s="37">
        <v>0</v>
      </c>
      <c r="L54" s="37">
        <v>0</v>
      </c>
      <c r="M54" s="37">
        <v>0</v>
      </c>
      <c r="N54" s="37">
        <v>0</v>
      </c>
    </row>
    <row r="55" spans="6:14" ht="12" x14ac:dyDescent="0.2">
      <c r="H55" s="152" t="s">
        <v>159</v>
      </c>
      <c r="I55" s="265">
        <f>SUM(I50:I54)</f>
        <v>0</v>
      </c>
      <c r="J55" s="265">
        <f t="shared" ref="J55:N55" si="13">SUM(J50:J54)</f>
        <v>0</v>
      </c>
      <c r="K55" s="265">
        <f t="shared" si="13"/>
        <v>0</v>
      </c>
      <c r="L55" s="265">
        <f t="shared" si="13"/>
        <v>0</v>
      </c>
      <c r="M55" s="265">
        <f t="shared" si="13"/>
        <v>0</v>
      </c>
      <c r="N55" s="265">
        <f t="shared" si="13"/>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262">
        <f>SUM(J56:N56)</f>
        <v>0</v>
      </c>
      <c r="J56" s="37">
        <v>0</v>
      </c>
      <c r="K56" s="37">
        <v>0</v>
      </c>
      <c r="L56" s="37">
        <v>0</v>
      </c>
      <c r="M56" s="37">
        <v>0</v>
      </c>
      <c r="N56" s="37">
        <v>0</v>
      </c>
    </row>
    <row r="57" spans="6:14" ht="12" x14ac:dyDescent="0.2">
      <c r="F57" s="447"/>
      <c r="G57" s="42" t="str">
        <f>STRAT7_IND2</f>
        <v>Objetivo estratégico 7 Indicador 2</v>
      </c>
      <c r="H57" s="260" t="str">
        <f ca="1">OFFSET(Variables_Lu!$D$10,Basic_Setup!H71,0)</f>
        <v>Nutrition-specific</v>
      </c>
      <c r="I57" s="262">
        <f t="shared" ref="I57:I60" si="14">SUM(J57:N57)</f>
        <v>0</v>
      </c>
      <c r="J57" s="37">
        <v>0</v>
      </c>
      <c r="K57" s="37">
        <v>0</v>
      </c>
      <c r="L57" s="37">
        <v>0</v>
      </c>
      <c r="M57" s="37">
        <v>0</v>
      </c>
      <c r="N57" s="37">
        <v>0</v>
      </c>
    </row>
    <row r="58" spans="6:14" ht="12" x14ac:dyDescent="0.2">
      <c r="F58" s="447"/>
      <c r="G58" s="42" t="str">
        <f>STRAT7_IND3</f>
        <v>Objetivo estratégico 7 Indicador 3</v>
      </c>
      <c r="H58" s="260" t="str">
        <f ca="1">OFFSET(Variables_Lu!$D$10,Basic_Setup!H72,0)</f>
        <v>Nutrition-specific</v>
      </c>
      <c r="I58" s="262">
        <f t="shared" si="14"/>
        <v>0</v>
      </c>
      <c r="J58" s="37">
        <v>0</v>
      </c>
      <c r="K58" s="37">
        <v>0</v>
      </c>
      <c r="L58" s="37">
        <v>0</v>
      </c>
      <c r="M58" s="37">
        <v>0</v>
      </c>
      <c r="N58" s="37">
        <v>0</v>
      </c>
    </row>
    <row r="59" spans="6:14" ht="12" x14ac:dyDescent="0.2">
      <c r="F59" s="447"/>
      <c r="G59" s="41" t="str">
        <f>STRAT7_IND4</f>
        <v>Objetivo estratégico 7 Indicador 4</v>
      </c>
      <c r="H59" s="260" t="str">
        <f ca="1">OFFSET(Variables_Lu!$D$10,Basic_Setup!H73,0)</f>
        <v>Nutrition-specific</v>
      </c>
      <c r="I59" s="262">
        <f t="shared" si="14"/>
        <v>0</v>
      </c>
      <c r="J59" s="37">
        <v>0</v>
      </c>
      <c r="K59" s="37">
        <v>0</v>
      </c>
      <c r="L59" s="37">
        <v>0</v>
      </c>
      <c r="M59" s="37">
        <v>0</v>
      </c>
      <c r="N59" s="37">
        <v>0</v>
      </c>
    </row>
    <row r="60" spans="6:14" ht="12" x14ac:dyDescent="0.2">
      <c r="F60" s="448"/>
      <c r="G60" s="41" t="str">
        <f>STRAT7_IND5</f>
        <v>Objetivo estratégico 7 Indicador 5</v>
      </c>
      <c r="H60" s="260" t="str">
        <f ca="1">OFFSET(Variables_Lu!$D$10,Basic_Setup!H74,0)</f>
        <v>Nutrition-specific</v>
      </c>
      <c r="I60" s="262">
        <f t="shared" si="14"/>
        <v>0</v>
      </c>
      <c r="J60" s="37">
        <v>0</v>
      </c>
      <c r="K60" s="37">
        <v>0</v>
      </c>
      <c r="L60" s="37">
        <v>0</v>
      </c>
      <c r="M60" s="37">
        <v>0</v>
      </c>
      <c r="N60" s="37">
        <v>0</v>
      </c>
    </row>
    <row r="61" spans="6:14" ht="12" x14ac:dyDescent="0.2">
      <c r="H61" s="152" t="s">
        <v>160</v>
      </c>
      <c r="I61" s="265">
        <f>SUM(I56:I60)</f>
        <v>0</v>
      </c>
      <c r="J61" s="265">
        <f t="shared" ref="J61:N61" si="15">SUM(J56:J60)</f>
        <v>0</v>
      </c>
      <c r="K61" s="265">
        <f t="shared" si="15"/>
        <v>0</v>
      </c>
      <c r="L61" s="265">
        <f t="shared" si="15"/>
        <v>0</v>
      </c>
      <c r="M61" s="265">
        <f t="shared" si="15"/>
        <v>0</v>
      </c>
      <c r="N61" s="265">
        <f t="shared" si="15"/>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262">
        <f>SUM(J62:N62)</f>
        <v>0</v>
      </c>
      <c r="J62" s="37">
        <v>0</v>
      </c>
      <c r="K62" s="37">
        <v>0</v>
      </c>
      <c r="L62" s="37">
        <v>0</v>
      </c>
      <c r="M62" s="37">
        <v>0</v>
      </c>
      <c r="N62" s="37">
        <v>0</v>
      </c>
    </row>
    <row r="63" spans="6:14" ht="12" x14ac:dyDescent="0.2">
      <c r="F63" s="447"/>
      <c r="G63" s="42" t="str">
        <f>STRAT8_IND2</f>
        <v>Objetivo estratégico 8 Indicador 2</v>
      </c>
      <c r="H63" s="260" t="str">
        <f ca="1">OFFSET(Variables_Lu!$D$10,Basic_Setup!H77,0)</f>
        <v>Nutrition-specific</v>
      </c>
      <c r="I63" s="262">
        <f t="shared" ref="I63:I66" si="16">SUM(J63:N63)</f>
        <v>0</v>
      </c>
      <c r="J63" s="37">
        <v>0</v>
      </c>
      <c r="K63" s="37">
        <v>0</v>
      </c>
      <c r="L63" s="37">
        <v>0</v>
      </c>
      <c r="M63" s="37">
        <v>0</v>
      </c>
      <c r="N63" s="37">
        <v>0</v>
      </c>
    </row>
    <row r="64" spans="6:14" ht="12" x14ac:dyDescent="0.2">
      <c r="F64" s="447"/>
      <c r="G64" s="42" t="str">
        <f>STRAT8_IND3</f>
        <v>Objetivo estratégico 8 Indicador 3</v>
      </c>
      <c r="H64" s="260" t="str">
        <f ca="1">OFFSET(Variables_Lu!$D$10,Basic_Setup!H78,0)</f>
        <v>Nutrition-specific</v>
      </c>
      <c r="I64" s="262">
        <f t="shared" si="16"/>
        <v>0</v>
      </c>
      <c r="J64" s="37">
        <v>0</v>
      </c>
      <c r="K64" s="37">
        <v>0</v>
      </c>
      <c r="L64" s="37">
        <v>0</v>
      </c>
      <c r="M64" s="37">
        <v>0</v>
      </c>
      <c r="N64" s="37">
        <v>0</v>
      </c>
    </row>
    <row r="65" spans="6:14" ht="12" x14ac:dyDescent="0.2">
      <c r="F65" s="447"/>
      <c r="G65" s="41" t="str">
        <f>STRAT8_IND4</f>
        <v>Objetivo estratégico 8 Indicador 4</v>
      </c>
      <c r="H65" s="260" t="str">
        <f ca="1">OFFSET(Variables_Lu!$D$10,Basic_Setup!H79,0)</f>
        <v>Nutrition-specific</v>
      </c>
      <c r="I65" s="262">
        <f t="shared" si="16"/>
        <v>0</v>
      </c>
      <c r="J65" s="37">
        <v>0</v>
      </c>
      <c r="K65" s="37">
        <v>0</v>
      </c>
      <c r="L65" s="37">
        <v>0</v>
      </c>
      <c r="M65" s="37">
        <v>0</v>
      </c>
      <c r="N65" s="37">
        <v>0</v>
      </c>
    </row>
    <row r="66" spans="6:14" ht="12" x14ac:dyDescent="0.2">
      <c r="F66" s="448"/>
      <c r="G66" s="41" t="str">
        <f>STRAT8_IND5</f>
        <v>Objetivo estratégico 8 Indicador 5</v>
      </c>
      <c r="H66" s="260" t="str">
        <f ca="1">OFFSET(Variables_Lu!$D$10,Basic_Setup!H80,0)</f>
        <v>Nutrition-specific</v>
      </c>
      <c r="I66" s="262">
        <f t="shared" si="16"/>
        <v>0</v>
      </c>
      <c r="J66" s="37">
        <v>0</v>
      </c>
      <c r="K66" s="37">
        <v>0</v>
      </c>
      <c r="L66" s="37">
        <v>0</v>
      </c>
      <c r="M66" s="37">
        <v>0</v>
      </c>
      <c r="N66" s="37">
        <v>0</v>
      </c>
    </row>
    <row r="67" spans="6:14" ht="12" x14ac:dyDescent="0.2">
      <c r="H67" s="152" t="s">
        <v>161</v>
      </c>
      <c r="I67" s="265">
        <f>SUM(I62:I66)</f>
        <v>0</v>
      </c>
      <c r="J67" s="265">
        <f t="shared" ref="J67:N67" si="17">SUM(J62:J66)</f>
        <v>0</v>
      </c>
      <c r="K67" s="265">
        <f t="shared" si="17"/>
        <v>0</v>
      </c>
      <c r="L67" s="265">
        <f t="shared" si="17"/>
        <v>0</v>
      </c>
      <c r="M67" s="265">
        <f t="shared" si="17"/>
        <v>0</v>
      </c>
      <c r="N67" s="265">
        <f t="shared" si="17"/>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262">
        <f>SUM(J68:N68)</f>
        <v>0</v>
      </c>
      <c r="J68" s="37">
        <v>0</v>
      </c>
      <c r="K68" s="37">
        <v>0</v>
      </c>
      <c r="L68" s="37">
        <v>0</v>
      </c>
      <c r="M68" s="37">
        <v>0</v>
      </c>
      <c r="N68" s="37">
        <v>0</v>
      </c>
    </row>
    <row r="69" spans="6:14" ht="12" x14ac:dyDescent="0.2">
      <c r="F69" s="447"/>
      <c r="G69" s="42" t="str">
        <f>STRAT9_IND2</f>
        <v>Objetivo estratégico 9 Indicador 2</v>
      </c>
      <c r="H69" s="260" t="str">
        <f ca="1">OFFSET(Variables_Lu!$D$10,Basic_Setup!H83,0)</f>
        <v>Nutrition-specific</v>
      </c>
      <c r="I69" s="262">
        <f t="shared" ref="I69:I72" si="18">SUM(J69:N69)</f>
        <v>0</v>
      </c>
      <c r="J69" s="37">
        <v>0</v>
      </c>
      <c r="K69" s="37">
        <v>0</v>
      </c>
      <c r="L69" s="37">
        <v>0</v>
      </c>
      <c r="M69" s="37">
        <v>0</v>
      </c>
      <c r="N69" s="37">
        <v>0</v>
      </c>
    </row>
    <row r="70" spans="6:14" ht="12" x14ac:dyDescent="0.2">
      <c r="F70" s="447"/>
      <c r="G70" s="42" t="str">
        <f>STRAT9_IND3</f>
        <v>Objetivo estratégico 9 Indicador 3</v>
      </c>
      <c r="H70" s="260" t="str">
        <f ca="1">OFFSET(Variables_Lu!$D$10,Basic_Setup!H84,0)</f>
        <v>Nutrition-specific</v>
      </c>
      <c r="I70" s="262">
        <f t="shared" si="18"/>
        <v>0</v>
      </c>
      <c r="J70" s="37">
        <v>0</v>
      </c>
      <c r="K70" s="37">
        <v>0</v>
      </c>
      <c r="L70" s="37">
        <v>0</v>
      </c>
      <c r="M70" s="37">
        <v>0</v>
      </c>
      <c r="N70" s="37">
        <v>0</v>
      </c>
    </row>
    <row r="71" spans="6:14" ht="12" x14ac:dyDescent="0.2">
      <c r="F71" s="447"/>
      <c r="G71" s="41" t="str">
        <f>STRAT9_IND4</f>
        <v>Objetivo estratégico 9 Indicador 4</v>
      </c>
      <c r="H71" s="260" t="str">
        <f ca="1">OFFSET(Variables_Lu!$D$10,Basic_Setup!H85,0)</f>
        <v>Nutrition-specific</v>
      </c>
      <c r="I71" s="262">
        <f t="shared" si="18"/>
        <v>0</v>
      </c>
      <c r="J71" s="37">
        <v>0</v>
      </c>
      <c r="K71" s="37">
        <v>0</v>
      </c>
      <c r="L71" s="37">
        <v>0</v>
      </c>
      <c r="M71" s="37">
        <v>0</v>
      </c>
      <c r="N71" s="37">
        <v>0</v>
      </c>
    </row>
    <row r="72" spans="6:14" ht="12" x14ac:dyDescent="0.2">
      <c r="F72" s="448"/>
      <c r="G72" s="41" t="str">
        <f>STRAT9_IND5</f>
        <v>Objetivo estratégico 9 Indicador 5</v>
      </c>
      <c r="H72" s="260" t="str">
        <f ca="1">OFFSET(Variables_Lu!$D$10,Basic_Setup!H86,0)</f>
        <v>Nutrition-specific</v>
      </c>
      <c r="I72" s="262">
        <f t="shared" si="18"/>
        <v>0</v>
      </c>
      <c r="J72" s="37">
        <v>0</v>
      </c>
      <c r="K72" s="37">
        <v>0</v>
      </c>
      <c r="L72" s="37">
        <v>0</v>
      </c>
      <c r="M72" s="37">
        <v>0</v>
      </c>
      <c r="N72" s="37">
        <v>0</v>
      </c>
    </row>
    <row r="73" spans="6:14" ht="12" x14ac:dyDescent="0.2">
      <c r="H73" s="152" t="s">
        <v>162</v>
      </c>
      <c r="I73" s="265">
        <f>SUM(I68:I72)</f>
        <v>0</v>
      </c>
      <c r="J73" s="265">
        <f t="shared" ref="J73:N73" si="19">SUM(J68:J72)</f>
        <v>0</v>
      </c>
      <c r="K73" s="265">
        <f t="shared" si="19"/>
        <v>0</v>
      </c>
      <c r="L73" s="265">
        <f t="shared" si="19"/>
        <v>0</v>
      </c>
      <c r="M73" s="265">
        <f t="shared" si="19"/>
        <v>0</v>
      </c>
      <c r="N73" s="265">
        <f t="shared" si="19"/>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262">
        <f>SUM(J74:N74)</f>
        <v>0</v>
      </c>
      <c r="J74" s="37">
        <v>0</v>
      </c>
      <c r="K74" s="37">
        <v>0</v>
      </c>
      <c r="L74" s="37">
        <v>0</v>
      </c>
      <c r="M74" s="37">
        <v>0</v>
      </c>
      <c r="N74" s="37">
        <v>0</v>
      </c>
    </row>
    <row r="75" spans="6:14" ht="12" x14ac:dyDescent="0.2">
      <c r="F75" s="447"/>
      <c r="G75" s="42" t="str">
        <f>STRAT10_IND2</f>
        <v>Objetivo estratégico 10 Indicador 2</v>
      </c>
      <c r="H75" s="260" t="str">
        <f ca="1">OFFSET(Variables_Lu!$D$10,Basic_Setup!H89,0)</f>
        <v>Nutrition-specific</v>
      </c>
      <c r="I75" s="262">
        <f>SUM(J75:N75)</f>
        <v>0</v>
      </c>
      <c r="J75" s="37">
        <v>0</v>
      </c>
      <c r="K75" s="37">
        <v>0</v>
      </c>
      <c r="L75" s="37">
        <v>0</v>
      </c>
      <c r="M75" s="37">
        <v>0</v>
      </c>
      <c r="N75" s="37">
        <v>0</v>
      </c>
    </row>
    <row r="76" spans="6:14" ht="12" x14ac:dyDescent="0.2">
      <c r="F76" s="447"/>
      <c r="G76" s="42" t="str">
        <f>STRAT10_IND3</f>
        <v>Objetivo estratégico 10 Indicador 3</v>
      </c>
      <c r="H76" s="260" t="str">
        <f ca="1">OFFSET(Variables_Lu!$D$10,Basic_Setup!H90,0)</f>
        <v>Nutrition-specific</v>
      </c>
      <c r="I76" s="262">
        <f t="shared" ref="I76:I78" si="20">SUM(J76:N76)</f>
        <v>0</v>
      </c>
      <c r="J76" s="37">
        <v>0</v>
      </c>
      <c r="K76" s="37">
        <v>0</v>
      </c>
      <c r="L76" s="37">
        <v>0</v>
      </c>
      <c r="M76" s="37">
        <v>0</v>
      </c>
      <c r="N76" s="37">
        <v>0</v>
      </c>
    </row>
    <row r="77" spans="6:14" ht="11.25" customHeight="1" x14ac:dyDescent="0.2">
      <c r="F77" s="447"/>
      <c r="G77" s="41" t="str">
        <f>STRAT10_IND4</f>
        <v>Objetivo estratégico 10 Indicador 4</v>
      </c>
      <c r="H77" s="260" t="str">
        <f ca="1">OFFSET(Variables_Lu!$D$10,Basic_Setup!H91,0)</f>
        <v>Nutrition-specific</v>
      </c>
      <c r="I77" s="262">
        <f t="shared" si="20"/>
        <v>0</v>
      </c>
      <c r="J77" s="37">
        <v>0</v>
      </c>
      <c r="K77" s="37">
        <v>0</v>
      </c>
      <c r="L77" s="37">
        <v>0</v>
      </c>
      <c r="M77" s="37">
        <v>0</v>
      </c>
      <c r="N77" s="37">
        <v>0</v>
      </c>
    </row>
    <row r="78" spans="6:14" ht="11.25" customHeight="1" x14ac:dyDescent="0.2">
      <c r="F78" s="448"/>
      <c r="G78" s="41" t="str">
        <f>STRAT10_IND5</f>
        <v>Objetivo estratégico 10 Indicador 5</v>
      </c>
      <c r="H78" s="260" t="str">
        <f ca="1">OFFSET(Variables_Lu!$D$10,Basic_Setup!H92,0)</f>
        <v>Nutrition-specific</v>
      </c>
      <c r="I78" s="262">
        <f t="shared" si="20"/>
        <v>0</v>
      </c>
      <c r="J78" s="37">
        <v>0</v>
      </c>
      <c r="K78" s="37">
        <v>0</v>
      </c>
      <c r="L78" s="37">
        <v>0</v>
      </c>
      <c r="M78" s="37">
        <v>0</v>
      </c>
      <c r="N78" s="37">
        <v>0</v>
      </c>
    </row>
    <row r="79" spans="6:14" ht="11.25" customHeight="1" x14ac:dyDescent="0.2">
      <c r="H79" s="152" t="s">
        <v>163</v>
      </c>
      <c r="I79" s="265">
        <f>SUM(I74:I78)</f>
        <v>0</v>
      </c>
      <c r="J79" s="265">
        <f>SUM(J74:J78)</f>
        <v>0</v>
      </c>
      <c r="K79" s="265">
        <f t="shared" ref="K79:M79" si="21">SUM(K74:K78)</f>
        <v>0</v>
      </c>
      <c r="L79" s="265">
        <f t="shared" si="21"/>
        <v>0</v>
      </c>
      <c r="M79" s="265">
        <f t="shared" si="21"/>
        <v>0</v>
      </c>
      <c r="N79" s="265">
        <f>SUM(N74:N78)</f>
        <v>0</v>
      </c>
    </row>
    <row r="80" spans="6:14" ht="11.25" customHeight="1" x14ac:dyDescent="0.2">
      <c r="I80" s="263"/>
    </row>
    <row r="81" spans="6:14" ht="12.6" thickBot="1" x14ac:dyDescent="0.25">
      <c r="H81" s="149" t="str">
        <f>"TOTAL - "&amp;$F$12</f>
        <v>TOTAL - [No está en uso]</v>
      </c>
      <c r="I81" s="264">
        <f>SUM(I25,I31,I37,I43,I49,I55,I61,I67,I73,I79)</f>
        <v>0</v>
      </c>
      <c r="J81" s="264">
        <f>SUM(J25,J31,J37,J43,J49,J55,J61,J67,J73,J79)</f>
        <v>0</v>
      </c>
      <c r="K81" s="264">
        <f t="shared" ref="K81:M81" si="22">SUM(K25,K31,K37,K43,K49,K55,K61,K67,K73,K79)</f>
        <v>0</v>
      </c>
      <c r="L81" s="264">
        <f t="shared" si="22"/>
        <v>0</v>
      </c>
      <c r="M81" s="264">
        <f t="shared" si="22"/>
        <v>0</v>
      </c>
      <c r="N81" s="264">
        <f>SUM(N25,N31,N37,N43,N49,N55,N61,N67,N73,N79)</f>
        <v>0</v>
      </c>
    </row>
    <row r="82" spans="6:14" ht="12" x14ac:dyDescent="0.2">
      <c r="I82" s="149"/>
    </row>
    <row r="83" spans="6:14" ht="12" x14ac:dyDescent="0.2">
      <c r="F83" s="44" t="s">
        <v>171</v>
      </c>
    </row>
    <row r="84" spans="6:14" x14ac:dyDescent="0.2">
      <c r="F84" s="49"/>
    </row>
    <row r="85" spans="6:14" ht="11.4" customHeight="1" x14ac:dyDescent="0.2">
      <c r="F85" s="49"/>
    </row>
    <row r="86" spans="6:14" ht="11.4" customHeight="1" x14ac:dyDescent="0.2">
      <c r="F86" s="49"/>
    </row>
    <row r="87" spans="6:14" ht="11.4" customHeight="1" x14ac:dyDescent="0.2">
      <c r="F87" s="49"/>
    </row>
    <row r="89" spans="6:14" ht="12" customHeight="1" x14ac:dyDescent="0.2"/>
    <row r="90" spans="6:14" ht="12.6" thickBot="1" x14ac:dyDescent="0.25">
      <c r="F90" s="1" t="s">
        <v>411</v>
      </c>
      <c r="G90" s="1" t="s">
        <v>412</v>
      </c>
      <c r="H90" s="406" t="s">
        <v>472</v>
      </c>
      <c r="I90" s="253" t="s">
        <v>106</v>
      </c>
      <c r="J90" s="54" t="str">
        <f>CURR_INT_ABBR</f>
        <v>USD</v>
      </c>
      <c r="K90" s="54" t="str">
        <f>CURR_INT_ABBR</f>
        <v>USD</v>
      </c>
      <c r="L90" s="54" t="str">
        <f>CURR_INT_ABBR</f>
        <v>USD</v>
      </c>
      <c r="M90" s="54" t="str">
        <f>CURR_INT_ABBR</f>
        <v>USD</v>
      </c>
      <c r="N90" s="54" t="str">
        <f>CURR_INT_ABBR</f>
        <v>USD</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67">
        <f t="shared" ref="I91:N100" si="23">I20/EXCHANGE_RATE</f>
        <v>0</v>
      </c>
      <c r="J91" s="154">
        <f>J20/EXCHANGE_RATE</f>
        <v>0</v>
      </c>
      <c r="K91" s="154">
        <f t="shared" si="23"/>
        <v>0</v>
      </c>
      <c r="L91" s="154">
        <f t="shared" si="23"/>
        <v>0</v>
      </c>
      <c r="M91" s="154">
        <f t="shared" si="23"/>
        <v>0</v>
      </c>
      <c r="N91" s="154">
        <f t="shared" si="23"/>
        <v>0</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67">
        <f t="shared" si="23"/>
        <v>0</v>
      </c>
      <c r="J92" s="154">
        <f t="shared" si="23"/>
        <v>0</v>
      </c>
      <c r="K92" s="154">
        <f t="shared" si="23"/>
        <v>0</v>
      </c>
      <c r="L92" s="154">
        <f t="shared" si="23"/>
        <v>0</v>
      </c>
      <c r="M92" s="154">
        <f t="shared" si="23"/>
        <v>0</v>
      </c>
      <c r="N92" s="154">
        <f t="shared" si="23"/>
        <v>0</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67">
        <f t="shared" si="23"/>
        <v>0</v>
      </c>
      <c r="J93" s="154">
        <f t="shared" si="23"/>
        <v>0</v>
      </c>
      <c r="K93" s="154">
        <f t="shared" si="23"/>
        <v>0</v>
      </c>
      <c r="L93" s="154">
        <f t="shared" si="23"/>
        <v>0</v>
      </c>
      <c r="M93" s="154">
        <f t="shared" si="23"/>
        <v>0</v>
      </c>
      <c r="N93" s="154">
        <f t="shared" si="23"/>
        <v>0</v>
      </c>
    </row>
    <row r="94" spans="6:14" ht="22.8" x14ac:dyDescent="0.2">
      <c r="F94" s="444"/>
      <c r="G94" s="41" t="str">
        <f>STRAT1_IND4</f>
        <v>El marco legislativo y reglamentario de la nutrición se ha fortalecido y está en funcionamiento.</v>
      </c>
      <c r="H94" s="268" t="str">
        <f ca="1">OFFSET(Variables_Lu!$D$10,Basic_Setup!H37,0)</f>
        <v>Governance</v>
      </c>
      <c r="I94" s="67">
        <f t="shared" si="23"/>
        <v>0</v>
      </c>
      <c r="J94" s="154">
        <f t="shared" si="23"/>
        <v>0</v>
      </c>
      <c r="K94" s="154">
        <f t="shared" si="23"/>
        <v>0</v>
      </c>
      <c r="L94" s="154">
        <f t="shared" si="23"/>
        <v>0</v>
      </c>
      <c r="M94" s="154">
        <f t="shared" si="23"/>
        <v>0</v>
      </c>
      <c r="N94" s="154">
        <f t="shared" si="23"/>
        <v>0</v>
      </c>
    </row>
    <row r="95" spans="6:14" ht="12.6" thickBot="1" x14ac:dyDescent="0.25">
      <c r="F95" s="445"/>
      <c r="G95" s="275" t="str">
        <f>STRAT1_IND5</f>
        <v>Objetivo estratégico 1 Indicador 5</v>
      </c>
      <c r="H95" s="270" t="str">
        <f ca="1">OFFSET(Variables_Lu!$D$10,Basic_Setup!H38,0)</f>
        <v>Governance</v>
      </c>
      <c r="I95" s="67">
        <f t="shared" si="23"/>
        <v>0</v>
      </c>
      <c r="J95" s="154">
        <f t="shared" si="23"/>
        <v>0</v>
      </c>
      <c r="K95" s="154">
        <f t="shared" si="23"/>
        <v>0</v>
      </c>
      <c r="L95" s="154">
        <f t="shared" si="23"/>
        <v>0</v>
      </c>
      <c r="M95" s="154">
        <f t="shared" si="23"/>
        <v>0</v>
      </c>
      <c r="N95" s="154">
        <f t="shared" si="23"/>
        <v>0</v>
      </c>
    </row>
    <row r="96" spans="6:14" ht="12.6" thickBot="1" x14ac:dyDescent="0.25">
      <c r="F96" s="38"/>
      <c r="G96" s="38"/>
      <c r="H96" s="152" t="s">
        <v>107</v>
      </c>
      <c r="I96" s="122">
        <f t="shared" si="23"/>
        <v>0</v>
      </c>
      <c r="J96" s="63">
        <f t="shared" si="23"/>
        <v>0</v>
      </c>
      <c r="K96" s="63">
        <f t="shared" si="23"/>
        <v>0</v>
      </c>
      <c r="L96" s="63">
        <f t="shared" si="23"/>
        <v>0</v>
      </c>
      <c r="M96" s="63">
        <f t="shared" si="23"/>
        <v>0</v>
      </c>
      <c r="N96" s="63">
        <f t="shared" si="23"/>
        <v>0</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67">
        <f t="shared" si="23"/>
        <v>0</v>
      </c>
      <c r="J97" s="154">
        <f t="shared" si="23"/>
        <v>0</v>
      </c>
      <c r="K97" s="154">
        <f t="shared" si="23"/>
        <v>0</v>
      </c>
      <c r="L97" s="154">
        <f t="shared" si="23"/>
        <v>0</v>
      </c>
      <c r="M97" s="154">
        <f t="shared" si="23"/>
        <v>0</v>
      </c>
      <c r="N97" s="154">
        <f t="shared" si="23"/>
        <v>0</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67">
        <f t="shared" si="23"/>
        <v>0</v>
      </c>
      <c r="J98" s="154">
        <f t="shared" si="23"/>
        <v>0</v>
      </c>
      <c r="K98" s="154">
        <f t="shared" si="23"/>
        <v>0</v>
      </c>
      <c r="L98" s="154">
        <f t="shared" si="23"/>
        <v>0</v>
      </c>
      <c r="M98" s="154">
        <f t="shared" si="23"/>
        <v>0</v>
      </c>
      <c r="N98" s="154">
        <f t="shared" si="23"/>
        <v>0</v>
      </c>
    </row>
    <row r="99" spans="6:14" ht="22.8" x14ac:dyDescent="0.2">
      <c r="F99" s="444"/>
      <c r="G99" s="42" t="str">
        <f>STRAT2_IND3</f>
        <v>Se refuerzan las intervenciones comunitarias en materia de nutrición.</v>
      </c>
      <c r="H99" s="268" t="str">
        <f ca="1">OFFSET(Variables_Lu!$D$10,Basic_Setup!H42,0)</f>
        <v>Nutrition-specific</v>
      </c>
      <c r="I99" s="67">
        <f t="shared" si="23"/>
        <v>0</v>
      </c>
      <c r="J99" s="154">
        <f t="shared" si="23"/>
        <v>0</v>
      </c>
      <c r="K99" s="154">
        <f t="shared" si="23"/>
        <v>0</v>
      </c>
      <c r="L99" s="154">
        <f t="shared" si="23"/>
        <v>0</v>
      </c>
      <c r="M99" s="154">
        <f t="shared" si="23"/>
        <v>0</v>
      </c>
      <c r="N99" s="154">
        <f t="shared" si="23"/>
        <v>0</v>
      </c>
    </row>
    <row r="100" spans="6:14" ht="12" x14ac:dyDescent="0.2">
      <c r="F100" s="444"/>
      <c r="G100" s="41" t="str">
        <f>STRAT2_IND4</f>
        <v>Objetivo estratégico 2 Indicador 4</v>
      </c>
      <c r="H100" s="268" t="str">
        <f ca="1">OFFSET(Variables_Lu!$D$10,Basic_Setup!H43,0)</f>
        <v>Nutrition-specific</v>
      </c>
      <c r="I100" s="67">
        <f t="shared" si="23"/>
        <v>0</v>
      </c>
      <c r="J100" s="154">
        <f t="shared" si="23"/>
        <v>0</v>
      </c>
      <c r="K100" s="154">
        <f t="shared" si="23"/>
        <v>0</v>
      </c>
      <c r="L100" s="154">
        <f t="shared" si="23"/>
        <v>0</v>
      </c>
      <c r="M100" s="154">
        <f t="shared" si="23"/>
        <v>0</v>
      </c>
      <c r="N100" s="154">
        <f t="shared" si="23"/>
        <v>0</v>
      </c>
    </row>
    <row r="101" spans="6:14" ht="12.6" thickBot="1" x14ac:dyDescent="0.25">
      <c r="F101" s="445"/>
      <c r="G101" s="275" t="str">
        <f>STRAT2_IND5</f>
        <v>Objetivo estratégico 2 Indicador 5</v>
      </c>
      <c r="H101" s="270" t="str">
        <f ca="1">OFFSET(Variables_Lu!$D$10,Basic_Setup!H44,0)</f>
        <v>Nutrition-specific</v>
      </c>
      <c r="I101" s="67">
        <f t="shared" ref="I101:N110" si="24">I30/EXCHANGE_RATE</f>
        <v>0</v>
      </c>
      <c r="J101" s="154">
        <f t="shared" si="24"/>
        <v>0</v>
      </c>
      <c r="K101" s="154">
        <f t="shared" si="24"/>
        <v>0</v>
      </c>
      <c r="L101" s="154">
        <f t="shared" si="24"/>
        <v>0</v>
      </c>
      <c r="M101" s="154">
        <f t="shared" si="24"/>
        <v>0</v>
      </c>
      <c r="N101" s="154">
        <f t="shared" si="24"/>
        <v>0</v>
      </c>
    </row>
    <row r="102" spans="6:14" ht="12.6" thickBot="1" x14ac:dyDescent="0.25">
      <c r="F102" s="38"/>
      <c r="G102" s="38"/>
      <c r="H102" s="152" t="s">
        <v>108</v>
      </c>
      <c r="I102" s="122">
        <f t="shared" si="24"/>
        <v>0</v>
      </c>
      <c r="J102" s="63">
        <f t="shared" si="24"/>
        <v>0</v>
      </c>
      <c r="K102" s="63">
        <f t="shared" si="24"/>
        <v>0</v>
      </c>
      <c r="L102" s="63">
        <f t="shared" si="24"/>
        <v>0</v>
      </c>
      <c r="M102" s="63">
        <f t="shared" si="24"/>
        <v>0</v>
      </c>
      <c r="N102" s="63">
        <f t="shared" si="24"/>
        <v>0</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67">
        <f t="shared" si="24"/>
        <v>0</v>
      </c>
      <c r="J103" s="154">
        <f t="shared" si="24"/>
        <v>0</v>
      </c>
      <c r="K103" s="154">
        <f t="shared" si="24"/>
        <v>0</v>
      </c>
      <c r="L103" s="154">
        <f t="shared" si="24"/>
        <v>0</v>
      </c>
      <c r="M103" s="154">
        <f t="shared" si="24"/>
        <v>0</v>
      </c>
      <c r="N103" s="154">
        <f t="shared" si="24"/>
        <v>0</v>
      </c>
    </row>
    <row r="104" spans="6:14" ht="22.8" x14ac:dyDescent="0.2">
      <c r="F104" s="444"/>
      <c r="G104" s="42" t="str">
        <f>STRAT3_IND2</f>
        <v xml:space="preserve"> La seguridad alimentaria está garantizada para toda la nación.</v>
      </c>
      <c r="H104" s="268" t="str">
        <f ca="1">OFFSET(Variables_Lu!$D$10,Basic_Setup!H47,0)</f>
        <v>Nutrition-sensitive</v>
      </c>
      <c r="I104" s="67">
        <f t="shared" si="24"/>
        <v>0</v>
      </c>
      <c r="J104" s="154">
        <f t="shared" si="24"/>
        <v>0</v>
      </c>
      <c r="K104" s="154">
        <f t="shared" si="24"/>
        <v>0</v>
      </c>
      <c r="L104" s="154">
        <f t="shared" si="24"/>
        <v>0</v>
      </c>
      <c r="M104" s="154">
        <f t="shared" si="24"/>
        <v>0</v>
      </c>
      <c r="N104" s="154">
        <f t="shared" si="24"/>
        <v>0</v>
      </c>
    </row>
    <row r="105" spans="6:14" ht="12" x14ac:dyDescent="0.2">
      <c r="F105" s="444"/>
      <c r="G105" s="42" t="str">
        <f>STRAT3_IND3</f>
        <v>Objetivo estratégico 3 Indicador 3</v>
      </c>
      <c r="H105" s="268" t="str">
        <f ca="1">OFFSET(Variables_Lu!$D$10,Basic_Setup!H48,0)</f>
        <v>Nutrition-specific</v>
      </c>
      <c r="I105" s="67">
        <f t="shared" si="24"/>
        <v>0</v>
      </c>
      <c r="J105" s="154">
        <f t="shared" si="24"/>
        <v>0</v>
      </c>
      <c r="K105" s="154">
        <f t="shared" si="24"/>
        <v>0</v>
      </c>
      <c r="L105" s="154">
        <f t="shared" si="24"/>
        <v>0</v>
      </c>
      <c r="M105" s="154">
        <f t="shared" si="24"/>
        <v>0</v>
      </c>
      <c r="N105" s="154">
        <f t="shared" si="24"/>
        <v>0</v>
      </c>
    </row>
    <row r="106" spans="6:14" ht="12" x14ac:dyDescent="0.2">
      <c r="F106" s="444"/>
      <c r="G106" s="41" t="str">
        <f>STRAT3_IND4</f>
        <v>Objetivo estratégico 3 Indicador 4</v>
      </c>
      <c r="H106" s="268" t="str">
        <f ca="1">OFFSET(Variables_Lu!$D$10,Basic_Setup!H49,0)</f>
        <v>Nutrition-specific</v>
      </c>
      <c r="I106" s="67">
        <f t="shared" si="24"/>
        <v>0</v>
      </c>
      <c r="J106" s="154">
        <f t="shared" si="24"/>
        <v>0</v>
      </c>
      <c r="K106" s="154">
        <f t="shared" si="24"/>
        <v>0</v>
      </c>
      <c r="L106" s="154">
        <f t="shared" si="24"/>
        <v>0</v>
      </c>
      <c r="M106" s="154">
        <f t="shared" si="24"/>
        <v>0</v>
      </c>
      <c r="N106" s="154">
        <f t="shared" si="24"/>
        <v>0</v>
      </c>
    </row>
    <row r="107" spans="6:14" ht="12.6" thickBot="1" x14ac:dyDescent="0.25">
      <c r="F107" s="445"/>
      <c r="G107" s="275" t="str">
        <f>STRAT3_IND5</f>
        <v>Objetivo estratégico 3 Indicador 5</v>
      </c>
      <c r="H107" s="270" t="str">
        <f ca="1">OFFSET(Variables_Lu!$D$10,Basic_Setup!H50,0)</f>
        <v>Nutrition-specific</v>
      </c>
      <c r="I107" s="67">
        <f t="shared" si="24"/>
        <v>0</v>
      </c>
      <c r="J107" s="154">
        <f t="shared" si="24"/>
        <v>0</v>
      </c>
      <c r="K107" s="154">
        <f t="shared" si="24"/>
        <v>0</v>
      </c>
      <c r="L107" s="154">
        <f t="shared" si="24"/>
        <v>0</v>
      </c>
      <c r="M107" s="154">
        <f t="shared" si="24"/>
        <v>0</v>
      </c>
      <c r="N107" s="154">
        <f t="shared" si="24"/>
        <v>0</v>
      </c>
    </row>
    <row r="108" spans="6:14" ht="12.6" thickBot="1" x14ac:dyDescent="0.25">
      <c r="H108" s="152" t="s">
        <v>109</v>
      </c>
      <c r="I108" s="122">
        <f t="shared" si="24"/>
        <v>0</v>
      </c>
      <c r="J108" s="63">
        <f t="shared" si="24"/>
        <v>0</v>
      </c>
      <c r="K108" s="63">
        <f t="shared" si="24"/>
        <v>0</v>
      </c>
      <c r="L108" s="63">
        <f t="shared" si="24"/>
        <v>0</v>
      </c>
      <c r="M108" s="63">
        <f t="shared" si="24"/>
        <v>0</v>
      </c>
      <c r="N108" s="63">
        <f t="shared" si="24"/>
        <v>0</v>
      </c>
    </row>
    <row r="109" spans="6:14" ht="24"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67">
        <f t="shared" si="24"/>
        <v>0</v>
      </c>
      <c r="J109" s="154">
        <f t="shared" si="24"/>
        <v>0</v>
      </c>
      <c r="K109" s="154">
        <f t="shared" si="24"/>
        <v>0</v>
      </c>
      <c r="L109" s="154">
        <f t="shared" si="24"/>
        <v>0</v>
      </c>
      <c r="M109" s="154">
        <f t="shared" si="24"/>
        <v>0</v>
      </c>
      <c r="N109" s="154">
        <f t="shared" si="24"/>
        <v>0</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67">
        <f t="shared" si="24"/>
        <v>0</v>
      </c>
      <c r="J110" s="154">
        <f t="shared" si="24"/>
        <v>0</v>
      </c>
      <c r="K110" s="154">
        <f t="shared" si="24"/>
        <v>0</v>
      </c>
      <c r="L110" s="154">
        <f t="shared" si="24"/>
        <v>0</v>
      </c>
      <c r="M110" s="154">
        <f t="shared" si="24"/>
        <v>0</v>
      </c>
      <c r="N110" s="154">
        <f t="shared" si="24"/>
        <v>0</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67">
        <f t="shared" ref="I111:N120" si="25">I40/EXCHANGE_RATE</f>
        <v>0</v>
      </c>
      <c r="J111" s="154">
        <f t="shared" si="25"/>
        <v>0</v>
      </c>
      <c r="K111" s="154">
        <f t="shared" si="25"/>
        <v>0</v>
      </c>
      <c r="L111" s="154">
        <f t="shared" si="25"/>
        <v>0</v>
      </c>
      <c r="M111" s="154">
        <f t="shared" si="25"/>
        <v>0</v>
      </c>
      <c r="N111" s="154">
        <f t="shared" si="25"/>
        <v>0</v>
      </c>
    </row>
    <row r="112" spans="6:14" ht="12" x14ac:dyDescent="0.2">
      <c r="F112" s="444"/>
      <c r="G112" s="41" t="str">
        <f>STRAT4_IND4</f>
        <v>Objetivo estratégico 4 Indicador 4</v>
      </c>
      <c r="H112" s="268" t="str">
        <f ca="1">OFFSET(Variables_Lu!$D$10,Basic_Setup!H55,0)</f>
        <v>Nutrition-specific</v>
      </c>
      <c r="I112" s="67">
        <f t="shared" si="25"/>
        <v>0</v>
      </c>
      <c r="J112" s="154">
        <f t="shared" si="25"/>
        <v>0</v>
      </c>
      <c r="K112" s="154">
        <f t="shared" si="25"/>
        <v>0</v>
      </c>
      <c r="L112" s="154">
        <f t="shared" si="25"/>
        <v>0</v>
      </c>
      <c r="M112" s="154">
        <f t="shared" si="25"/>
        <v>0</v>
      </c>
      <c r="N112" s="154">
        <f t="shared" si="25"/>
        <v>0</v>
      </c>
    </row>
    <row r="113" spans="6:14" ht="12.6" thickBot="1" x14ac:dyDescent="0.25">
      <c r="F113" s="445"/>
      <c r="G113" s="275" t="str">
        <f>STRAT4_IND5</f>
        <v>Objetivo estratégico 4 Indicador 5</v>
      </c>
      <c r="H113" s="270" t="str">
        <f ca="1">OFFSET(Variables_Lu!$D$10,Basic_Setup!H56,0)</f>
        <v>Nutrition-specific</v>
      </c>
      <c r="I113" s="67">
        <f t="shared" si="25"/>
        <v>0</v>
      </c>
      <c r="J113" s="154">
        <f t="shared" si="25"/>
        <v>0</v>
      </c>
      <c r="K113" s="154">
        <f t="shared" si="25"/>
        <v>0</v>
      </c>
      <c r="L113" s="154">
        <f t="shared" si="25"/>
        <v>0</v>
      </c>
      <c r="M113" s="154">
        <f t="shared" si="25"/>
        <v>0</v>
      </c>
      <c r="N113" s="154">
        <f t="shared" si="25"/>
        <v>0</v>
      </c>
    </row>
    <row r="114" spans="6:14" ht="12.6" thickBot="1" x14ac:dyDescent="0.25">
      <c r="H114" s="152" t="s">
        <v>110</v>
      </c>
      <c r="I114" s="122">
        <f t="shared" si="25"/>
        <v>0</v>
      </c>
      <c r="J114" s="63">
        <f t="shared" si="25"/>
        <v>0</v>
      </c>
      <c r="K114" s="63">
        <f t="shared" si="25"/>
        <v>0</v>
      </c>
      <c r="L114" s="63">
        <f t="shared" si="25"/>
        <v>0</v>
      </c>
      <c r="M114" s="63">
        <f t="shared" si="25"/>
        <v>0</v>
      </c>
      <c r="N114" s="63">
        <f t="shared" si="25"/>
        <v>0</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67">
        <f t="shared" si="25"/>
        <v>0</v>
      </c>
      <c r="J115" s="154">
        <f t="shared" si="25"/>
        <v>0</v>
      </c>
      <c r="K115" s="154">
        <f t="shared" si="25"/>
        <v>0</v>
      </c>
      <c r="L115" s="154">
        <f t="shared" si="25"/>
        <v>0</v>
      </c>
      <c r="M115" s="154">
        <f t="shared" si="25"/>
        <v>0</v>
      </c>
      <c r="N115" s="154">
        <f t="shared" si="25"/>
        <v>0</v>
      </c>
    </row>
    <row r="116" spans="6:14" ht="22.8" x14ac:dyDescent="0.2">
      <c r="F116" s="444"/>
      <c r="G116" s="42" t="str">
        <f>STRAT5_IND2</f>
        <v>Se promueven dietas saludables y estilos de vida saludables para las personas.</v>
      </c>
      <c r="H116" s="268" t="str">
        <f ca="1">OFFSET(Variables_Lu!$D$10,Basic_Setup!H59,0)</f>
        <v>Nutrition-specific</v>
      </c>
      <c r="I116" s="67">
        <f t="shared" si="25"/>
        <v>0</v>
      </c>
      <c r="J116" s="154">
        <f t="shared" si="25"/>
        <v>0</v>
      </c>
      <c r="K116" s="154">
        <f t="shared" si="25"/>
        <v>0</v>
      </c>
      <c r="L116" s="154">
        <f t="shared" si="25"/>
        <v>0</v>
      </c>
      <c r="M116" s="154">
        <f t="shared" si="25"/>
        <v>0</v>
      </c>
      <c r="N116" s="154">
        <f t="shared" si="25"/>
        <v>0</v>
      </c>
    </row>
    <row r="117" spans="6:14" ht="22.8" x14ac:dyDescent="0.2">
      <c r="F117" s="444"/>
      <c r="G117" s="42" t="str">
        <f>STRAT5_IND3</f>
        <v>Se promueven las buenas prácticas WASH a nivel comunitario y doméstico</v>
      </c>
      <c r="H117" s="268" t="str">
        <f ca="1">OFFSET(Variables_Lu!$D$10,Basic_Setup!H60,0)</f>
        <v>Nutrition-sensitive</v>
      </c>
      <c r="I117" s="67">
        <f t="shared" si="25"/>
        <v>0</v>
      </c>
      <c r="J117" s="154">
        <f t="shared" si="25"/>
        <v>0</v>
      </c>
      <c r="K117" s="154">
        <f t="shared" si="25"/>
        <v>0</v>
      </c>
      <c r="L117" s="154">
        <f t="shared" si="25"/>
        <v>0</v>
      </c>
      <c r="M117" s="154">
        <f t="shared" si="25"/>
        <v>0</v>
      </c>
      <c r="N117" s="154">
        <f t="shared" si="25"/>
        <v>0</v>
      </c>
    </row>
    <row r="118" spans="6:14" ht="12" x14ac:dyDescent="0.2">
      <c r="F118" s="444"/>
      <c r="G118" s="41" t="str">
        <f>STRAT5_IND4</f>
        <v>Objetivo estratégico 5 Indicador 4</v>
      </c>
      <c r="H118" s="268" t="str">
        <f ca="1">OFFSET(Variables_Lu!$D$10,Basic_Setup!H61,0)</f>
        <v>Nutrition-specific</v>
      </c>
      <c r="I118" s="67">
        <f t="shared" si="25"/>
        <v>0</v>
      </c>
      <c r="J118" s="154">
        <f t="shared" si="25"/>
        <v>0</v>
      </c>
      <c r="K118" s="154">
        <f t="shared" si="25"/>
        <v>0</v>
      </c>
      <c r="L118" s="154">
        <f t="shared" si="25"/>
        <v>0</v>
      </c>
      <c r="M118" s="154">
        <f t="shared" si="25"/>
        <v>0</v>
      </c>
      <c r="N118" s="154">
        <f t="shared" si="25"/>
        <v>0</v>
      </c>
    </row>
    <row r="119" spans="6:14" ht="12.6" thickBot="1" x14ac:dyDescent="0.25">
      <c r="F119" s="445"/>
      <c r="G119" s="275" t="str">
        <f>STRAT5_IND5</f>
        <v>Objetivo estratégico 5 Indicador 5</v>
      </c>
      <c r="H119" s="270" t="str">
        <f ca="1">OFFSET(Variables_Lu!$D$10,Basic_Setup!H62,0)</f>
        <v>Nutrition-specific</v>
      </c>
      <c r="I119" s="67">
        <f t="shared" si="25"/>
        <v>0</v>
      </c>
      <c r="J119" s="154">
        <f t="shared" si="25"/>
        <v>0</v>
      </c>
      <c r="K119" s="154">
        <f t="shared" si="25"/>
        <v>0</v>
      </c>
      <c r="L119" s="154">
        <f t="shared" si="25"/>
        <v>0</v>
      </c>
      <c r="M119" s="154">
        <f t="shared" si="25"/>
        <v>0</v>
      </c>
      <c r="N119" s="154">
        <f t="shared" si="25"/>
        <v>0</v>
      </c>
    </row>
    <row r="120" spans="6:14" ht="12.6" thickBot="1" x14ac:dyDescent="0.25">
      <c r="H120" s="152" t="s">
        <v>111</v>
      </c>
      <c r="I120" s="122">
        <f t="shared" si="25"/>
        <v>0</v>
      </c>
      <c r="J120" s="63">
        <f t="shared" si="25"/>
        <v>0</v>
      </c>
      <c r="K120" s="63">
        <f t="shared" si="25"/>
        <v>0</v>
      </c>
      <c r="L120" s="63">
        <f t="shared" si="25"/>
        <v>0</v>
      </c>
      <c r="M120" s="63">
        <f t="shared" si="25"/>
        <v>0</v>
      </c>
      <c r="N120" s="63">
        <f t="shared" si="25"/>
        <v>0</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67">
        <f t="shared" ref="I121:N130" si="26">I50/EXCHANGE_RATE</f>
        <v>0</v>
      </c>
      <c r="J121" s="154">
        <f t="shared" si="26"/>
        <v>0</v>
      </c>
      <c r="K121" s="154">
        <f t="shared" si="26"/>
        <v>0</v>
      </c>
      <c r="L121" s="154">
        <f t="shared" si="26"/>
        <v>0</v>
      </c>
      <c r="M121" s="154">
        <f t="shared" si="26"/>
        <v>0</v>
      </c>
      <c r="N121" s="154">
        <f t="shared" si="26"/>
        <v>0</v>
      </c>
    </row>
    <row r="122" spans="6:14" ht="12" x14ac:dyDescent="0.2">
      <c r="F122" s="444"/>
      <c r="G122" s="42" t="str">
        <f>STRAT6_IND2</f>
        <v>Objetivo estratégico 6 Indicador 2</v>
      </c>
      <c r="H122" s="268" t="str">
        <f ca="1">OFFSET(Variables_Lu!$D$10,Basic_Setup!H65,0)</f>
        <v>Nutrition-specific</v>
      </c>
      <c r="I122" s="67">
        <f t="shared" si="26"/>
        <v>0</v>
      </c>
      <c r="J122" s="154">
        <f t="shared" si="26"/>
        <v>0</v>
      </c>
      <c r="K122" s="154">
        <f t="shared" si="26"/>
        <v>0</v>
      </c>
      <c r="L122" s="154">
        <f t="shared" si="26"/>
        <v>0</v>
      </c>
      <c r="M122" s="154">
        <f t="shared" si="26"/>
        <v>0</v>
      </c>
      <c r="N122" s="154">
        <f t="shared" si="26"/>
        <v>0</v>
      </c>
    </row>
    <row r="123" spans="6:14" ht="12" x14ac:dyDescent="0.2">
      <c r="F123" s="444"/>
      <c r="G123" s="42" t="str">
        <f>STRAT6_IND3</f>
        <v>Objetivo estratégico 6 Indicador 3</v>
      </c>
      <c r="H123" s="268" t="str">
        <f ca="1">OFFSET(Variables_Lu!$D$10,Basic_Setup!H66,0)</f>
        <v>Nutrition-specific</v>
      </c>
      <c r="I123" s="67">
        <f t="shared" si="26"/>
        <v>0</v>
      </c>
      <c r="J123" s="154">
        <f t="shared" si="26"/>
        <v>0</v>
      </c>
      <c r="K123" s="154">
        <f t="shared" si="26"/>
        <v>0</v>
      </c>
      <c r="L123" s="154">
        <f t="shared" si="26"/>
        <v>0</v>
      </c>
      <c r="M123" s="154">
        <f t="shared" si="26"/>
        <v>0</v>
      </c>
      <c r="N123" s="154">
        <f t="shared" si="26"/>
        <v>0</v>
      </c>
    </row>
    <row r="124" spans="6:14" ht="12" x14ac:dyDescent="0.2">
      <c r="F124" s="444"/>
      <c r="G124" s="41" t="str">
        <f>STRAT6_IND4</f>
        <v>Objetivo estratégico 6 Indicador 4</v>
      </c>
      <c r="H124" s="268" t="str">
        <f ca="1">OFFSET(Variables_Lu!$D$10,Basic_Setup!H67,0)</f>
        <v>Nutrition-specific</v>
      </c>
      <c r="I124" s="67">
        <f t="shared" si="26"/>
        <v>0</v>
      </c>
      <c r="J124" s="154">
        <f t="shared" si="26"/>
        <v>0</v>
      </c>
      <c r="K124" s="154">
        <f t="shared" si="26"/>
        <v>0</v>
      </c>
      <c r="L124" s="154">
        <f t="shared" si="26"/>
        <v>0</v>
      </c>
      <c r="M124" s="154">
        <f t="shared" si="26"/>
        <v>0</v>
      </c>
      <c r="N124" s="154">
        <f t="shared" si="26"/>
        <v>0</v>
      </c>
    </row>
    <row r="125" spans="6:14" ht="12.6" thickBot="1" x14ac:dyDescent="0.25">
      <c r="F125" s="445"/>
      <c r="G125" s="275" t="str">
        <f>STRAT6_IND5</f>
        <v>Objetivo estratégico 6 Indicador 5</v>
      </c>
      <c r="H125" s="270" t="str">
        <f ca="1">OFFSET(Variables_Lu!$D$10,Basic_Setup!H68,0)</f>
        <v>Nutrition-specific</v>
      </c>
      <c r="I125" s="67">
        <f t="shared" si="26"/>
        <v>0</v>
      </c>
      <c r="J125" s="154">
        <f t="shared" si="26"/>
        <v>0</v>
      </c>
      <c r="K125" s="154">
        <f t="shared" si="26"/>
        <v>0</v>
      </c>
      <c r="L125" s="154">
        <f t="shared" si="26"/>
        <v>0</v>
      </c>
      <c r="M125" s="154">
        <f t="shared" si="26"/>
        <v>0</v>
      </c>
      <c r="N125" s="154">
        <f t="shared" si="26"/>
        <v>0</v>
      </c>
    </row>
    <row r="126" spans="6:14" ht="12.6" thickBot="1" x14ac:dyDescent="0.25">
      <c r="H126" s="152" t="s">
        <v>159</v>
      </c>
      <c r="I126" s="122">
        <f t="shared" si="26"/>
        <v>0</v>
      </c>
      <c r="J126" s="63">
        <f t="shared" si="26"/>
        <v>0</v>
      </c>
      <c r="K126" s="63">
        <f t="shared" si="26"/>
        <v>0</v>
      </c>
      <c r="L126" s="63">
        <f t="shared" si="26"/>
        <v>0</v>
      </c>
      <c r="M126" s="63">
        <f t="shared" si="26"/>
        <v>0</v>
      </c>
      <c r="N126" s="63">
        <f t="shared" si="26"/>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67">
        <f t="shared" si="26"/>
        <v>0</v>
      </c>
      <c r="J127" s="154">
        <f t="shared" si="26"/>
        <v>0</v>
      </c>
      <c r="K127" s="154">
        <f t="shared" si="26"/>
        <v>0</v>
      </c>
      <c r="L127" s="154">
        <f t="shared" si="26"/>
        <v>0</v>
      </c>
      <c r="M127" s="154">
        <f t="shared" si="26"/>
        <v>0</v>
      </c>
      <c r="N127" s="154">
        <f t="shared" si="26"/>
        <v>0</v>
      </c>
    </row>
    <row r="128" spans="6:14" ht="12" x14ac:dyDescent="0.2">
      <c r="F128" s="444"/>
      <c r="G128" s="42" t="str">
        <f>STRAT7_IND2</f>
        <v>Objetivo estratégico 7 Indicador 2</v>
      </c>
      <c r="H128" s="268" t="str">
        <f ca="1">OFFSET(Variables_Lu!$D$10,Basic_Setup!H71,0)</f>
        <v>Nutrition-specific</v>
      </c>
      <c r="I128" s="67">
        <f t="shared" si="26"/>
        <v>0</v>
      </c>
      <c r="J128" s="154">
        <f t="shared" si="26"/>
        <v>0</v>
      </c>
      <c r="K128" s="154">
        <f t="shared" si="26"/>
        <v>0</v>
      </c>
      <c r="L128" s="154">
        <f t="shared" si="26"/>
        <v>0</v>
      </c>
      <c r="M128" s="154">
        <f t="shared" si="26"/>
        <v>0</v>
      </c>
      <c r="N128" s="154">
        <f t="shared" si="26"/>
        <v>0</v>
      </c>
    </row>
    <row r="129" spans="6:14" ht="12" x14ac:dyDescent="0.2">
      <c r="F129" s="444"/>
      <c r="G129" s="42" t="str">
        <f>STRAT7_IND3</f>
        <v>Objetivo estratégico 7 Indicador 3</v>
      </c>
      <c r="H129" s="268" t="str">
        <f ca="1">OFFSET(Variables_Lu!$D$10,Basic_Setup!H72,0)</f>
        <v>Nutrition-specific</v>
      </c>
      <c r="I129" s="67">
        <f t="shared" si="26"/>
        <v>0</v>
      </c>
      <c r="J129" s="154">
        <f t="shared" si="26"/>
        <v>0</v>
      </c>
      <c r="K129" s="154">
        <f t="shared" si="26"/>
        <v>0</v>
      </c>
      <c r="L129" s="154">
        <f t="shared" si="26"/>
        <v>0</v>
      </c>
      <c r="M129" s="154">
        <f t="shared" si="26"/>
        <v>0</v>
      </c>
      <c r="N129" s="154">
        <f t="shared" si="26"/>
        <v>0</v>
      </c>
    </row>
    <row r="130" spans="6:14" ht="12" x14ac:dyDescent="0.2">
      <c r="F130" s="444"/>
      <c r="G130" s="41" t="str">
        <f>STRAT7_IND4</f>
        <v>Objetivo estratégico 7 Indicador 4</v>
      </c>
      <c r="H130" s="268" t="str">
        <f ca="1">OFFSET(Variables_Lu!$D$10,Basic_Setup!H73,0)</f>
        <v>Nutrition-specific</v>
      </c>
      <c r="I130" s="67">
        <f t="shared" si="26"/>
        <v>0</v>
      </c>
      <c r="J130" s="154">
        <f t="shared" si="26"/>
        <v>0</v>
      </c>
      <c r="K130" s="154">
        <f t="shared" si="26"/>
        <v>0</v>
      </c>
      <c r="L130" s="154">
        <f t="shared" si="26"/>
        <v>0</v>
      </c>
      <c r="M130" s="154">
        <f t="shared" si="26"/>
        <v>0</v>
      </c>
      <c r="N130" s="154">
        <f t="shared" si="26"/>
        <v>0</v>
      </c>
    </row>
    <row r="131" spans="6:14" ht="12.6" thickBot="1" x14ac:dyDescent="0.25">
      <c r="F131" s="445"/>
      <c r="G131" s="275" t="str">
        <f>STRAT7_IND5</f>
        <v>Objetivo estratégico 7 Indicador 5</v>
      </c>
      <c r="H131" s="270" t="str">
        <f ca="1">OFFSET(Variables_Lu!$D$10,Basic_Setup!H74,0)</f>
        <v>Nutrition-specific</v>
      </c>
      <c r="I131" s="67">
        <f t="shared" ref="I131:N140" si="27">I60/EXCHANGE_RATE</f>
        <v>0</v>
      </c>
      <c r="J131" s="154">
        <f t="shared" si="27"/>
        <v>0</v>
      </c>
      <c r="K131" s="154">
        <f t="shared" si="27"/>
        <v>0</v>
      </c>
      <c r="L131" s="154">
        <f t="shared" si="27"/>
        <v>0</v>
      </c>
      <c r="M131" s="154">
        <f t="shared" si="27"/>
        <v>0</v>
      </c>
      <c r="N131" s="154">
        <f t="shared" si="27"/>
        <v>0</v>
      </c>
    </row>
    <row r="132" spans="6:14" ht="12.6" thickBot="1" x14ac:dyDescent="0.25">
      <c r="H132" s="152" t="s">
        <v>160</v>
      </c>
      <c r="I132" s="122">
        <f t="shared" si="27"/>
        <v>0</v>
      </c>
      <c r="J132" s="63">
        <f t="shared" si="27"/>
        <v>0</v>
      </c>
      <c r="K132" s="63">
        <f t="shared" si="27"/>
        <v>0</v>
      </c>
      <c r="L132" s="63">
        <f t="shared" si="27"/>
        <v>0</v>
      </c>
      <c r="M132" s="63">
        <f t="shared" si="27"/>
        <v>0</v>
      </c>
      <c r="N132" s="63">
        <f t="shared" si="27"/>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67">
        <f t="shared" si="27"/>
        <v>0</v>
      </c>
      <c r="J133" s="154">
        <f t="shared" si="27"/>
        <v>0</v>
      </c>
      <c r="K133" s="154">
        <f t="shared" si="27"/>
        <v>0</v>
      </c>
      <c r="L133" s="154">
        <f t="shared" si="27"/>
        <v>0</v>
      </c>
      <c r="M133" s="154">
        <f t="shared" si="27"/>
        <v>0</v>
      </c>
      <c r="N133" s="154">
        <f t="shared" si="27"/>
        <v>0</v>
      </c>
    </row>
    <row r="134" spans="6:14" ht="12" x14ac:dyDescent="0.2">
      <c r="F134" s="444"/>
      <c r="G134" s="42" t="str">
        <f>STRAT8_IND2</f>
        <v>Objetivo estratégico 8 Indicador 2</v>
      </c>
      <c r="H134" s="268" t="str">
        <f ca="1">OFFSET(Variables_Lu!$D$10,Basic_Setup!H77,0)</f>
        <v>Nutrition-specific</v>
      </c>
      <c r="I134" s="67">
        <f t="shared" si="27"/>
        <v>0</v>
      </c>
      <c r="J134" s="154">
        <f t="shared" si="27"/>
        <v>0</v>
      </c>
      <c r="K134" s="154">
        <f t="shared" si="27"/>
        <v>0</v>
      </c>
      <c r="L134" s="154">
        <f t="shared" si="27"/>
        <v>0</v>
      </c>
      <c r="M134" s="154">
        <f t="shared" si="27"/>
        <v>0</v>
      </c>
      <c r="N134" s="154">
        <f t="shared" si="27"/>
        <v>0</v>
      </c>
    </row>
    <row r="135" spans="6:14" ht="12" x14ac:dyDescent="0.2">
      <c r="F135" s="444"/>
      <c r="G135" s="42" t="str">
        <f>STRAT8_IND3</f>
        <v>Objetivo estratégico 8 Indicador 3</v>
      </c>
      <c r="H135" s="268" t="str">
        <f ca="1">OFFSET(Variables_Lu!$D$10,Basic_Setup!H78,0)</f>
        <v>Nutrition-specific</v>
      </c>
      <c r="I135" s="67">
        <f t="shared" si="27"/>
        <v>0</v>
      </c>
      <c r="J135" s="154">
        <f t="shared" si="27"/>
        <v>0</v>
      </c>
      <c r="K135" s="154">
        <f t="shared" si="27"/>
        <v>0</v>
      </c>
      <c r="L135" s="154">
        <f t="shared" si="27"/>
        <v>0</v>
      </c>
      <c r="M135" s="154">
        <f t="shared" si="27"/>
        <v>0</v>
      </c>
      <c r="N135" s="154">
        <f t="shared" si="27"/>
        <v>0</v>
      </c>
    </row>
    <row r="136" spans="6:14" ht="12" x14ac:dyDescent="0.2">
      <c r="F136" s="444"/>
      <c r="G136" s="41" t="str">
        <f>STRAT8_IND4</f>
        <v>Objetivo estratégico 8 Indicador 4</v>
      </c>
      <c r="H136" s="268" t="str">
        <f ca="1">OFFSET(Variables_Lu!$D$10,Basic_Setup!H79,0)</f>
        <v>Nutrition-specific</v>
      </c>
      <c r="I136" s="67">
        <f t="shared" si="27"/>
        <v>0</v>
      </c>
      <c r="J136" s="154">
        <f t="shared" si="27"/>
        <v>0</v>
      </c>
      <c r="K136" s="154">
        <f t="shared" si="27"/>
        <v>0</v>
      </c>
      <c r="L136" s="154">
        <f t="shared" si="27"/>
        <v>0</v>
      </c>
      <c r="M136" s="154">
        <f t="shared" si="27"/>
        <v>0</v>
      </c>
      <c r="N136" s="154">
        <f t="shared" si="27"/>
        <v>0</v>
      </c>
    </row>
    <row r="137" spans="6:14" ht="12.6" thickBot="1" x14ac:dyDescent="0.25">
      <c r="F137" s="445"/>
      <c r="G137" s="275" t="str">
        <f>STRAT8_IND5</f>
        <v>Objetivo estratégico 8 Indicador 5</v>
      </c>
      <c r="H137" s="270" t="str">
        <f ca="1">OFFSET(Variables_Lu!$D$10,Basic_Setup!H80,0)</f>
        <v>Nutrition-specific</v>
      </c>
      <c r="I137" s="67">
        <f t="shared" si="27"/>
        <v>0</v>
      </c>
      <c r="J137" s="154">
        <f t="shared" si="27"/>
        <v>0</v>
      </c>
      <c r="K137" s="154">
        <f t="shared" si="27"/>
        <v>0</v>
      </c>
      <c r="L137" s="154">
        <f t="shared" si="27"/>
        <v>0</v>
      </c>
      <c r="M137" s="154">
        <f t="shared" si="27"/>
        <v>0</v>
      </c>
      <c r="N137" s="154">
        <f t="shared" si="27"/>
        <v>0</v>
      </c>
    </row>
    <row r="138" spans="6:14" ht="12.6" thickBot="1" x14ac:dyDescent="0.25">
      <c r="H138" s="152" t="s">
        <v>161</v>
      </c>
      <c r="I138" s="122">
        <f t="shared" si="27"/>
        <v>0</v>
      </c>
      <c r="J138" s="63">
        <f t="shared" si="27"/>
        <v>0</v>
      </c>
      <c r="K138" s="63">
        <f t="shared" si="27"/>
        <v>0</v>
      </c>
      <c r="L138" s="63">
        <f t="shared" si="27"/>
        <v>0</v>
      </c>
      <c r="M138" s="63">
        <f t="shared" si="27"/>
        <v>0</v>
      </c>
      <c r="N138" s="63">
        <f t="shared" si="27"/>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67">
        <f t="shared" si="27"/>
        <v>0</v>
      </c>
      <c r="J139" s="154">
        <f t="shared" si="27"/>
        <v>0</v>
      </c>
      <c r="K139" s="154">
        <f t="shared" si="27"/>
        <v>0</v>
      </c>
      <c r="L139" s="154">
        <f t="shared" si="27"/>
        <v>0</v>
      </c>
      <c r="M139" s="154">
        <f t="shared" si="27"/>
        <v>0</v>
      </c>
      <c r="N139" s="154">
        <f t="shared" si="27"/>
        <v>0</v>
      </c>
    </row>
    <row r="140" spans="6:14" ht="12" x14ac:dyDescent="0.2">
      <c r="F140" s="444"/>
      <c r="G140" s="42" t="str">
        <f>STRAT9_IND2</f>
        <v>Objetivo estratégico 9 Indicador 2</v>
      </c>
      <c r="H140" s="268" t="str">
        <f ca="1">OFFSET(Variables_Lu!$D$10,Basic_Setup!H83,0)</f>
        <v>Nutrition-specific</v>
      </c>
      <c r="I140" s="67">
        <f t="shared" si="27"/>
        <v>0</v>
      </c>
      <c r="J140" s="154">
        <f t="shared" si="27"/>
        <v>0</v>
      </c>
      <c r="K140" s="154">
        <f t="shared" si="27"/>
        <v>0</v>
      </c>
      <c r="L140" s="154">
        <f t="shared" si="27"/>
        <v>0</v>
      </c>
      <c r="M140" s="154">
        <f t="shared" si="27"/>
        <v>0</v>
      </c>
      <c r="N140" s="154">
        <f t="shared" si="27"/>
        <v>0</v>
      </c>
    </row>
    <row r="141" spans="6:14" ht="12" x14ac:dyDescent="0.2">
      <c r="F141" s="444"/>
      <c r="G141" s="42" t="str">
        <f>STRAT9_IND3</f>
        <v>Objetivo estratégico 9 Indicador 3</v>
      </c>
      <c r="H141" s="268" t="str">
        <f ca="1">OFFSET(Variables_Lu!$D$10,Basic_Setup!H84,0)</f>
        <v>Nutrition-specific</v>
      </c>
      <c r="I141" s="67">
        <f t="shared" ref="I141:N150" si="28">I70/EXCHANGE_RATE</f>
        <v>0</v>
      </c>
      <c r="J141" s="154">
        <f t="shared" si="28"/>
        <v>0</v>
      </c>
      <c r="K141" s="154">
        <f t="shared" si="28"/>
        <v>0</v>
      </c>
      <c r="L141" s="154">
        <f t="shared" si="28"/>
        <v>0</v>
      </c>
      <c r="M141" s="154">
        <f t="shared" si="28"/>
        <v>0</v>
      </c>
      <c r="N141" s="154">
        <f t="shared" si="28"/>
        <v>0</v>
      </c>
    </row>
    <row r="142" spans="6:14" ht="12" x14ac:dyDescent="0.2">
      <c r="F142" s="444"/>
      <c r="G142" s="41" t="str">
        <f>STRAT9_IND4</f>
        <v>Objetivo estratégico 9 Indicador 4</v>
      </c>
      <c r="H142" s="268" t="str">
        <f ca="1">OFFSET(Variables_Lu!$D$10,Basic_Setup!H85,0)</f>
        <v>Nutrition-specific</v>
      </c>
      <c r="I142" s="67">
        <f t="shared" si="28"/>
        <v>0</v>
      </c>
      <c r="J142" s="154">
        <f t="shared" si="28"/>
        <v>0</v>
      </c>
      <c r="K142" s="154">
        <f t="shared" si="28"/>
        <v>0</v>
      </c>
      <c r="L142" s="154">
        <f t="shared" si="28"/>
        <v>0</v>
      </c>
      <c r="M142" s="154">
        <f t="shared" si="28"/>
        <v>0</v>
      </c>
      <c r="N142" s="154">
        <f t="shared" si="28"/>
        <v>0</v>
      </c>
    </row>
    <row r="143" spans="6:14" ht="12.6" thickBot="1" x14ac:dyDescent="0.25">
      <c r="F143" s="445"/>
      <c r="G143" s="275" t="str">
        <f>STRAT9_IND5</f>
        <v>Objetivo estratégico 9 Indicador 5</v>
      </c>
      <c r="H143" s="270" t="str">
        <f ca="1">OFFSET(Variables_Lu!$D$10,Basic_Setup!H86,0)</f>
        <v>Nutrition-specific</v>
      </c>
      <c r="I143" s="67">
        <f t="shared" si="28"/>
        <v>0</v>
      </c>
      <c r="J143" s="154">
        <f t="shared" si="28"/>
        <v>0</v>
      </c>
      <c r="K143" s="154">
        <f t="shared" si="28"/>
        <v>0</v>
      </c>
      <c r="L143" s="154">
        <f t="shared" si="28"/>
        <v>0</v>
      </c>
      <c r="M143" s="154">
        <f t="shared" si="28"/>
        <v>0</v>
      </c>
      <c r="N143" s="154">
        <f t="shared" si="28"/>
        <v>0</v>
      </c>
    </row>
    <row r="144" spans="6:14" ht="12.6" thickBot="1" x14ac:dyDescent="0.25">
      <c r="H144" s="152" t="s">
        <v>162</v>
      </c>
      <c r="I144" s="122">
        <f t="shared" si="28"/>
        <v>0</v>
      </c>
      <c r="J144" s="63">
        <f t="shared" si="28"/>
        <v>0</v>
      </c>
      <c r="K144" s="63">
        <f t="shared" si="28"/>
        <v>0</v>
      </c>
      <c r="L144" s="63">
        <f t="shared" si="28"/>
        <v>0</v>
      </c>
      <c r="M144" s="63">
        <f t="shared" si="28"/>
        <v>0</v>
      </c>
      <c r="N144" s="63">
        <f t="shared" si="28"/>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67">
        <f t="shared" si="28"/>
        <v>0</v>
      </c>
      <c r="J145" s="154">
        <f t="shared" si="28"/>
        <v>0</v>
      </c>
      <c r="K145" s="154">
        <f t="shared" si="28"/>
        <v>0</v>
      </c>
      <c r="L145" s="154">
        <f t="shared" si="28"/>
        <v>0</v>
      </c>
      <c r="M145" s="154">
        <f t="shared" si="28"/>
        <v>0</v>
      </c>
      <c r="N145" s="154">
        <f t="shared" si="28"/>
        <v>0</v>
      </c>
    </row>
    <row r="146" spans="1:14" ht="12" x14ac:dyDescent="0.2">
      <c r="F146" s="444"/>
      <c r="G146" s="42" t="str">
        <f>STRAT10_IND2</f>
        <v>Objetivo estratégico 10 Indicador 2</v>
      </c>
      <c r="H146" s="268" t="str">
        <f ca="1">OFFSET(Variables_Lu!$D$10,Basic_Setup!H89,0)</f>
        <v>Nutrition-specific</v>
      </c>
      <c r="I146" s="67">
        <f t="shared" si="28"/>
        <v>0</v>
      </c>
      <c r="J146" s="154">
        <f t="shared" si="28"/>
        <v>0</v>
      </c>
      <c r="K146" s="154">
        <f t="shared" si="28"/>
        <v>0</v>
      </c>
      <c r="L146" s="154">
        <f t="shared" si="28"/>
        <v>0</v>
      </c>
      <c r="M146" s="154">
        <f t="shared" si="28"/>
        <v>0</v>
      </c>
      <c r="N146" s="154">
        <f t="shared" si="28"/>
        <v>0</v>
      </c>
    </row>
    <row r="147" spans="1:14" ht="12" x14ac:dyDescent="0.2">
      <c r="F147" s="444"/>
      <c r="G147" s="42" t="str">
        <f>STRAT10_IND3</f>
        <v>Objetivo estratégico 10 Indicador 3</v>
      </c>
      <c r="H147" s="268" t="str">
        <f ca="1">OFFSET(Variables_Lu!$D$10,Basic_Setup!H90,0)</f>
        <v>Nutrition-specific</v>
      </c>
      <c r="I147" s="67">
        <f t="shared" si="28"/>
        <v>0</v>
      </c>
      <c r="J147" s="154">
        <f t="shared" si="28"/>
        <v>0</v>
      </c>
      <c r="K147" s="154">
        <f t="shared" si="28"/>
        <v>0</v>
      </c>
      <c r="L147" s="154">
        <f t="shared" si="28"/>
        <v>0</v>
      </c>
      <c r="M147" s="154">
        <f t="shared" si="28"/>
        <v>0</v>
      </c>
      <c r="N147" s="154">
        <f t="shared" si="28"/>
        <v>0</v>
      </c>
    </row>
    <row r="148" spans="1:14" ht="12" x14ac:dyDescent="0.2">
      <c r="F148" s="444"/>
      <c r="G148" s="41" t="str">
        <f>STRAT10_IND4</f>
        <v>Objetivo estratégico 10 Indicador 4</v>
      </c>
      <c r="H148" s="268" t="str">
        <f ca="1">OFFSET(Variables_Lu!$D$10,Basic_Setup!H91,0)</f>
        <v>Nutrition-specific</v>
      </c>
      <c r="I148" s="67">
        <f t="shared" si="28"/>
        <v>0</v>
      </c>
      <c r="J148" s="154">
        <f t="shared" si="28"/>
        <v>0</v>
      </c>
      <c r="K148" s="154">
        <f t="shared" si="28"/>
        <v>0</v>
      </c>
      <c r="L148" s="154">
        <f t="shared" si="28"/>
        <v>0</v>
      </c>
      <c r="M148" s="154">
        <f t="shared" si="28"/>
        <v>0</v>
      </c>
      <c r="N148" s="154">
        <f t="shared" si="28"/>
        <v>0</v>
      </c>
    </row>
    <row r="149" spans="1:14" ht="12.6" thickBot="1" x14ac:dyDescent="0.25">
      <c r="F149" s="445"/>
      <c r="G149" s="275" t="str">
        <f>STRAT10_IND5</f>
        <v>Objetivo estratégico 10 Indicador 5</v>
      </c>
      <c r="H149" s="270" t="str">
        <f ca="1">OFFSET(Variables_Lu!$D$10,Basic_Setup!H92,0)</f>
        <v>Nutrition-specific</v>
      </c>
      <c r="I149" s="67">
        <f t="shared" si="28"/>
        <v>0</v>
      </c>
      <c r="J149" s="154">
        <f t="shared" si="28"/>
        <v>0</v>
      </c>
      <c r="K149" s="154">
        <f t="shared" si="28"/>
        <v>0</v>
      </c>
      <c r="L149" s="154">
        <f t="shared" si="28"/>
        <v>0</v>
      </c>
      <c r="M149" s="154">
        <f t="shared" si="28"/>
        <v>0</v>
      </c>
      <c r="N149" s="154">
        <f t="shared" si="28"/>
        <v>0</v>
      </c>
    </row>
    <row r="150" spans="1:14" ht="12" x14ac:dyDescent="0.2">
      <c r="H150" s="152" t="s">
        <v>163</v>
      </c>
      <c r="I150" s="122">
        <f t="shared" si="28"/>
        <v>0</v>
      </c>
      <c r="J150" s="63">
        <f t="shared" si="28"/>
        <v>0</v>
      </c>
      <c r="K150" s="63">
        <f t="shared" si="28"/>
        <v>0</v>
      </c>
      <c r="L150" s="63">
        <f t="shared" si="28"/>
        <v>0</v>
      </c>
      <c r="M150" s="63">
        <f t="shared" si="28"/>
        <v>0</v>
      </c>
      <c r="N150" s="63">
        <f>N79/EXCHANGE_RATE</f>
        <v>0</v>
      </c>
    </row>
    <row r="151" spans="1:14" x14ac:dyDescent="0.2">
      <c r="I151" s="231"/>
      <c r="J151" s="231"/>
      <c r="K151" s="231"/>
      <c r="L151" s="231"/>
      <c r="M151" s="231"/>
      <c r="N151" s="231"/>
    </row>
    <row r="152" spans="1:14" ht="12.6" thickBot="1" x14ac:dyDescent="0.25">
      <c r="H152" s="149" t="str">
        <f>"TOTAL - "&amp;$F$12</f>
        <v>TOTAL - [No está en uso]</v>
      </c>
      <c r="I152" s="65">
        <f t="shared" ref="I152:M152" si="29">I81/EXCHANGE_RATE</f>
        <v>0</v>
      </c>
      <c r="J152" s="65">
        <f t="shared" si="29"/>
        <v>0</v>
      </c>
      <c r="K152" s="65">
        <f t="shared" si="29"/>
        <v>0</v>
      </c>
      <c r="L152" s="65">
        <f t="shared" si="29"/>
        <v>0</v>
      </c>
      <c r="M152" s="65">
        <f t="shared" si="29"/>
        <v>0</v>
      </c>
      <c r="N152" s="65">
        <f>N81/EXCHANGE_RATE</f>
        <v>0</v>
      </c>
    </row>
    <row r="153" spans="1:14" ht="12" x14ac:dyDescent="0.2">
      <c r="I153" s="149"/>
    </row>
    <row r="155" spans="1:14" x14ac:dyDescent="0.2">
      <c r="A155" s="39" t="s">
        <v>76</v>
      </c>
      <c r="B155" s="40" t="str">
        <f>"Summary of "&amp;Government10&amp;" - by Result/Indicator Type"</f>
        <v>Summary of [No está en uso]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t="e">
        <f ca="1">I159/$I$162</f>
        <v>#DIV/0!</v>
      </c>
      <c r="I159" s="68">
        <f ca="1">SUM(J159:N159)</f>
        <v>0</v>
      </c>
      <c r="J159" s="325">
        <f t="shared" ref="J159:N161" ca="1" si="30">J166*EXCHANGE_RATE</f>
        <v>0</v>
      </c>
      <c r="K159" s="325">
        <f t="shared" ca="1" si="30"/>
        <v>0</v>
      </c>
      <c r="L159" s="325">
        <f t="shared" ca="1" si="30"/>
        <v>0</v>
      </c>
      <c r="M159" s="325">
        <f t="shared" ca="1" si="30"/>
        <v>0</v>
      </c>
      <c r="N159" s="325">
        <f t="shared" ca="1" si="30"/>
        <v>0</v>
      </c>
    </row>
    <row r="160" spans="1:14" ht="12" x14ac:dyDescent="0.2">
      <c r="F160" s="38" t="str">
        <f>Lu_Nutrition_Sensitive</f>
        <v>Nutrition-sensitive</v>
      </c>
      <c r="G160" s="38"/>
      <c r="H160" s="289" t="e">
        <f t="shared" ref="H160" ca="1" si="31">I160/$I$162</f>
        <v>#DIV/0!</v>
      </c>
      <c r="I160" s="69">
        <f ca="1">SUM(J160:N160)</f>
        <v>0</v>
      </c>
      <c r="J160" s="325">
        <f t="shared" ca="1" si="30"/>
        <v>0</v>
      </c>
      <c r="K160" s="325">
        <f t="shared" ca="1" si="30"/>
        <v>0</v>
      </c>
      <c r="L160" s="325">
        <f t="shared" ca="1" si="30"/>
        <v>0</v>
      </c>
      <c r="M160" s="325">
        <f t="shared" ca="1" si="30"/>
        <v>0</v>
      </c>
      <c r="N160" s="325">
        <f t="shared" ca="1" si="30"/>
        <v>0</v>
      </c>
    </row>
    <row r="161" spans="6:14" ht="12" x14ac:dyDescent="0.2">
      <c r="F161" s="38" t="str">
        <f>Lu_Governance</f>
        <v>Governance</v>
      </c>
      <c r="G161" s="38"/>
      <c r="H161" s="289" t="e">
        <f ca="1">I161/$I$162</f>
        <v>#DIV/0!</v>
      </c>
      <c r="I161" s="69">
        <f ca="1">SUM(J161:N161)</f>
        <v>0</v>
      </c>
      <c r="J161" s="325">
        <f t="shared" ca="1" si="30"/>
        <v>0</v>
      </c>
      <c r="K161" s="325">
        <f t="shared" ca="1" si="30"/>
        <v>0</v>
      </c>
      <c r="L161" s="325">
        <f t="shared" ca="1" si="30"/>
        <v>0</v>
      </c>
      <c r="M161" s="325">
        <f t="shared" ca="1" si="30"/>
        <v>0</v>
      </c>
      <c r="N161" s="325">
        <f t="shared" ca="1" si="30"/>
        <v>0</v>
      </c>
    </row>
    <row r="162" spans="6:14" ht="12" x14ac:dyDescent="0.2">
      <c r="F162" s="324" t="str">
        <f>"TOTAL - "&amp;Summary_Govt_Contributions!$F$12&amp;" ("&amp;CURR_LCU_ABBR&amp;")"</f>
        <v>TOTAL - TODAS las contribuciones de las agencias gubernamentales (GOZ)</v>
      </c>
      <c r="G162" s="74"/>
      <c r="H162" s="291" t="e">
        <f ca="1">SUM(H159:H161)</f>
        <v>#DIV/0!</v>
      </c>
      <c r="I162" s="57">
        <f ca="1">SUM(J162:N162)</f>
        <v>0</v>
      </c>
      <c r="J162" s="55">
        <f ca="1">SUM(J159:J161)</f>
        <v>0</v>
      </c>
      <c r="K162" s="55">
        <f t="shared" ref="K162:M162" ca="1" si="32">SUM(K159:K161)</f>
        <v>0</v>
      </c>
      <c r="L162" s="55">
        <f t="shared" ca="1" si="32"/>
        <v>0</v>
      </c>
      <c r="M162" s="55">
        <f t="shared" ca="1" si="32"/>
        <v>0</v>
      </c>
      <c r="N162" s="55">
        <f ca="1">SUM(N159:N161)</f>
        <v>0</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t="e">
        <f ca="1">I166/$I$169</f>
        <v>#DIV/0!</v>
      </c>
      <c r="I166" s="404">
        <f ca="1">SUM(J166:N166)</f>
        <v>0</v>
      </c>
      <c r="J166" s="405">
        <f ca="1">SUMIF($H$91:$H$149,Lu_Nutrition_Specific,J$91:J$149)</f>
        <v>0</v>
      </c>
      <c r="K166" s="405">
        <f ca="1">SUMIF($H$91:$H$149,Lu_Nutrition_Specific,K$91:K$149)</f>
        <v>0</v>
      </c>
      <c r="L166" s="405">
        <f ca="1">SUMIF($H$91:$H$149,Lu_Nutrition_Specific,L$91:L$149)</f>
        <v>0</v>
      </c>
      <c r="M166" s="405">
        <f ca="1">SUMIF($H$91:$H$149,Lu_Nutrition_Specific,M$91:M$149)</f>
        <v>0</v>
      </c>
      <c r="N166" s="405">
        <f ca="1">SUMIF($H$91:$H$149,Lu_Nutrition_Specific,N$91:N$149)</f>
        <v>0</v>
      </c>
    </row>
    <row r="167" spans="6:14" ht="12" x14ac:dyDescent="0.2">
      <c r="F167" t="str">
        <f>Lu_Nutrition_Sensitive</f>
        <v>Nutrition-sensitive</v>
      </c>
      <c r="H167" s="289" t="e">
        <f t="shared" ref="H167" ca="1" si="33">I167/$I$169</f>
        <v>#DIV/0!</v>
      </c>
      <c r="I167" s="404">
        <f ca="1">SUM(J167:N167)</f>
        <v>0</v>
      </c>
      <c r="J167" s="405">
        <f ca="1">SUMIF($H$91:$H$149,Lu_Nutrition_Sensitive,J$91:J$149)</f>
        <v>0</v>
      </c>
      <c r="K167" s="405">
        <f ca="1">SUMIF($H$91:$H$149,Lu_Nutrition_Sensitive,K$91:K$149)</f>
        <v>0</v>
      </c>
      <c r="L167" s="405">
        <f ca="1">SUMIF($H$91:$H$149,Lu_Nutrition_Sensitive,L$91:L$149)</f>
        <v>0</v>
      </c>
      <c r="M167" s="405">
        <f ca="1">SUMIF($H$91:$H$149,Lu_Nutrition_Sensitive,M$91:M$149)</f>
        <v>0</v>
      </c>
      <c r="N167" s="405">
        <f ca="1">SUMIF($H$91:$H$149,Lu_Nutrition_Sensitive,N$91:N$149)</f>
        <v>0</v>
      </c>
    </row>
    <row r="168" spans="6:14" ht="12" x14ac:dyDescent="0.2">
      <c r="F168" t="str">
        <f>Lu_Governance</f>
        <v>Governance</v>
      </c>
      <c r="H168" s="289" t="e">
        <f ca="1">I168/$I$169</f>
        <v>#DIV/0!</v>
      </c>
      <c r="I168" s="404">
        <f ca="1">SUM(J168:N168)</f>
        <v>0</v>
      </c>
      <c r="J168" s="405">
        <f ca="1">SUMIF($H$91:$H$149,Lu_Governance,J$91:J$149)</f>
        <v>0</v>
      </c>
      <c r="K168" s="405">
        <f ca="1">SUMIF($H$91:$H$149,Lu_Governance,K$91:K$149)</f>
        <v>0</v>
      </c>
      <c r="L168" s="405">
        <f ca="1">SUMIF($H$91:$H$149,Lu_Governance,L$91:L$149)</f>
        <v>0</v>
      </c>
      <c r="M168" s="405">
        <f ca="1">SUMIF($H$91:$H$149,Lu_Governance,M$91:M$149)</f>
        <v>0</v>
      </c>
      <c r="N168" s="405">
        <f ca="1">SUMIF($H$91:$H$149,Lu_Governance,N$91:N$149)</f>
        <v>0</v>
      </c>
    </row>
    <row r="169" spans="6:14" ht="12" x14ac:dyDescent="0.2">
      <c r="F169" s="324" t="str">
        <f>"TOTAL - "&amp;Summary_Govt_Contributions!$F$12&amp;" ("&amp;CURR_INT_ABBR&amp;")"</f>
        <v>TOTAL - TODAS las contribuciones de las agencias gubernamentales (USD)</v>
      </c>
      <c r="G169" s="74"/>
      <c r="H169" s="291" t="e">
        <f ca="1">SUM(H166:H168)</f>
        <v>#DIV/0!</v>
      </c>
      <c r="I169" s="295">
        <f ca="1">SUM(J169:N169)</f>
        <v>0</v>
      </c>
      <c r="J169" s="55">
        <f ca="1">SUM(J166:J168)</f>
        <v>0</v>
      </c>
      <c r="K169" s="55">
        <f t="shared" ref="K169:N169" ca="1" si="34">SUM(K166:K168)</f>
        <v>0</v>
      </c>
      <c r="L169" s="55">
        <f t="shared" ca="1" si="34"/>
        <v>0</v>
      </c>
      <c r="M169" s="55">
        <f t="shared" ca="1" si="34"/>
        <v>0</v>
      </c>
      <c r="N169" s="55">
        <f t="shared" ca="1" si="34"/>
        <v>0</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4 J44:N48 J74:N78 J26:N30 J32:N36 J50:N54 J56:N60 J62:N66 J68:N72 J145:N149 J139:N143 J127:N131 J133:N137 J115:N119 J109:N113 J103:N107 J121:N125 J91:N95 J97:N101 J38:N42" xr:uid="{00000000-0002-0000-1400-000000000000}">
      <formula1>NOT(ISERROR(J20/1))</formula1>
    </dataValidation>
  </dataValidations>
  <hyperlinks>
    <hyperlink ref="A4" r:id="rId1" tooltip="Go to Top of Sheet" xr:uid="{00000000-0004-0000-1400-000000000000}"/>
    <hyperlink ref="B4" location="HL_Sheet_Main_28" tooltip="Go to Previous Sheet" display="ç" xr:uid="{00000000-0004-0000-1400-000001000000}"/>
    <hyperlink ref="C4" location="HL_Sheet_Main_13" tooltip="Go to Next Sheet" display="è" xr:uid="{00000000-0004-0000-1400-000002000000}"/>
    <hyperlink ref="B3" location="HL_Home" tooltip="Go to Table of Contents" display="Go to Table of Contents" xr:uid="{00000000-0004-0000-1400-000003000000}"/>
    <hyperlink ref="A14" location="Summary_Govt_Contributions!B14" tooltip="Click to follow hyperlink." display="ð" xr:uid="{00000000-0004-0000-1400-000004000000}"/>
    <hyperlink ref="A155" location="Summary_Govt_Contributions!B14" tooltip="Click to follow hyperlink." display="ð" xr:uid="{00000000-0004-0000-1400-000005000000}"/>
  </hyperlinks>
  <pageMargins left="0.4" right="0.4" top="0.6" bottom="1" header="0" footer="0.3"/>
  <pageSetup orientation="landscape" r:id="rId2"/>
  <headerFooter>
    <oddFooter>&amp;L&amp;F
&amp;A
Printed: &amp;T on &amp;D&amp;C&amp;",Bold"Sheet 2.l.
Page &amp;P of &amp;N</oddFooter>
  </headerFooter>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FFC000"/>
  </sheetPr>
  <dimension ref="A1:N175"/>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0.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Partner1 :Planned Contributions</v>
      </c>
    </row>
    <row r="2" spans="1:14" ht="13.2" x14ac:dyDescent="0.2">
      <c r="B2" s="5" t="str">
        <f>Model_Name</f>
        <v>Financial Gap Analysis Tool - País X (Datos de la muestra)</v>
      </c>
    </row>
    <row r="3" spans="1:14" x14ac:dyDescent="0.2">
      <c r="B3" s="425" t="s">
        <v>524</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F12" s="198" t="str">
        <f>Partner1</f>
        <v>UNICEF</v>
      </c>
      <c r="G12" s="60">
        <v>1</v>
      </c>
    </row>
    <row r="13" spans="1:14" s="38" customFormat="1" x14ac:dyDescent="0.2">
      <c r="G13"/>
    </row>
    <row r="14" spans="1:14" s="38" customFormat="1" x14ac:dyDescent="0.2">
      <c r="A14" s="39" t="s">
        <v>76</v>
      </c>
      <c r="B14" s="40" t="str">
        <f>"Planned Annual Contributions by "&amp;Partner1&amp;" - by Strategic Objective and Result/Indicator"</f>
        <v>Planned Annual Contributions by UNICEF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409" t="s">
        <v>106</v>
      </c>
      <c r="J19" s="54" t="str">
        <f>CURR_INT_ABBR</f>
        <v>USD</v>
      </c>
      <c r="K19" s="54" t="str">
        <f>CURR_INT_ABBR</f>
        <v>USD</v>
      </c>
      <c r="L19" s="54" t="str">
        <f>CURR_INT_ABBR</f>
        <v>USD</v>
      </c>
      <c r="M19" s="54" t="str">
        <f>CURR_INT_ABBR</f>
        <v>USD</v>
      </c>
      <c r="N19" s="54" t="str">
        <f>CURR_INT_ABBR</f>
        <v>USD</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67">
        <f>SUM(J20:N20)</f>
        <v>24000</v>
      </c>
      <c r="J20" s="61">
        <v>4800</v>
      </c>
      <c r="K20" s="61">
        <v>4800</v>
      </c>
      <c r="L20" s="61">
        <v>4800</v>
      </c>
      <c r="M20" s="61">
        <v>4800</v>
      </c>
      <c r="N20" s="61">
        <v>4800</v>
      </c>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67">
        <f t="shared" ref="I21:I22" si="2">SUM(J21:N21)</f>
        <v>4000</v>
      </c>
      <c r="J21" s="61">
        <v>800</v>
      </c>
      <c r="K21" s="61">
        <v>800</v>
      </c>
      <c r="L21" s="61">
        <v>800</v>
      </c>
      <c r="M21" s="61">
        <v>800</v>
      </c>
      <c r="N21" s="61">
        <v>800</v>
      </c>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67">
        <f t="shared" si="2"/>
        <v>8000</v>
      </c>
      <c r="J22" s="61">
        <v>1600</v>
      </c>
      <c r="K22" s="61">
        <v>1600</v>
      </c>
      <c r="L22" s="61">
        <v>1600</v>
      </c>
      <c r="M22" s="61">
        <v>1600</v>
      </c>
      <c r="N22" s="61">
        <v>1600</v>
      </c>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67">
        <f>SUM(J23:N23)</f>
        <v>4000</v>
      </c>
      <c r="J23" s="61">
        <v>800</v>
      </c>
      <c r="K23" s="61">
        <v>800</v>
      </c>
      <c r="L23" s="61">
        <v>800</v>
      </c>
      <c r="M23" s="61">
        <v>800</v>
      </c>
      <c r="N23" s="61">
        <v>800</v>
      </c>
    </row>
    <row r="24" spans="6:14" s="38" customFormat="1" ht="12" x14ac:dyDescent="0.2">
      <c r="F24" s="448"/>
      <c r="G24" s="41" t="str">
        <f>STRAT1_IND5</f>
        <v>Objetivo estratégico 1 Indicador 5</v>
      </c>
      <c r="H24" s="260" t="str">
        <f ca="1">OFFSET(Variables_Lu!$D$10,Basic_Setup!H38,0)</f>
        <v>Governance</v>
      </c>
      <c r="I24" s="67">
        <f>SUM(J24:N24)</f>
        <v>0</v>
      </c>
      <c r="J24" s="61"/>
      <c r="K24" s="61"/>
      <c r="L24" s="61"/>
      <c r="M24" s="61"/>
      <c r="N24" s="61"/>
    </row>
    <row r="25" spans="6:14" s="38" customFormat="1" ht="12" x14ac:dyDescent="0.2">
      <c r="H25" s="152" t="s">
        <v>538</v>
      </c>
      <c r="I25" s="250">
        <f>SUM(I20:I24)</f>
        <v>40000</v>
      </c>
      <c r="J25" s="64">
        <f>SUM(J20:J24)</f>
        <v>8000</v>
      </c>
      <c r="K25" s="64">
        <f t="shared" ref="K25:M25" si="3">SUM(K20:K24)</f>
        <v>8000</v>
      </c>
      <c r="L25" s="64">
        <f t="shared" si="3"/>
        <v>8000</v>
      </c>
      <c r="M25" s="64">
        <f t="shared" si="3"/>
        <v>8000</v>
      </c>
      <c r="N25" s="64">
        <f>SUM(N20:N24)</f>
        <v>8000</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67">
        <f>SUM(J26:N26)</f>
        <v>15000000</v>
      </c>
      <c r="J26" s="61">
        <v>3000000</v>
      </c>
      <c r="K26" s="61">
        <v>3000000</v>
      </c>
      <c r="L26" s="61">
        <v>3000000</v>
      </c>
      <c r="M26" s="61">
        <v>3000000</v>
      </c>
      <c r="N26" s="61">
        <v>3000000</v>
      </c>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67">
        <f t="shared" ref="I27:I30" si="4">SUM(J27:N27)</f>
        <v>2500000</v>
      </c>
      <c r="J27" s="61">
        <v>500000</v>
      </c>
      <c r="K27" s="61">
        <v>500000</v>
      </c>
      <c r="L27" s="61">
        <v>500000</v>
      </c>
      <c r="M27" s="61">
        <v>500000</v>
      </c>
      <c r="N27" s="61">
        <v>500000</v>
      </c>
    </row>
    <row r="28" spans="6:14" s="38" customFormat="1" ht="22.8" x14ac:dyDescent="0.2">
      <c r="F28" s="447"/>
      <c r="G28" s="42" t="str">
        <f>STRAT2_IND3</f>
        <v>Se refuerzan las intervenciones comunitarias en materia de nutrición.</v>
      </c>
      <c r="H28" s="260" t="str">
        <f ca="1">OFFSET(Variables_Lu!$D$10,Basic_Setup!H42,0)</f>
        <v>Nutrition-specific</v>
      </c>
      <c r="I28" s="67">
        <f t="shared" si="4"/>
        <v>6500000</v>
      </c>
      <c r="J28" s="61">
        <v>1300000</v>
      </c>
      <c r="K28" s="61">
        <v>1300000</v>
      </c>
      <c r="L28" s="61">
        <v>1300000</v>
      </c>
      <c r="M28" s="61">
        <v>1300000</v>
      </c>
      <c r="N28" s="61">
        <v>1300000</v>
      </c>
    </row>
    <row r="29" spans="6:14" s="38" customFormat="1" ht="12" x14ac:dyDescent="0.2">
      <c r="F29" s="447"/>
      <c r="G29" s="41" t="str">
        <f>STRAT2_IND4</f>
        <v>Objetivo estratégico 2 Indicador 4</v>
      </c>
      <c r="H29" s="260" t="str">
        <f ca="1">OFFSET(Variables_Lu!$D$10,Basic_Setup!H43,0)</f>
        <v>Nutrition-specific</v>
      </c>
      <c r="I29" s="67">
        <f t="shared" si="4"/>
        <v>0</v>
      </c>
      <c r="J29" s="61"/>
      <c r="K29" s="61"/>
      <c r="L29" s="61"/>
      <c r="M29" s="61"/>
      <c r="N29" s="61"/>
    </row>
    <row r="30" spans="6:14" s="38" customFormat="1" ht="12" x14ac:dyDescent="0.2">
      <c r="F30" s="448"/>
      <c r="G30" s="41" t="str">
        <f>STRAT2_IND5</f>
        <v>Objetivo estratégico 2 Indicador 5</v>
      </c>
      <c r="H30" s="260" t="str">
        <f ca="1">OFFSET(Variables_Lu!$D$10,Basic_Setup!H44,0)</f>
        <v>Nutrition-specific</v>
      </c>
      <c r="I30" s="67">
        <f t="shared" si="4"/>
        <v>0</v>
      </c>
      <c r="J30" s="61"/>
      <c r="K30" s="61"/>
      <c r="L30" s="61"/>
      <c r="M30" s="61"/>
      <c r="N30" s="61"/>
    </row>
    <row r="31" spans="6:14" s="38" customFormat="1" ht="12" x14ac:dyDescent="0.2">
      <c r="H31" s="152" t="s">
        <v>539</v>
      </c>
      <c r="I31" s="250">
        <f t="shared" ref="I31:N31" si="5">SUM(I26:I30)</f>
        <v>24000000</v>
      </c>
      <c r="J31" s="64">
        <f t="shared" si="5"/>
        <v>4800000</v>
      </c>
      <c r="K31" s="64">
        <f t="shared" si="5"/>
        <v>4800000</v>
      </c>
      <c r="L31" s="64">
        <f t="shared" si="5"/>
        <v>4800000</v>
      </c>
      <c r="M31" s="64">
        <f t="shared" si="5"/>
        <v>4800000</v>
      </c>
      <c r="N31" s="64">
        <f t="shared" si="5"/>
        <v>4800000</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67">
        <f>SUM(J32:N32)</f>
        <v>0</v>
      </c>
      <c r="J32" s="61"/>
      <c r="K32" s="61"/>
      <c r="L32" s="61"/>
      <c r="M32" s="61"/>
      <c r="N32" s="61"/>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67">
        <f t="shared" ref="I33:I36" si="6">SUM(J33:N33)</f>
        <v>0</v>
      </c>
      <c r="J33" s="61"/>
      <c r="K33" s="61"/>
      <c r="L33" s="61"/>
      <c r="M33" s="61"/>
      <c r="N33" s="61"/>
    </row>
    <row r="34" spans="6:14" s="38" customFormat="1" ht="12" x14ac:dyDescent="0.2">
      <c r="F34" s="447"/>
      <c r="G34" s="42" t="str">
        <f>STRAT3_IND3</f>
        <v>Objetivo estratégico 3 Indicador 3</v>
      </c>
      <c r="H34" s="260" t="str">
        <f ca="1">OFFSET(Variables_Lu!$D$10,Basic_Setup!H48,0)</f>
        <v>Nutrition-specific</v>
      </c>
      <c r="I34" s="67">
        <f t="shared" si="6"/>
        <v>0</v>
      </c>
      <c r="J34" s="61"/>
      <c r="K34" s="61"/>
      <c r="L34" s="61"/>
      <c r="M34" s="61"/>
      <c r="N34" s="61"/>
    </row>
    <row r="35" spans="6:14" s="38" customFormat="1" ht="12" x14ac:dyDescent="0.2">
      <c r="F35" s="447"/>
      <c r="G35" s="41" t="str">
        <f>STRAT3_IND4</f>
        <v>Objetivo estratégico 3 Indicador 4</v>
      </c>
      <c r="H35" s="260" t="str">
        <f ca="1">OFFSET(Variables_Lu!$D$10,Basic_Setup!H49,0)</f>
        <v>Nutrition-specific</v>
      </c>
      <c r="I35" s="67">
        <f t="shared" si="6"/>
        <v>0</v>
      </c>
      <c r="J35" s="61"/>
      <c r="K35" s="61"/>
      <c r="L35" s="61"/>
      <c r="M35" s="61"/>
      <c r="N35" s="61"/>
    </row>
    <row r="36" spans="6:14" s="38" customFormat="1" ht="12" x14ac:dyDescent="0.2">
      <c r="F36" s="448"/>
      <c r="G36" s="41" t="str">
        <f>STRAT3_IND5</f>
        <v>Objetivo estratégico 3 Indicador 5</v>
      </c>
      <c r="H36" s="260" t="str">
        <f ca="1">OFFSET(Variables_Lu!$D$10,Basic_Setup!H50,0)</f>
        <v>Nutrition-specific</v>
      </c>
      <c r="I36" s="67">
        <f t="shared" si="6"/>
        <v>0</v>
      </c>
      <c r="J36" s="61"/>
      <c r="K36" s="61"/>
      <c r="L36" s="61"/>
      <c r="M36" s="61"/>
      <c r="N36" s="61"/>
    </row>
    <row r="37" spans="6:14" ht="12" x14ac:dyDescent="0.2">
      <c r="H37" s="152" t="s">
        <v>540</v>
      </c>
      <c r="I37" s="250">
        <f>SUM(I32:I36)</f>
        <v>0</v>
      </c>
      <c r="J37" s="64">
        <f>SUM(J32:J36)</f>
        <v>0</v>
      </c>
      <c r="K37" s="64">
        <f t="shared" ref="K37" si="7">SUM(K32:K36)</f>
        <v>0</v>
      </c>
      <c r="L37" s="64">
        <f t="shared" ref="L37" si="8">SUM(L32:L36)</f>
        <v>0</v>
      </c>
      <c r="M37" s="64">
        <f t="shared" ref="M37" si="9">SUM(M32:M36)</f>
        <v>0</v>
      </c>
      <c r="N37" s="64">
        <f t="shared" ref="N37" si="10">SUM(N32:N36)</f>
        <v>0</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67">
        <f>SUM(J38:N38)</f>
        <v>200000</v>
      </c>
      <c r="J38" s="61">
        <v>40000</v>
      </c>
      <c r="K38" s="61">
        <v>40000</v>
      </c>
      <c r="L38" s="61">
        <v>40000</v>
      </c>
      <c r="M38" s="61">
        <v>40000</v>
      </c>
      <c r="N38" s="61">
        <v>40000</v>
      </c>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67">
        <f t="shared" ref="I39:I42" si="11">SUM(J39:N39)</f>
        <v>200000</v>
      </c>
      <c r="J39" s="61">
        <v>40000</v>
      </c>
      <c r="K39" s="61">
        <v>40000</v>
      </c>
      <c r="L39" s="61">
        <v>40000</v>
      </c>
      <c r="M39" s="61">
        <v>40000</v>
      </c>
      <c r="N39" s="61">
        <v>40000</v>
      </c>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67">
        <f>SUM(J40:N40)</f>
        <v>1600000</v>
      </c>
      <c r="J40" s="61">
        <v>320000</v>
      </c>
      <c r="K40" s="61">
        <v>320000</v>
      </c>
      <c r="L40" s="61">
        <v>320000</v>
      </c>
      <c r="M40" s="61">
        <v>320000</v>
      </c>
      <c r="N40" s="61">
        <v>320000</v>
      </c>
    </row>
    <row r="41" spans="6:14" ht="12" x14ac:dyDescent="0.2">
      <c r="F41" s="447"/>
      <c r="G41" s="41" t="str">
        <f>STRAT4_IND4</f>
        <v>Objetivo estratégico 4 Indicador 4</v>
      </c>
      <c r="H41" s="260" t="str">
        <f ca="1">OFFSET(Variables_Lu!$D$10,Basic_Setup!H55,0)</f>
        <v>Nutrition-specific</v>
      </c>
      <c r="I41" s="67">
        <f>SUM(J41:N41)</f>
        <v>0</v>
      </c>
      <c r="J41" s="61"/>
      <c r="K41" s="61"/>
      <c r="L41" s="61"/>
      <c r="M41" s="61"/>
      <c r="N41" s="61"/>
    </row>
    <row r="42" spans="6:14" ht="12" x14ac:dyDescent="0.2">
      <c r="F42" s="448"/>
      <c r="G42" s="41" t="str">
        <f>STRAT4_IND5</f>
        <v>Objetivo estratégico 4 Indicador 5</v>
      </c>
      <c r="H42" s="260" t="str">
        <f ca="1">OFFSET(Variables_Lu!$D$10,Basic_Setup!H56,0)</f>
        <v>Nutrition-specific</v>
      </c>
      <c r="I42" s="67">
        <f t="shared" si="11"/>
        <v>0</v>
      </c>
      <c r="J42" s="61"/>
      <c r="K42" s="61"/>
      <c r="L42" s="61"/>
      <c r="M42" s="61"/>
      <c r="N42" s="61"/>
    </row>
    <row r="43" spans="6:14" ht="12" x14ac:dyDescent="0.2">
      <c r="H43" s="152" t="s">
        <v>541</v>
      </c>
      <c r="I43" s="250">
        <f>SUM(I38:I42)</f>
        <v>2000000</v>
      </c>
      <c r="J43" s="64">
        <f>SUM(J38:J42)</f>
        <v>400000</v>
      </c>
      <c r="K43" s="64">
        <f t="shared" ref="K43" si="12">SUM(K38:K42)</f>
        <v>400000</v>
      </c>
      <c r="L43" s="64">
        <f t="shared" ref="L43" si="13">SUM(L38:L42)</f>
        <v>400000</v>
      </c>
      <c r="M43" s="64">
        <f t="shared" ref="M43" si="14">SUM(M38:M42)</f>
        <v>400000</v>
      </c>
      <c r="N43" s="64">
        <f t="shared" ref="N43" si="15">SUM(N38:N42)</f>
        <v>400000</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67">
        <f>SUM(J44:N44)</f>
        <v>6000000</v>
      </c>
      <c r="J44" s="61">
        <v>1200000</v>
      </c>
      <c r="K44" s="61">
        <v>1200000</v>
      </c>
      <c r="L44" s="61">
        <v>1200000</v>
      </c>
      <c r="M44" s="61">
        <v>1200000</v>
      </c>
      <c r="N44" s="61">
        <v>1200000</v>
      </c>
    </row>
    <row r="45" spans="6:14" ht="22.8" x14ac:dyDescent="0.2">
      <c r="F45" s="447"/>
      <c r="G45" s="42" t="str">
        <f>STRAT5_IND2</f>
        <v>Se promueven dietas saludables y estilos de vida saludables para las personas.</v>
      </c>
      <c r="H45" s="260" t="str">
        <f ca="1">OFFSET(Variables_Lu!$D$10,Basic_Setup!H59,0)</f>
        <v>Nutrition-specific</v>
      </c>
      <c r="I45" s="67">
        <f t="shared" ref="I45:I48" si="16">SUM(J45:N45)</f>
        <v>2400000</v>
      </c>
      <c r="J45" s="61">
        <v>480000</v>
      </c>
      <c r="K45" s="61">
        <v>480000</v>
      </c>
      <c r="L45" s="61">
        <v>480000</v>
      </c>
      <c r="M45" s="61">
        <v>480000</v>
      </c>
      <c r="N45" s="61">
        <v>480000</v>
      </c>
    </row>
    <row r="46" spans="6:14" ht="22.8" x14ac:dyDescent="0.2">
      <c r="F46" s="447"/>
      <c r="G46" s="42" t="str">
        <f>STRAT5_IND3</f>
        <v>Se promueven las buenas prácticas WASH a nivel comunitario y doméstico</v>
      </c>
      <c r="H46" s="260" t="str">
        <f ca="1">OFFSET(Variables_Lu!$D$10,Basic_Setup!H60,0)</f>
        <v>Nutrition-sensitive</v>
      </c>
      <c r="I46" s="67">
        <f t="shared" si="16"/>
        <v>3600000</v>
      </c>
      <c r="J46" s="61">
        <v>720000</v>
      </c>
      <c r="K46" s="61">
        <v>720000</v>
      </c>
      <c r="L46" s="61">
        <v>720000</v>
      </c>
      <c r="M46" s="61">
        <v>720000</v>
      </c>
      <c r="N46" s="61">
        <v>720000</v>
      </c>
    </row>
    <row r="47" spans="6:14" ht="12" x14ac:dyDescent="0.2">
      <c r="F47" s="447"/>
      <c r="G47" s="41" t="str">
        <f>STRAT5_IND4</f>
        <v>Objetivo estratégico 5 Indicador 4</v>
      </c>
      <c r="H47" s="260" t="str">
        <f ca="1">OFFSET(Variables_Lu!$D$10,Basic_Setup!H61,0)</f>
        <v>Nutrition-specific</v>
      </c>
      <c r="I47" s="67">
        <f t="shared" si="16"/>
        <v>0</v>
      </c>
      <c r="J47" s="61"/>
      <c r="K47" s="61"/>
      <c r="L47" s="61"/>
      <c r="M47" s="61"/>
      <c r="N47" s="61"/>
    </row>
    <row r="48" spans="6:14" ht="12" x14ac:dyDescent="0.2">
      <c r="F48" s="448"/>
      <c r="G48" s="41" t="str">
        <f>STRAT5_IND5</f>
        <v>Objetivo estratégico 5 Indicador 5</v>
      </c>
      <c r="H48" s="260" t="str">
        <f ca="1">OFFSET(Variables_Lu!$D$10,Basic_Setup!H62,0)</f>
        <v>Nutrition-specific</v>
      </c>
      <c r="I48" s="67">
        <f t="shared" si="16"/>
        <v>0</v>
      </c>
      <c r="J48" s="61"/>
      <c r="K48" s="61"/>
      <c r="L48" s="61"/>
      <c r="M48" s="61"/>
      <c r="N48" s="61"/>
    </row>
    <row r="49" spans="6:14" ht="12" x14ac:dyDescent="0.2">
      <c r="H49" s="152" t="s">
        <v>542</v>
      </c>
      <c r="I49" s="250">
        <f>SUM(I44:I48)</f>
        <v>12000000</v>
      </c>
      <c r="J49" s="64">
        <f>SUM(J44:J48)</f>
        <v>2400000</v>
      </c>
      <c r="K49" s="64">
        <f t="shared" ref="K49" si="17">SUM(K44:K48)</f>
        <v>2400000</v>
      </c>
      <c r="L49" s="64">
        <f>SUM(L44:L48)</f>
        <v>2400000</v>
      </c>
      <c r="M49" s="64">
        <f t="shared" ref="M49" si="18">SUM(M44:M48)</f>
        <v>2400000</v>
      </c>
      <c r="N49" s="64">
        <f t="shared" ref="N49" si="19">SUM(N44:N48)</f>
        <v>2400000</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67">
        <f>SUM(J50:N50)</f>
        <v>0</v>
      </c>
      <c r="J50" s="61"/>
      <c r="K50" s="61"/>
      <c r="L50" s="61"/>
      <c r="M50" s="61"/>
      <c r="N50" s="61"/>
    </row>
    <row r="51" spans="6:14" ht="12" x14ac:dyDescent="0.2">
      <c r="F51" s="447"/>
      <c r="G51" s="42" t="str">
        <f>STRAT6_IND2</f>
        <v>Objetivo estratégico 6 Indicador 2</v>
      </c>
      <c r="H51" s="260" t="str">
        <f ca="1">OFFSET(Variables_Lu!$D$10,Basic_Setup!H65,0)</f>
        <v>Nutrition-specific</v>
      </c>
      <c r="I51" s="67">
        <f>SUM(J51:N51)</f>
        <v>0</v>
      </c>
      <c r="J51" s="61"/>
      <c r="K51" s="61"/>
      <c r="L51" s="61"/>
      <c r="M51" s="61"/>
      <c r="N51" s="61"/>
    </row>
    <row r="52" spans="6:14" ht="12" x14ac:dyDescent="0.2">
      <c r="F52" s="447"/>
      <c r="G52" s="42" t="str">
        <f>STRAT6_IND3</f>
        <v>Objetivo estratégico 6 Indicador 3</v>
      </c>
      <c r="H52" s="260" t="str">
        <f ca="1">OFFSET(Variables_Lu!$D$10,Basic_Setup!H66,0)</f>
        <v>Nutrition-specific</v>
      </c>
      <c r="I52" s="67">
        <f>SUM(J52:N52)</f>
        <v>0</v>
      </c>
      <c r="J52" s="61"/>
      <c r="K52" s="61"/>
      <c r="L52" s="61"/>
      <c r="M52" s="61"/>
      <c r="N52" s="61"/>
    </row>
    <row r="53" spans="6:14" ht="12" x14ac:dyDescent="0.2">
      <c r="F53" s="447"/>
      <c r="G53" s="41" t="str">
        <f>STRAT6_IND4</f>
        <v>Objetivo estratégico 6 Indicador 4</v>
      </c>
      <c r="H53" s="260" t="str">
        <f ca="1">OFFSET(Variables_Lu!$D$10,Basic_Setup!H67,0)</f>
        <v>Nutrition-specific</v>
      </c>
      <c r="I53" s="67">
        <f>SUM(J53:N53)</f>
        <v>0</v>
      </c>
      <c r="J53" s="61"/>
      <c r="K53" s="61"/>
      <c r="L53" s="61"/>
      <c r="M53" s="61"/>
      <c r="N53" s="61"/>
    </row>
    <row r="54" spans="6:14" ht="12" x14ac:dyDescent="0.2">
      <c r="F54" s="448"/>
      <c r="G54" s="41" t="str">
        <f>STRAT6_IND5</f>
        <v>Objetivo estratégico 6 Indicador 5</v>
      </c>
      <c r="H54" s="260" t="str">
        <f ca="1">OFFSET(Variables_Lu!$D$10,Basic_Setup!H68,0)</f>
        <v>Nutrition-specific</v>
      </c>
      <c r="I54" s="67">
        <f>SUM(J54:N54)</f>
        <v>0</v>
      </c>
      <c r="J54" s="61"/>
      <c r="K54" s="61"/>
      <c r="L54" s="61"/>
      <c r="M54" s="61"/>
      <c r="N54" s="61"/>
    </row>
    <row r="55" spans="6:14" ht="12" x14ac:dyDescent="0.2">
      <c r="H55" s="152" t="s">
        <v>543</v>
      </c>
      <c r="I55" s="250">
        <f t="shared" ref="I55:N55" si="20">SUM(I50:I54)</f>
        <v>0</v>
      </c>
      <c r="J55" s="64">
        <f t="shared" si="20"/>
        <v>0</v>
      </c>
      <c r="K55" s="64">
        <f t="shared" si="20"/>
        <v>0</v>
      </c>
      <c r="L55" s="64">
        <f t="shared" si="20"/>
        <v>0</v>
      </c>
      <c r="M55" s="64">
        <f t="shared" si="20"/>
        <v>0</v>
      </c>
      <c r="N55" s="64">
        <f t="shared" si="20"/>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67">
        <f>SUM(J56:N56)</f>
        <v>0</v>
      </c>
      <c r="J56" s="61"/>
      <c r="K56" s="61"/>
      <c r="L56" s="61"/>
      <c r="M56" s="61"/>
      <c r="N56" s="61"/>
    </row>
    <row r="57" spans="6:14" ht="12" x14ac:dyDescent="0.2">
      <c r="F57" s="447"/>
      <c r="G57" s="42" t="str">
        <f>STRAT7_IND2</f>
        <v>Objetivo estratégico 7 Indicador 2</v>
      </c>
      <c r="H57" s="260" t="str">
        <f ca="1">OFFSET(Variables_Lu!$D$10,Basic_Setup!H71,0)</f>
        <v>Nutrition-specific</v>
      </c>
      <c r="I57" s="67">
        <f>SUM(J57:N57)</f>
        <v>0</v>
      </c>
      <c r="J57" s="61"/>
      <c r="K57" s="61"/>
      <c r="L57" s="61"/>
      <c r="M57" s="61"/>
      <c r="N57" s="61"/>
    </row>
    <row r="58" spans="6:14" ht="12" x14ac:dyDescent="0.2">
      <c r="F58" s="447"/>
      <c r="G58" s="42" t="str">
        <f>STRAT7_IND3</f>
        <v>Objetivo estratégico 7 Indicador 3</v>
      </c>
      <c r="H58" s="260" t="str">
        <f ca="1">OFFSET(Variables_Lu!$D$10,Basic_Setup!H72,0)</f>
        <v>Nutrition-specific</v>
      </c>
      <c r="I58" s="67">
        <f>SUM(J58:N58)</f>
        <v>0</v>
      </c>
      <c r="J58" s="61"/>
      <c r="K58" s="61"/>
      <c r="L58" s="61"/>
      <c r="M58" s="61"/>
      <c r="N58" s="61"/>
    </row>
    <row r="59" spans="6:14" ht="12" x14ac:dyDescent="0.2">
      <c r="F59" s="447"/>
      <c r="G59" s="41" t="str">
        <f>STRAT7_IND4</f>
        <v>Objetivo estratégico 7 Indicador 4</v>
      </c>
      <c r="H59" s="260" t="str">
        <f ca="1">OFFSET(Variables_Lu!$D$10,Basic_Setup!H73,0)</f>
        <v>Nutrition-specific</v>
      </c>
      <c r="I59" s="67">
        <f>SUM(J59:N59)</f>
        <v>0</v>
      </c>
      <c r="J59" s="61"/>
      <c r="K59" s="61"/>
      <c r="L59" s="61"/>
      <c r="M59" s="61"/>
      <c r="N59" s="61"/>
    </row>
    <row r="60" spans="6:14" ht="12" x14ac:dyDescent="0.2">
      <c r="F60" s="448"/>
      <c r="G60" s="41" t="str">
        <f>STRAT7_IND5</f>
        <v>Objetivo estratégico 7 Indicador 5</v>
      </c>
      <c r="H60" s="260" t="str">
        <f ca="1">OFFSET(Variables_Lu!$D$10,Basic_Setup!H74,0)</f>
        <v>Nutrition-specific</v>
      </c>
      <c r="I60" s="67">
        <f>SUM(J60:N60)</f>
        <v>0</v>
      </c>
      <c r="J60" s="61"/>
      <c r="K60" s="61"/>
      <c r="L60" s="61"/>
      <c r="M60" s="61"/>
      <c r="N60" s="61"/>
    </row>
    <row r="61" spans="6:14" ht="12" x14ac:dyDescent="0.2">
      <c r="H61" s="152" t="s">
        <v>544</v>
      </c>
      <c r="I61" s="250">
        <f t="shared" ref="I61:N61" si="21">SUM(I56:I60)</f>
        <v>0</v>
      </c>
      <c r="J61" s="64">
        <f t="shared" si="21"/>
        <v>0</v>
      </c>
      <c r="K61" s="64">
        <f t="shared" si="21"/>
        <v>0</v>
      </c>
      <c r="L61" s="64">
        <f t="shared" si="21"/>
        <v>0</v>
      </c>
      <c r="M61" s="64">
        <f t="shared" si="21"/>
        <v>0</v>
      </c>
      <c r="N61" s="64">
        <f t="shared" si="21"/>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67">
        <f>SUM(J62:N62)</f>
        <v>0</v>
      </c>
      <c r="J62" s="61"/>
      <c r="K62" s="61"/>
      <c r="L62" s="61"/>
      <c r="M62" s="61"/>
      <c r="N62" s="61"/>
    </row>
    <row r="63" spans="6:14" ht="12" x14ac:dyDescent="0.2">
      <c r="F63" s="447"/>
      <c r="G63" s="42" t="str">
        <f>STRAT8_IND2</f>
        <v>Objetivo estratégico 8 Indicador 2</v>
      </c>
      <c r="H63" s="260" t="str">
        <f ca="1">OFFSET(Variables_Lu!$D$10,Basic_Setup!H77,0)</f>
        <v>Nutrition-specific</v>
      </c>
      <c r="I63" s="67">
        <f>SUM(J63:N63)</f>
        <v>0</v>
      </c>
      <c r="J63" s="61"/>
      <c r="K63" s="61"/>
      <c r="L63" s="61"/>
      <c r="M63" s="61"/>
      <c r="N63" s="61"/>
    </row>
    <row r="64" spans="6:14" ht="12" x14ac:dyDescent="0.2">
      <c r="F64" s="447"/>
      <c r="G64" s="42" t="str">
        <f>STRAT8_IND3</f>
        <v>Objetivo estratégico 8 Indicador 3</v>
      </c>
      <c r="H64" s="260" t="str">
        <f ca="1">OFFSET(Variables_Lu!$D$10,Basic_Setup!H78,0)</f>
        <v>Nutrition-specific</v>
      </c>
      <c r="I64" s="67">
        <f>SUM(J64:N64)</f>
        <v>0</v>
      </c>
      <c r="J64" s="61"/>
      <c r="K64" s="61"/>
      <c r="L64" s="61"/>
      <c r="M64" s="61"/>
      <c r="N64" s="61"/>
    </row>
    <row r="65" spans="6:14" ht="12" x14ac:dyDescent="0.2">
      <c r="F65" s="447"/>
      <c r="G65" s="41" t="str">
        <f>STRAT8_IND4</f>
        <v>Objetivo estratégico 8 Indicador 4</v>
      </c>
      <c r="H65" s="260" t="str">
        <f ca="1">OFFSET(Variables_Lu!$D$10,Basic_Setup!H79,0)</f>
        <v>Nutrition-specific</v>
      </c>
      <c r="I65" s="67">
        <f>SUM(J65:N65)</f>
        <v>0</v>
      </c>
      <c r="J65" s="61"/>
      <c r="K65" s="61"/>
      <c r="L65" s="61"/>
      <c r="M65" s="61"/>
      <c r="N65" s="61"/>
    </row>
    <row r="66" spans="6:14" ht="12" x14ac:dyDescent="0.2">
      <c r="F66" s="448"/>
      <c r="G66" s="41" t="str">
        <f>STRAT8_IND5</f>
        <v>Objetivo estratégico 8 Indicador 5</v>
      </c>
      <c r="H66" s="260" t="str">
        <f ca="1">OFFSET(Variables_Lu!$D$10,Basic_Setup!H80,0)</f>
        <v>Nutrition-specific</v>
      </c>
      <c r="I66" s="67">
        <f>SUM(J66:N66)</f>
        <v>0</v>
      </c>
      <c r="J66" s="61"/>
      <c r="K66" s="61"/>
      <c r="L66" s="61"/>
      <c r="M66" s="61"/>
      <c r="N66" s="61"/>
    </row>
    <row r="67" spans="6:14" ht="12" x14ac:dyDescent="0.2">
      <c r="H67" s="152" t="s">
        <v>545</v>
      </c>
      <c r="I67" s="250">
        <f t="shared" ref="I67:N67" si="22">SUM(I62:I66)</f>
        <v>0</v>
      </c>
      <c r="J67" s="64">
        <f t="shared" si="22"/>
        <v>0</v>
      </c>
      <c r="K67" s="64">
        <f t="shared" si="22"/>
        <v>0</v>
      </c>
      <c r="L67" s="64">
        <f>SUM(L62:L66)</f>
        <v>0</v>
      </c>
      <c r="M67" s="64">
        <f t="shared" si="22"/>
        <v>0</v>
      </c>
      <c r="N67" s="64">
        <f t="shared" si="22"/>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67">
        <f>SUM(J68:N68)</f>
        <v>0</v>
      </c>
      <c r="J68" s="61"/>
      <c r="K68" s="61"/>
      <c r="L68" s="61"/>
      <c r="M68" s="61"/>
      <c r="N68" s="61"/>
    </row>
    <row r="69" spans="6:14" ht="12" x14ac:dyDescent="0.2">
      <c r="F69" s="447"/>
      <c r="G69" s="42" t="str">
        <f>STRAT9_IND2</f>
        <v>Objetivo estratégico 9 Indicador 2</v>
      </c>
      <c r="H69" s="260" t="str">
        <f ca="1">OFFSET(Variables_Lu!$D$10,Basic_Setup!H83,0)</f>
        <v>Nutrition-specific</v>
      </c>
      <c r="I69" s="67">
        <f>SUM(J69:N69)</f>
        <v>0</v>
      </c>
      <c r="J69" s="61"/>
      <c r="K69" s="61"/>
      <c r="L69" s="61"/>
      <c r="M69" s="61"/>
      <c r="N69" s="61"/>
    </row>
    <row r="70" spans="6:14" ht="12" x14ac:dyDescent="0.2">
      <c r="F70" s="447"/>
      <c r="G70" s="42" t="str">
        <f>STRAT9_IND3</f>
        <v>Objetivo estratégico 9 Indicador 3</v>
      </c>
      <c r="H70" s="260" t="str">
        <f ca="1">OFFSET(Variables_Lu!$D$10,Basic_Setup!H84,0)</f>
        <v>Nutrition-specific</v>
      </c>
      <c r="I70" s="67">
        <f>SUM(J70:N70)</f>
        <v>0</v>
      </c>
      <c r="J70" s="61"/>
      <c r="K70" s="61"/>
      <c r="L70" s="61"/>
      <c r="M70" s="61"/>
      <c r="N70" s="61"/>
    </row>
    <row r="71" spans="6:14" ht="12" x14ac:dyDescent="0.2">
      <c r="F71" s="447"/>
      <c r="G71" s="41" t="str">
        <f>STRAT9_IND4</f>
        <v>Objetivo estratégico 9 Indicador 4</v>
      </c>
      <c r="H71" s="260" t="str">
        <f ca="1">OFFSET(Variables_Lu!$D$10,Basic_Setup!H85,0)</f>
        <v>Nutrition-specific</v>
      </c>
      <c r="I71" s="67">
        <f>SUM(J71:N71)</f>
        <v>0</v>
      </c>
      <c r="J71" s="61"/>
      <c r="K71" s="61"/>
      <c r="L71" s="61"/>
      <c r="M71" s="61"/>
      <c r="N71" s="61"/>
    </row>
    <row r="72" spans="6:14" ht="12" x14ac:dyDescent="0.2">
      <c r="F72" s="448"/>
      <c r="G72" s="41" t="str">
        <f>STRAT9_IND5</f>
        <v>Objetivo estratégico 9 Indicador 5</v>
      </c>
      <c r="H72" s="260" t="str">
        <f ca="1">OFFSET(Variables_Lu!$D$10,Basic_Setup!H86,0)</f>
        <v>Nutrition-specific</v>
      </c>
      <c r="I72" s="67">
        <f>SUM(J72:N72)</f>
        <v>0</v>
      </c>
      <c r="J72" s="61"/>
      <c r="K72" s="61"/>
      <c r="L72" s="61"/>
      <c r="M72" s="61"/>
      <c r="N72" s="61"/>
    </row>
    <row r="73" spans="6:14" ht="12" x14ac:dyDescent="0.2">
      <c r="H73" s="152" t="s">
        <v>546</v>
      </c>
      <c r="I73" s="250">
        <f t="shared" ref="I73:N73" si="23">SUM(I68:I72)</f>
        <v>0</v>
      </c>
      <c r="J73" s="64">
        <f t="shared" si="23"/>
        <v>0</v>
      </c>
      <c r="K73" s="64">
        <f t="shared" si="23"/>
        <v>0</v>
      </c>
      <c r="L73" s="64">
        <f t="shared" si="23"/>
        <v>0</v>
      </c>
      <c r="M73" s="64">
        <f t="shared" si="23"/>
        <v>0</v>
      </c>
      <c r="N73" s="64">
        <f t="shared" si="23"/>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67">
        <f>SUM(J74:N74)</f>
        <v>0</v>
      </c>
      <c r="J74" s="61"/>
      <c r="K74" s="61"/>
      <c r="L74" s="61"/>
      <c r="M74" s="61"/>
      <c r="N74" s="61"/>
    </row>
    <row r="75" spans="6:14" ht="12" x14ac:dyDescent="0.2">
      <c r="F75" s="447"/>
      <c r="G75" s="42" t="str">
        <f>STRAT10_IND2</f>
        <v>Objetivo estratégico 10 Indicador 2</v>
      </c>
      <c r="H75" s="260" t="str">
        <f ca="1">OFFSET(Variables_Lu!$D$10,Basic_Setup!H89,0)</f>
        <v>Nutrition-specific</v>
      </c>
      <c r="I75" s="67">
        <f>SUM(J75:N75)</f>
        <v>0</v>
      </c>
      <c r="J75" s="61"/>
      <c r="K75" s="61"/>
      <c r="L75" s="61"/>
      <c r="M75" s="61"/>
      <c r="N75" s="61"/>
    </row>
    <row r="76" spans="6:14" ht="12" x14ac:dyDescent="0.2">
      <c r="F76" s="447"/>
      <c r="G76" s="42" t="str">
        <f>STRAT10_IND3</f>
        <v>Objetivo estratégico 10 Indicador 3</v>
      </c>
      <c r="H76" s="260" t="str">
        <f ca="1">OFFSET(Variables_Lu!$D$10,Basic_Setup!H90,0)</f>
        <v>Nutrition-specific</v>
      </c>
      <c r="I76" s="67">
        <f>SUM(J76:N76)</f>
        <v>0</v>
      </c>
      <c r="J76" s="61"/>
      <c r="K76" s="61"/>
      <c r="L76" s="61"/>
      <c r="M76" s="61"/>
      <c r="N76" s="61"/>
    </row>
    <row r="77" spans="6:14" ht="11.25" customHeight="1" x14ac:dyDescent="0.2">
      <c r="F77" s="447"/>
      <c r="G77" s="41" t="str">
        <f>STRAT10_IND4</f>
        <v>Objetivo estratégico 10 Indicador 4</v>
      </c>
      <c r="H77" s="260" t="str">
        <f ca="1">OFFSET(Variables_Lu!$D$10,Basic_Setup!H91,0)</f>
        <v>Nutrition-specific</v>
      </c>
      <c r="I77" s="67">
        <f>SUM(J77:N77)</f>
        <v>0</v>
      </c>
      <c r="J77" s="61"/>
      <c r="K77" s="61"/>
      <c r="L77" s="61"/>
      <c r="M77" s="61"/>
      <c r="N77" s="61"/>
    </row>
    <row r="78" spans="6:14" ht="11.25" customHeight="1" x14ac:dyDescent="0.2">
      <c r="F78" s="448"/>
      <c r="G78" s="41" t="str">
        <f>STRAT10_IND5</f>
        <v>Objetivo estratégico 10 Indicador 5</v>
      </c>
      <c r="H78" s="260" t="str">
        <f ca="1">OFFSET(Variables_Lu!$D$10,Basic_Setup!H92,0)</f>
        <v>Nutrition-specific</v>
      </c>
      <c r="I78" s="67">
        <f>SUM(J78:N78)</f>
        <v>0</v>
      </c>
      <c r="J78" s="61"/>
      <c r="K78" s="61"/>
      <c r="L78" s="61"/>
      <c r="M78" s="61"/>
      <c r="N78" s="61"/>
    </row>
    <row r="79" spans="6:14" ht="11.25" customHeight="1" x14ac:dyDescent="0.2">
      <c r="H79" s="152" t="s">
        <v>547</v>
      </c>
      <c r="I79" s="250">
        <f t="shared" ref="I79:N79" si="24">SUM(I74:I78)</f>
        <v>0</v>
      </c>
      <c r="J79" s="64">
        <f t="shared" si="24"/>
        <v>0</v>
      </c>
      <c r="K79" s="64">
        <f>SUM(K74:K78)</f>
        <v>0</v>
      </c>
      <c r="L79" s="64">
        <f t="shared" si="24"/>
        <v>0</v>
      </c>
      <c r="M79" s="64">
        <f t="shared" si="24"/>
        <v>0</v>
      </c>
      <c r="N79" s="64">
        <f t="shared" si="24"/>
        <v>0</v>
      </c>
    </row>
    <row r="80" spans="6:14" ht="11.25" customHeight="1" x14ac:dyDescent="0.2"/>
    <row r="81" spans="6:14" ht="12.6" thickBot="1" x14ac:dyDescent="0.25">
      <c r="H81" s="149" t="str">
        <f>"TOTAL - "&amp;$F$12</f>
        <v>TOTAL - UNICEF</v>
      </c>
      <c r="I81" s="65">
        <f>SUM(I25,I31,I37,I43,I49,I55,I61,I67,I73,I79)</f>
        <v>38040000</v>
      </c>
      <c r="J81" s="65">
        <f>SUM(J25,J31,J37,J43,J49,J55,J61,J67,J73,J79)</f>
        <v>7608000</v>
      </c>
      <c r="K81" s="65">
        <f t="shared" ref="K81:M81" si="25">SUM(K25,K31,K37,K43,K49,K55,K61,K67,K73,K79)</f>
        <v>7608000</v>
      </c>
      <c r="L81" s="65">
        <f t="shared" si="25"/>
        <v>7608000</v>
      </c>
      <c r="M81" s="65">
        <f t="shared" si="25"/>
        <v>7608000</v>
      </c>
      <c r="N81" s="65">
        <f>SUM(N25,N31,N37,N43,N49,N55,N61,N67,N73,N79)</f>
        <v>7608000</v>
      </c>
    </row>
    <row r="82" spans="6:14" ht="12" x14ac:dyDescent="0.2">
      <c r="I82" s="149"/>
    </row>
    <row r="83" spans="6:14" ht="12" x14ac:dyDescent="0.2">
      <c r="F83" s="44" t="s">
        <v>4</v>
      </c>
    </row>
    <row r="84" spans="6:14" x14ac:dyDescent="0.2">
      <c r="F84" s="49" t="s">
        <v>145</v>
      </c>
    </row>
    <row r="85" spans="6:14" x14ac:dyDescent="0.2">
      <c r="F85" s="49" t="s">
        <v>393</v>
      </c>
    </row>
    <row r="86" spans="6:14" x14ac:dyDescent="0.2">
      <c r="F86" s="49"/>
    </row>
    <row r="87" spans="6:14" x14ac:dyDescent="0.2">
      <c r="F87" s="49"/>
    </row>
    <row r="90" spans="6:14" ht="12.6" thickBot="1" x14ac:dyDescent="0.25">
      <c r="F90" s="1" t="s">
        <v>389</v>
      </c>
      <c r="G90" s="1" t="s">
        <v>399</v>
      </c>
      <c r="H90" s="406" t="s">
        <v>136</v>
      </c>
      <c r="I90" s="409" t="s">
        <v>106</v>
      </c>
      <c r="J90" s="54" t="str">
        <f>CURR_LCU_ABBR</f>
        <v>GOZ</v>
      </c>
      <c r="K90" s="54" t="str">
        <f>CURR_LCU_ABBR</f>
        <v>GOZ</v>
      </c>
      <c r="L90" s="54" t="str">
        <f>CURR_LCU_ABBR</f>
        <v>GOZ</v>
      </c>
      <c r="M90" s="54" t="str">
        <f>CURR_LCU_ABBR</f>
        <v>GOZ</v>
      </c>
      <c r="N90" s="54" t="str">
        <f>CURR_LCU_ABBR</f>
        <v>GOZ</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248">
        <f t="shared" ref="I91:N101" si="26">I20*EXCHANGE_RATE</f>
        <v>43200000</v>
      </c>
      <c r="J91" s="220">
        <f>J20*EXCHANGE_RATE</f>
        <v>8640000</v>
      </c>
      <c r="K91" s="220">
        <f t="shared" si="26"/>
        <v>8640000</v>
      </c>
      <c r="L91" s="220">
        <f t="shared" si="26"/>
        <v>8640000</v>
      </c>
      <c r="M91" s="220">
        <f t="shared" si="26"/>
        <v>8640000</v>
      </c>
      <c r="N91" s="220">
        <f t="shared" si="26"/>
        <v>8640000</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248">
        <f t="shared" si="26"/>
        <v>7200000</v>
      </c>
      <c r="J92" s="220">
        <f t="shared" si="26"/>
        <v>1440000</v>
      </c>
      <c r="K92" s="220">
        <f t="shared" si="26"/>
        <v>1440000</v>
      </c>
      <c r="L92" s="220">
        <f t="shared" si="26"/>
        <v>1440000</v>
      </c>
      <c r="M92" s="220">
        <f t="shared" si="26"/>
        <v>1440000</v>
      </c>
      <c r="N92" s="220">
        <f t="shared" si="26"/>
        <v>1440000</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248">
        <f t="shared" si="26"/>
        <v>14400000</v>
      </c>
      <c r="J93" s="220">
        <f t="shared" si="26"/>
        <v>2880000</v>
      </c>
      <c r="K93" s="220">
        <f t="shared" si="26"/>
        <v>2880000</v>
      </c>
      <c r="L93" s="220">
        <f t="shared" si="26"/>
        <v>2880000</v>
      </c>
      <c r="M93" s="220">
        <f t="shared" si="26"/>
        <v>2880000</v>
      </c>
      <c r="N93" s="220">
        <f t="shared" si="26"/>
        <v>2880000</v>
      </c>
    </row>
    <row r="94" spans="6:14" ht="22.8" x14ac:dyDescent="0.2">
      <c r="F94" s="444"/>
      <c r="G94" s="41" t="str">
        <f>STRAT1_IND4</f>
        <v>El marco legislativo y reglamentario de la nutrición se ha fortalecido y está en funcionamiento.</v>
      </c>
      <c r="H94" s="268" t="str">
        <f ca="1">OFFSET(Variables_Lu!$D$10,Basic_Setup!H37,0)</f>
        <v>Governance</v>
      </c>
      <c r="I94" s="248">
        <f t="shared" si="26"/>
        <v>7200000</v>
      </c>
      <c r="J94" s="220">
        <f t="shared" si="26"/>
        <v>1440000</v>
      </c>
      <c r="K94" s="220">
        <f t="shared" si="26"/>
        <v>1440000</v>
      </c>
      <c r="L94" s="220">
        <f t="shared" si="26"/>
        <v>1440000</v>
      </c>
      <c r="M94" s="220">
        <f t="shared" si="26"/>
        <v>1440000</v>
      </c>
      <c r="N94" s="220">
        <f t="shared" si="26"/>
        <v>1440000</v>
      </c>
    </row>
    <row r="95" spans="6:14" ht="12.6" thickBot="1" x14ac:dyDescent="0.25">
      <c r="F95" s="445"/>
      <c r="G95" s="275" t="str">
        <f>STRAT1_IND5</f>
        <v>Objetivo estratégico 1 Indicador 5</v>
      </c>
      <c r="H95" s="270" t="str">
        <f ca="1">OFFSET(Variables_Lu!$D$10,Basic_Setup!H38,0)</f>
        <v>Governance</v>
      </c>
      <c r="I95" s="248">
        <f t="shared" si="26"/>
        <v>0</v>
      </c>
      <c r="J95" s="232">
        <f t="shared" si="26"/>
        <v>0</v>
      </c>
      <c r="K95" s="232">
        <f t="shared" si="26"/>
        <v>0</v>
      </c>
      <c r="L95" s="232">
        <f t="shared" si="26"/>
        <v>0</v>
      </c>
      <c r="M95" s="232">
        <f t="shared" si="26"/>
        <v>0</v>
      </c>
      <c r="N95" s="232">
        <f t="shared" si="26"/>
        <v>0</v>
      </c>
    </row>
    <row r="96" spans="6:14" ht="12.6" thickBot="1" x14ac:dyDescent="0.25">
      <c r="F96" s="38"/>
      <c r="G96" s="38"/>
      <c r="H96" s="152" t="s">
        <v>538</v>
      </c>
      <c r="I96" s="249">
        <f>I25*EXCHANGE_RATE</f>
        <v>72000000</v>
      </c>
      <c r="J96" s="221">
        <f t="shared" si="26"/>
        <v>14400000</v>
      </c>
      <c r="K96" s="221">
        <f t="shared" si="26"/>
        <v>14400000</v>
      </c>
      <c r="L96" s="221">
        <f t="shared" si="26"/>
        <v>14400000</v>
      </c>
      <c r="M96" s="221">
        <f t="shared" si="26"/>
        <v>14400000</v>
      </c>
      <c r="N96" s="221">
        <f>N25*EXCHANGE_RATE</f>
        <v>14400000</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248">
        <f t="shared" si="26"/>
        <v>27000000000</v>
      </c>
      <c r="J97" s="220">
        <f t="shared" si="26"/>
        <v>5400000000</v>
      </c>
      <c r="K97" s="220">
        <f t="shared" si="26"/>
        <v>5400000000</v>
      </c>
      <c r="L97" s="220">
        <f t="shared" si="26"/>
        <v>5400000000</v>
      </c>
      <c r="M97" s="220">
        <f t="shared" si="26"/>
        <v>5400000000</v>
      </c>
      <c r="N97" s="220">
        <f t="shared" si="26"/>
        <v>5400000000</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248">
        <f t="shared" si="26"/>
        <v>4500000000</v>
      </c>
      <c r="J98" s="220">
        <f t="shared" si="26"/>
        <v>900000000</v>
      </c>
      <c r="K98" s="220">
        <f t="shared" si="26"/>
        <v>900000000</v>
      </c>
      <c r="L98" s="220">
        <f t="shared" si="26"/>
        <v>900000000</v>
      </c>
      <c r="M98" s="220">
        <f t="shared" si="26"/>
        <v>900000000</v>
      </c>
      <c r="N98" s="220">
        <f t="shared" si="26"/>
        <v>900000000</v>
      </c>
    </row>
    <row r="99" spans="6:14" ht="22.8" x14ac:dyDescent="0.2">
      <c r="F99" s="444"/>
      <c r="G99" s="42" t="str">
        <f>STRAT2_IND3</f>
        <v>Se refuerzan las intervenciones comunitarias en materia de nutrición.</v>
      </c>
      <c r="H99" s="268" t="str">
        <f ca="1">OFFSET(Variables_Lu!$D$10,Basic_Setup!H42,0)</f>
        <v>Nutrition-specific</v>
      </c>
      <c r="I99" s="248">
        <f t="shared" si="26"/>
        <v>11700000000</v>
      </c>
      <c r="J99" s="220">
        <f t="shared" si="26"/>
        <v>2340000000</v>
      </c>
      <c r="K99" s="220">
        <f t="shared" si="26"/>
        <v>2340000000</v>
      </c>
      <c r="L99" s="220">
        <f t="shared" si="26"/>
        <v>2340000000</v>
      </c>
      <c r="M99" s="220">
        <f t="shared" si="26"/>
        <v>2340000000</v>
      </c>
      <c r="N99" s="220">
        <f t="shared" si="26"/>
        <v>2340000000</v>
      </c>
    </row>
    <row r="100" spans="6:14" ht="12" x14ac:dyDescent="0.2">
      <c r="F100" s="444"/>
      <c r="G100" s="41" t="str">
        <f>STRAT2_IND4</f>
        <v>Objetivo estratégico 2 Indicador 4</v>
      </c>
      <c r="H100" s="268" t="str">
        <f ca="1">OFFSET(Variables_Lu!$D$10,Basic_Setup!H43,0)</f>
        <v>Nutrition-specific</v>
      </c>
      <c r="I100" s="248">
        <f t="shared" si="26"/>
        <v>0</v>
      </c>
      <c r="J100" s="220">
        <f t="shared" si="26"/>
        <v>0</v>
      </c>
      <c r="K100" s="220">
        <f t="shared" si="26"/>
        <v>0</v>
      </c>
      <c r="L100" s="220">
        <f t="shared" si="26"/>
        <v>0</v>
      </c>
      <c r="M100" s="220">
        <f t="shared" si="26"/>
        <v>0</v>
      </c>
      <c r="N100" s="220">
        <f t="shared" si="26"/>
        <v>0</v>
      </c>
    </row>
    <row r="101" spans="6:14" ht="12.6" thickBot="1" x14ac:dyDescent="0.25">
      <c r="F101" s="445"/>
      <c r="G101" s="275" t="str">
        <f>STRAT2_IND5</f>
        <v>Objetivo estratégico 2 Indicador 5</v>
      </c>
      <c r="H101" s="270" t="str">
        <f ca="1">OFFSET(Variables_Lu!$D$10,Basic_Setup!H44,0)</f>
        <v>Nutrition-specific</v>
      </c>
      <c r="I101" s="248">
        <f t="shared" si="26"/>
        <v>0</v>
      </c>
      <c r="J101" s="232">
        <f t="shared" si="26"/>
        <v>0</v>
      </c>
      <c r="K101" s="232">
        <f t="shared" si="26"/>
        <v>0</v>
      </c>
      <c r="L101" s="232">
        <f t="shared" si="26"/>
        <v>0</v>
      </c>
      <c r="M101" s="232">
        <f t="shared" si="26"/>
        <v>0</v>
      </c>
      <c r="N101" s="232">
        <f t="shared" si="26"/>
        <v>0</v>
      </c>
    </row>
    <row r="102" spans="6:14" ht="12.6" thickBot="1" x14ac:dyDescent="0.25">
      <c r="F102" s="38"/>
      <c r="G102" s="38"/>
      <c r="H102" s="152" t="s">
        <v>539</v>
      </c>
      <c r="I102" s="249">
        <f t="shared" ref="I102:I133" si="27">I31*EXCHANGE_RATE</f>
        <v>43200000000</v>
      </c>
      <c r="J102" s="247">
        <f>SUM(J97:J101)</f>
        <v>8640000000</v>
      </c>
      <c r="K102" s="247">
        <f>SUM(K97:K101)</f>
        <v>8640000000</v>
      </c>
      <c r="L102" s="247">
        <f>SUM(L97:L101)</f>
        <v>8640000000</v>
      </c>
      <c r="M102" s="247">
        <f>SUM(M97:M101)</f>
        <v>8640000000</v>
      </c>
      <c r="N102" s="247">
        <f>SUM(N97:N101)</f>
        <v>8640000000</v>
      </c>
    </row>
    <row r="103" spans="6:14" ht="22.8"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248">
        <f t="shared" si="27"/>
        <v>0</v>
      </c>
      <c r="J103" s="220">
        <f t="shared" ref="J103:N107" si="28">J32*EXCHANGE_RATE</f>
        <v>0</v>
      </c>
      <c r="K103" s="220">
        <f t="shared" si="28"/>
        <v>0</v>
      </c>
      <c r="L103" s="220">
        <f t="shared" si="28"/>
        <v>0</v>
      </c>
      <c r="M103" s="220">
        <f t="shared" si="28"/>
        <v>0</v>
      </c>
      <c r="N103" s="220">
        <f t="shared" si="28"/>
        <v>0</v>
      </c>
    </row>
    <row r="104" spans="6:14" ht="22.8" x14ac:dyDescent="0.2">
      <c r="F104" s="444"/>
      <c r="G104" s="42" t="str">
        <f>STRAT3_IND2</f>
        <v xml:space="preserve"> La seguridad alimentaria está garantizada para toda la nación.</v>
      </c>
      <c r="H104" s="268" t="str">
        <f ca="1">OFFSET(Variables_Lu!$D$10,Basic_Setup!H47,0)</f>
        <v>Nutrition-sensitive</v>
      </c>
      <c r="I104" s="248">
        <f t="shared" si="27"/>
        <v>0</v>
      </c>
      <c r="J104" s="220">
        <f t="shared" si="28"/>
        <v>0</v>
      </c>
      <c r="K104" s="220">
        <f t="shared" si="28"/>
        <v>0</v>
      </c>
      <c r="L104" s="220">
        <f t="shared" si="28"/>
        <v>0</v>
      </c>
      <c r="M104" s="220">
        <f t="shared" si="28"/>
        <v>0</v>
      </c>
      <c r="N104" s="220">
        <f t="shared" si="28"/>
        <v>0</v>
      </c>
    </row>
    <row r="105" spans="6:14" ht="12" x14ac:dyDescent="0.2">
      <c r="F105" s="444"/>
      <c r="G105" s="42" t="str">
        <f>STRAT3_IND3</f>
        <v>Objetivo estratégico 3 Indicador 3</v>
      </c>
      <c r="H105" s="268" t="str">
        <f ca="1">OFFSET(Variables_Lu!$D$10,Basic_Setup!H48,0)</f>
        <v>Nutrition-specific</v>
      </c>
      <c r="I105" s="248">
        <f t="shared" si="27"/>
        <v>0</v>
      </c>
      <c r="J105" s="220">
        <f t="shared" si="28"/>
        <v>0</v>
      </c>
      <c r="K105" s="220">
        <f t="shared" si="28"/>
        <v>0</v>
      </c>
      <c r="L105" s="220">
        <f t="shared" si="28"/>
        <v>0</v>
      </c>
      <c r="M105" s="220">
        <f t="shared" si="28"/>
        <v>0</v>
      </c>
      <c r="N105" s="220">
        <f t="shared" si="28"/>
        <v>0</v>
      </c>
    </row>
    <row r="106" spans="6:14" ht="12" x14ac:dyDescent="0.2">
      <c r="F106" s="444"/>
      <c r="G106" s="41" t="str">
        <f>STRAT3_IND4</f>
        <v>Objetivo estratégico 3 Indicador 4</v>
      </c>
      <c r="H106" s="268" t="str">
        <f ca="1">OFFSET(Variables_Lu!$D$10,Basic_Setup!H49,0)</f>
        <v>Nutrition-specific</v>
      </c>
      <c r="I106" s="248">
        <f t="shared" si="27"/>
        <v>0</v>
      </c>
      <c r="J106" s="220">
        <f t="shared" si="28"/>
        <v>0</v>
      </c>
      <c r="K106" s="220">
        <f t="shared" si="28"/>
        <v>0</v>
      </c>
      <c r="L106" s="220">
        <f t="shared" si="28"/>
        <v>0</v>
      </c>
      <c r="M106" s="220">
        <f t="shared" si="28"/>
        <v>0</v>
      </c>
      <c r="N106" s="220">
        <f t="shared" si="28"/>
        <v>0</v>
      </c>
    </row>
    <row r="107" spans="6:14" ht="12.6" thickBot="1" x14ac:dyDescent="0.25">
      <c r="F107" s="445"/>
      <c r="G107" s="275" t="str">
        <f>STRAT3_IND5</f>
        <v>Objetivo estratégico 3 Indicador 5</v>
      </c>
      <c r="H107" s="270" t="str">
        <f ca="1">OFFSET(Variables_Lu!$D$10,Basic_Setup!H50,0)</f>
        <v>Nutrition-specific</v>
      </c>
      <c r="I107" s="248">
        <f t="shared" si="27"/>
        <v>0</v>
      </c>
      <c r="J107" s="232">
        <f t="shared" si="28"/>
        <v>0</v>
      </c>
      <c r="K107" s="232">
        <f t="shared" si="28"/>
        <v>0</v>
      </c>
      <c r="L107" s="232">
        <f t="shared" si="28"/>
        <v>0</v>
      </c>
      <c r="M107" s="232">
        <f t="shared" si="28"/>
        <v>0</v>
      </c>
      <c r="N107" s="232">
        <f t="shared" si="28"/>
        <v>0</v>
      </c>
    </row>
    <row r="108" spans="6:14" ht="12.6" thickBot="1" x14ac:dyDescent="0.25">
      <c r="H108" s="152" t="s">
        <v>540</v>
      </c>
      <c r="I108" s="249">
        <f t="shared" si="27"/>
        <v>0</v>
      </c>
      <c r="J108" s="247">
        <f>SUM(J103:J107)</f>
        <v>0</v>
      </c>
      <c r="K108" s="247">
        <f t="shared" ref="K108:N108" si="29">SUM(K103:K107)</f>
        <v>0</v>
      </c>
      <c r="L108" s="247">
        <f t="shared" si="29"/>
        <v>0</v>
      </c>
      <c r="M108" s="247">
        <f t="shared" si="29"/>
        <v>0</v>
      </c>
      <c r="N108" s="247">
        <f t="shared" si="29"/>
        <v>0</v>
      </c>
    </row>
    <row r="109" spans="6:14" ht="34.200000000000003"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248">
        <f t="shared" si="27"/>
        <v>360000000</v>
      </c>
      <c r="J109" s="220">
        <f t="shared" ref="J109:N113" si="30">J38*EXCHANGE_RATE</f>
        <v>72000000</v>
      </c>
      <c r="K109" s="220">
        <f t="shared" si="30"/>
        <v>72000000</v>
      </c>
      <c r="L109" s="220">
        <f t="shared" si="30"/>
        <v>72000000</v>
      </c>
      <c r="M109" s="220">
        <f t="shared" si="30"/>
        <v>72000000</v>
      </c>
      <c r="N109" s="220">
        <f t="shared" si="30"/>
        <v>72000000</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248">
        <f t="shared" si="27"/>
        <v>360000000</v>
      </c>
      <c r="J110" s="220">
        <f t="shared" si="30"/>
        <v>72000000</v>
      </c>
      <c r="K110" s="220">
        <f t="shared" si="30"/>
        <v>72000000</v>
      </c>
      <c r="L110" s="220">
        <f t="shared" si="30"/>
        <v>72000000</v>
      </c>
      <c r="M110" s="220">
        <f t="shared" si="30"/>
        <v>72000000</v>
      </c>
      <c r="N110" s="220">
        <f t="shared" si="30"/>
        <v>72000000</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248">
        <f t="shared" si="27"/>
        <v>2880000000</v>
      </c>
      <c r="J111" s="220">
        <f t="shared" si="30"/>
        <v>576000000</v>
      </c>
      <c r="K111" s="220">
        <f t="shared" si="30"/>
        <v>576000000</v>
      </c>
      <c r="L111" s="220">
        <f t="shared" si="30"/>
        <v>576000000</v>
      </c>
      <c r="M111" s="220">
        <f t="shared" si="30"/>
        <v>576000000</v>
      </c>
      <c r="N111" s="220">
        <f t="shared" si="30"/>
        <v>576000000</v>
      </c>
    </row>
    <row r="112" spans="6:14" ht="12" x14ac:dyDescent="0.2">
      <c r="F112" s="444"/>
      <c r="G112" s="41" t="str">
        <f>STRAT4_IND4</f>
        <v>Objetivo estratégico 4 Indicador 4</v>
      </c>
      <c r="H112" s="268" t="str">
        <f ca="1">OFFSET(Variables_Lu!$D$10,Basic_Setup!H55,0)</f>
        <v>Nutrition-specific</v>
      </c>
      <c r="I112" s="248">
        <f t="shared" si="27"/>
        <v>0</v>
      </c>
      <c r="J112" s="220">
        <f t="shared" si="30"/>
        <v>0</v>
      </c>
      <c r="K112" s="220">
        <f t="shared" si="30"/>
        <v>0</v>
      </c>
      <c r="L112" s="220">
        <f t="shared" si="30"/>
        <v>0</v>
      </c>
      <c r="M112" s="220">
        <f t="shared" si="30"/>
        <v>0</v>
      </c>
      <c r="N112" s="220">
        <f t="shared" si="30"/>
        <v>0</v>
      </c>
    </row>
    <row r="113" spans="6:14" ht="12.6" thickBot="1" x14ac:dyDescent="0.25">
      <c r="F113" s="445"/>
      <c r="G113" s="275" t="str">
        <f>STRAT4_IND5</f>
        <v>Objetivo estratégico 4 Indicador 5</v>
      </c>
      <c r="H113" s="270" t="str">
        <f ca="1">OFFSET(Variables_Lu!$D$10,Basic_Setup!H56,0)</f>
        <v>Nutrition-specific</v>
      </c>
      <c r="I113" s="248">
        <f t="shared" si="27"/>
        <v>0</v>
      </c>
      <c r="J113" s="232">
        <f t="shared" si="30"/>
        <v>0</v>
      </c>
      <c r="K113" s="232">
        <f t="shared" si="30"/>
        <v>0</v>
      </c>
      <c r="L113" s="232">
        <f t="shared" si="30"/>
        <v>0</v>
      </c>
      <c r="M113" s="232">
        <f t="shared" si="30"/>
        <v>0</v>
      </c>
      <c r="N113" s="232">
        <f t="shared" si="30"/>
        <v>0</v>
      </c>
    </row>
    <row r="114" spans="6:14" ht="12.6" thickBot="1" x14ac:dyDescent="0.25">
      <c r="H114" s="152" t="s">
        <v>541</v>
      </c>
      <c r="I114" s="249">
        <f t="shared" si="27"/>
        <v>3600000000</v>
      </c>
      <c r="J114" s="247">
        <f>SUM(J109:J113)</f>
        <v>720000000</v>
      </c>
      <c r="K114" s="247">
        <f t="shared" ref="K114:N114" si="31">SUM(K109:K113)</f>
        <v>720000000</v>
      </c>
      <c r="L114" s="247">
        <f t="shared" si="31"/>
        <v>720000000</v>
      </c>
      <c r="M114" s="247">
        <f t="shared" si="31"/>
        <v>720000000</v>
      </c>
      <c r="N114" s="247">
        <f t="shared" si="31"/>
        <v>720000000</v>
      </c>
    </row>
    <row r="115" spans="6:14" ht="34.200000000000003"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248">
        <f t="shared" si="27"/>
        <v>10800000000</v>
      </c>
      <c r="J115" s="220">
        <f t="shared" ref="J115:N119" si="32">J44*EXCHANGE_RATE</f>
        <v>2160000000</v>
      </c>
      <c r="K115" s="220">
        <f t="shared" si="32"/>
        <v>2160000000</v>
      </c>
      <c r="L115" s="220">
        <f t="shared" si="32"/>
        <v>2160000000</v>
      </c>
      <c r="M115" s="220">
        <f t="shared" si="32"/>
        <v>2160000000</v>
      </c>
      <c r="N115" s="220">
        <f t="shared" si="32"/>
        <v>2160000000</v>
      </c>
    </row>
    <row r="116" spans="6:14" ht="22.8" x14ac:dyDescent="0.2">
      <c r="F116" s="444"/>
      <c r="G116" s="42" t="str">
        <f>STRAT5_IND2</f>
        <v>Se promueven dietas saludables y estilos de vida saludables para las personas.</v>
      </c>
      <c r="H116" s="268" t="str">
        <f ca="1">OFFSET(Variables_Lu!$D$10,Basic_Setup!H59,0)</f>
        <v>Nutrition-specific</v>
      </c>
      <c r="I116" s="248">
        <f t="shared" si="27"/>
        <v>4320000000</v>
      </c>
      <c r="J116" s="220">
        <f t="shared" si="32"/>
        <v>864000000</v>
      </c>
      <c r="K116" s="220">
        <f t="shared" si="32"/>
        <v>864000000</v>
      </c>
      <c r="L116" s="220">
        <f t="shared" si="32"/>
        <v>864000000</v>
      </c>
      <c r="M116" s="220">
        <f t="shared" si="32"/>
        <v>864000000</v>
      </c>
      <c r="N116" s="220">
        <f t="shared" si="32"/>
        <v>864000000</v>
      </c>
    </row>
    <row r="117" spans="6:14" ht="22.8" x14ac:dyDescent="0.2">
      <c r="F117" s="444"/>
      <c r="G117" s="42" t="str">
        <f>STRAT5_IND3</f>
        <v>Se promueven las buenas prácticas WASH a nivel comunitario y doméstico</v>
      </c>
      <c r="H117" s="268" t="str">
        <f ca="1">OFFSET(Variables_Lu!$D$10,Basic_Setup!H60,0)</f>
        <v>Nutrition-sensitive</v>
      </c>
      <c r="I117" s="248">
        <f t="shared" si="27"/>
        <v>6480000000</v>
      </c>
      <c r="J117" s="220">
        <f t="shared" si="32"/>
        <v>1296000000</v>
      </c>
      <c r="K117" s="220">
        <f t="shared" si="32"/>
        <v>1296000000</v>
      </c>
      <c r="L117" s="220">
        <f t="shared" si="32"/>
        <v>1296000000</v>
      </c>
      <c r="M117" s="220">
        <f t="shared" si="32"/>
        <v>1296000000</v>
      </c>
      <c r="N117" s="220">
        <f t="shared" si="32"/>
        <v>1296000000</v>
      </c>
    </row>
    <row r="118" spans="6:14" ht="12" x14ac:dyDescent="0.2">
      <c r="F118" s="444"/>
      <c r="G118" s="41" t="str">
        <f>STRAT5_IND4</f>
        <v>Objetivo estratégico 5 Indicador 4</v>
      </c>
      <c r="H118" s="268" t="str">
        <f ca="1">OFFSET(Variables_Lu!$D$10,Basic_Setup!H61,0)</f>
        <v>Nutrition-specific</v>
      </c>
      <c r="I118" s="248">
        <f t="shared" si="27"/>
        <v>0</v>
      </c>
      <c r="J118" s="220">
        <f t="shared" si="32"/>
        <v>0</v>
      </c>
      <c r="K118" s="220">
        <f t="shared" si="32"/>
        <v>0</v>
      </c>
      <c r="L118" s="220">
        <f t="shared" si="32"/>
        <v>0</v>
      </c>
      <c r="M118" s="220">
        <f t="shared" si="32"/>
        <v>0</v>
      </c>
      <c r="N118" s="220">
        <f t="shared" si="32"/>
        <v>0</v>
      </c>
    </row>
    <row r="119" spans="6:14" ht="12.6" thickBot="1" x14ac:dyDescent="0.25">
      <c r="F119" s="445"/>
      <c r="G119" s="275" t="str">
        <f>STRAT5_IND5</f>
        <v>Objetivo estratégico 5 Indicador 5</v>
      </c>
      <c r="H119" s="270" t="str">
        <f ca="1">OFFSET(Variables_Lu!$D$10,Basic_Setup!H62,0)</f>
        <v>Nutrition-specific</v>
      </c>
      <c r="I119" s="248">
        <f t="shared" si="27"/>
        <v>0</v>
      </c>
      <c r="J119" s="232">
        <f t="shared" si="32"/>
        <v>0</v>
      </c>
      <c r="K119" s="232">
        <f t="shared" si="32"/>
        <v>0</v>
      </c>
      <c r="L119" s="232">
        <f t="shared" si="32"/>
        <v>0</v>
      </c>
      <c r="M119" s="232">
        <f t="shared" si="32"/>
        <v>0</v>
      </c>
      <c r="N119" s="232">
        <f t="shared" si="32"/>
        <v>0</v>
      </c>
    </row>
    <row r="120" spans="6:14" ht="12.6" thickBot="1" x14ac:dyDescent="0.25">
      <c r="H120" s="152" t="s">
        <v>542</v>
      </c>
      <c r="I120" s="249">
        <f t="shared" si="27"/>
        <v>21600000000</v>
      </c>
      <c r="J120" s="247">
        <f>SUM(J115:J119)</f>
        <v>4320000000</v>
      </c>
      <c r="K120" s="247">
        <f t="shared" ref="K120:N120" si="33">SUM(K115:K119)</f>
        <v>4320000000</v>
      </c>
      <c r="L120" s="247">
        <f t="shared" si="33"/>
        <v>4320000000</v>
      </c>
      <c r="M120" s="247">
        <f t="shared" si="33"/>
        <v>4320000000</v>
      </c>
      <c r="N120" s="247">
        <f t="shared" si="33"/>
        <v>4320000000</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248">
        <f t="shared" si="27"/>
        <v>0</v>
      </c>
      <c r="J121" s="220">
        <f t="shared" ref="J121:N125" si="34">J50*EXCHANGE_RATE</f>
        <v>0</v>
      </c>
      <c r="K121" s="220">
        <f t="shared" si="34"/>
        <v>0</v>
      </c>
      <c r="L121" s="220">
        <f t="shared" si="34"/>
        <v>0</v>
      </c>
      <c r="M121" s="220">
        <f t="shared" si="34"/>
        <v>0</v>
      </c>
      <c r="N121" s="220">
        <f t="shared" si="34"/>
        <v>0</v>
      </c>
    </row>
    <row r="122" spans="6:14" ht="12" x14ac:dyDescent="0.2">
      <c r="F122" s="444"/>
      <c r="G122" s="42" t="str">
        <f>STRAT6_IND2</f>
        <v>Objetivo estratégico 6 Indicador 2</v>
      </c>
      <c r="H122" s="268" t="str">
        <f ca="1">OFFSET(Variables_Lu!$D$10,Basic_Setup!H65,0)</f>
        <v>Nutrition-specific</v>
      </c>
      <c r="I122" s="248">
        <f t="shared" si="27"/>
        <v>0</v>
      </c>
      <c r="J122" s="220">
        <f t="shared" si="34"/>
        <v>0</v>
      </c>
      <c r="K122" s="220">
        <f t="shared" si="34"/>
        <v>0</v>
      </c>
      <c r="L122" s="220">
        <f t="shared" si="34"/>
        <v>0</v>
      </c>
      <c r="M122" s="220">
        <f t="shared" si="34"/>
        <v>0</v>
      </c>
      <c r="N122" s="220">
        <f t="shared" si="34"/>
        <v>0</v>
      </c>
    </row>
    <row r="123" spans="6:14" ht="12" x14ac:dyDescent="0.2">
      <c r="F123" s="444"/>
      <c r="G123" s="42" t="str">
        <f>STRAT6_IND3</f>
        <v>Objetivo estratégico 6 Indicador 3</v>
      </c>
      <c r="H123" s="268" t="str">
        <f ca="1">OFFSET(Variables_Lu!$D$10,Basic_Setup!H66,0)</f>
        <v>Nutrition-specific</v>
      </c>
      <c r="I123" s="248">
        <f t="shared" si="27"/>
        <v>0</v>
      </c>
      <c r="J123" s="220">
        <f t="shared" si="34"/>
        <v>0</v>
      </c>
      <c r="K123" s="220">
        <f t="shared" si="34"/>
        <v>0</v>
      </c>
      <c r="L123" s="220">
        <f t="shared" si="34"/>
        <v>0</v>
      </c>
      <c r="M123" s="220">
        <f t="shared" si="34"/>
        <v>0</v>
      </c>
      <c r="N123" s="220">
        <f t="shared" si="34"/>
        <v>0</v>
      </c>
    </row>
    <row r="124" spans="6:14" ht="12" x14ac:dyDescent="0.2">
      <c r="F124" s="444"/>
      <c r="G124" s="41" t="str">
        <f>STRAT6_IND4</f>
        <v>Objetivo estratégico 6 Indicador 4</v>
      </c>
      <c r="H124" s="268" t="str">
        <f ca="1">OFFSET(Variables_Lu!$D$10,Basic_Setup!H67,0)</f>
        <v>Nutrition-specific</v>
      </c>
      <c r="I124" s="248">
        <f t="shared" si="27"/>
        <v>0</v>
      </c>
      <c r="J124" s="220">
        <f t="shared" si="34"/>
        <v>0</v>
      </c>
      <c r="K124" s="220">
        <f t="shared" si="34"/>
        <v>0</v>
      </c>
      <c r="L124" s="220">
        <f t="shared" si="34"/>
        <v>0</v>
      </c>
      <c r="M124" s="220">
        <f t="shared" si="34"/>
        <v>0</v>
      </c>
      <c r="N124" s="220">
        <f t="shared" si="34"/>
        <v>0</v>
      </c>
    </row>
    <row r="125" spans="6:14" ht="12.6" thickBot="1" x14ac:dyDescent="0.25">
      <c r="F125" s="445"/>
      <c r="G125" s="275" t="str">
        <f>STRAT6_IND5</f>
        <v>Objetivo estratégico 6 Indicador 5</v>
      </c>
      <c r="H125" s="270" t="str">
        <f ca="1">OFFSET(Variables_Lu!$D$10,Basic_Setup!H68,0)</f>
        <v>Nutrition-specific</v>
      </c>
      <c r="I125" s="248">
        <f t="shared" si="27"/>
        <v>0</v>
      </c>
      <c r="J125" s="232">
        <f t="shared" si="34"/>
        <v>0</v>
      </c>
      <c r="K125" s="232">
        <f t="shared" si="34"/>
        <v>0</v>
      </c>
      <c r="L125" s="232">
        <f t="shared" si="34"/>
        <v>0</v>
      </c>
      <c r="M125" s="232">
        <f t="shared" si="34"/>
        <v>0</v>
      </c>
      <c r="N125" s="232">
        <f t="shared" si="34"/>
        <v>0</v>
      </c>
    </row>
    <row r="126" spans="6:14" ht="12.6" thickBot="1" x14ac:dyDescent="0.25">
      <c r="H126" s="152" t="s">
        <v>543</v>
      </c>
      <c r="I126" s="249">
        <f t="shared" si="27"/>
        <v>0</v>
      </c>
      <c r="J126" s="247">
        <f>SUM(J121:J125)</f>
        <v>0</v>
      </c>
      <c r="K126" s="247">
        <f>SUM(K121:K125)</f>
        <v>0</v>
      </c>
      <c r="L126" s="247">
        <f>SUM(L121:L125)</f>
        <v>0</v>
      </c>
      <c r="M126" s="247">
        <f>SUM(M121:M125)</f>
        <v>0</v>
      </c>
      <c r="N126" s="247">
        <f>SUM(N121:N125)</f>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248">
        <f t="shared" si="27"/>
        <v>0</v>
      </c>
      <c r="J127" s="220">
        <f t="shared" ref="J127:N131" si="35">J56*EXCHANGE_RATE</f>
        <v>0</v>
      </c>
      <c r="K127" s="220">
        <f t="shared" si="35"/>
        <v>0</v>
      </c>
      <c r="L127" s="220">
        <f t="shared" si="35"/>
        <v>0</v>
      </c>
      <c r="M127" s="220">
        <f t="shared" si="35"/>
        <v>0</v>
      </c>
      <c r="N127" s="220">
        <f t="shared" si="35"/>
        <v>0</v>
      </c>
    </row>
    <row r="128" spans="6:14" ht="12" x14ac:dyDescent="0.2">
      <c r="F128" s="444"/>
      <c r="G128" s="42" t="str">
        <f>STRAT7_IND2</f>
        <v>Objetivo estratégico 7 Indicador 2</v>
      </c>
      <c r="H128" s="268" t="str">
        <f ca="1">OFFSET(Variables_Lu!$D$10,Basic_Setup!H71,0)</f>
        <v>Nutrition-specific</v>
      </c>
      <c r="I128" s="248">
        <f t="shared" si="27"/>
        <v>0</v>
      </c>
      <c r="J128" s="220">
        <f t="shared" si="35"/>
        <v>0</v>
      </c>
      <c r="K128" s="220">
        <f t="shared" si="35"/>
        <v>0</v>
      </c>
      <c r="L128" s="220">
        <f t="shared" si="35"/>
        <v>0</v>
      </c>
      <c r="M128" s="220">
        <f t="shared" si="35"/>
        <v>0</v>
      </c>
      <c r="N128" s="220">
        <f t="shared" si="35"/>
        <v>0</v>
      </c>
    </row>
    <row r="129" spans="6:14" ht="12" x14ac:dyDescent="0.2">
      <c r="F129" s="444"/>
      <c r="G129" s="42" t="str">
        <f>STRAT7_IND3</f>
        <v>Objetivo estratégico 7 Indicador 3</v>
      </c>
      <c r="H129" s="268" t="str">
        <f ca="1">OFFSET(Variables_Lu!$D$10,Basic_Setup!H72,0)</f>
        <v>Nutrition-specific</v>
      </c>
      <c r="I129" s="248">
        <f t="shared" si="27"/>
        <v>0</v>
      </c>
      <c r="J129" s="220">
        <f t="shared" si="35"/>
        <v>0</v>
      </c>
      <c r="K129" s="220">
        <f t="shared" si="35"/>
        <v>0</v>
      </c>
      <c r="L129" s="220">
        <f t="shared" si="35"/>
        <v>0</v>
      </c>
      <c r="M129" s="220">
        <f t="shared" si="35"/>
        <v>0</v>
      </c>
      <c r="N129" s="220">
        <f t="shared" si="35"/>
        <v>0</v>
      </c>
    </row>
    <row r="130" spans="6:14" ht="12" x14ac:dyDescent="0.2">
      <c r="F130" s="444"/>
      <c r="G130" s="41" t="str">
        <f>STRAT7_IND4</f>
        <v>Objetivo estratégico 7 Indicador 4</v>
      </c>
      <c r="H130" s="268" t="str">
        <f ca="1">OFFSET(Variables_Lu!$D$10,Basic_Setup!H73,0)</f>
        <v>Nutrition-specific</v>
      </c>
      <c r="I130" s="248">
        <f t="shared" si="27"/>
        <v>0</v>
      </c>
      <c r="J130" s="220">
        <f t="shared" si="35"/>
        <v>0</v>
      </c>
      <c r="K130" s="220">
        <f t="shared" si="35"/>
        <v>0</v>
      </c>
      <c r="L130" s="220">
        <f t="shared" si="35"/>
        <v>0</v>
      </c>
      <c r="M130" s="220">
        <f t="shared" si="35"/>
        <v>0</v>
      </c>
      <c r="N130" s="220">
        <f t="shared" si="35"/>
        <v>0</v>
      </c>
    </row>
    <row r="131" spans="6:14" ht="12.6" thickBot="1" x14ac:dyDescent="0.25">
      <c r="F131" s="445"/>
      <c r="G131" s="275" t="str">
        <f>STRAT7_IND5</f>
        <v>Objetivo estratégico 7 Indicador 5</v>
      </c>
      <c r="H131" s="270" t="str">
        <f ca="1">OFFSET(Variables_Lu!$D$10,Basic_Setup!H74,0)</f>
        <v>Nutrition-specific</v>
      </c>
      <c r="I131" s="248">
        <f t="shared" si="27"/>
        <v>0</v>
      </c>
      <c r="J131" s="232">
        <f t="shared" si="35"/>
        <v>0</v>
      </c>
      <c r="K131" s="232">
        <f t="shared" si="35"/>
        <v>0</v>
      </c>
      <c r="L131" s="232">
        <f t="shared" si="35"/>
        <v>0</v>
      </c>
      <c r="M131" s="232">
        <f t="shared" si="35"/>
        <v>0</v>
      </c>
      <c r="N131" s="232">
        <f t="shared" si="35"/>
        <v>0</v>
      </c>
    </row>
    <row r="132" spans="6:14" ht="12.6" thickBot="1" x14ac:dyDescent="0.25">
      <c r="H132" s="152" t="s">
        <v>544</v>
      </c>
      <c r="I132" s="249">
        <f t="shared" si="27"/>
        <v>0</v>
      </c>
      <c r="J132" s="247">
        <f>SUM(J127:J131)</f>
        <v>0</v>
      </c>
      <c r="K132" s="247">
        <f>SUM(K127:K131)</f>
        <v>0</v>
      </c>
      <c r="L132" s="247">
        <f>SUM(L127:L131)</f>
        <v>0</v>
      </c>
      <c r="M132" s="247">
        <f>SUM(M127:M131)</f>
        <v>0</v>
      </c>
      <c r="N132" s="247">
        <f>SUM(N127:N131)</f>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248">
        <f t="shared" si="27"/>
        <v>0</v>
      </c>
      <c r="J133" s="220">
        <f t="shared" ref="J133:N137" si="36">J62*EXCHANGE_RATE</f>
        <v>0</v>
      </c>
      <c r="K133" s="220">
        <f t="shared" si="36"/>
        <v>0</v>
      </c>
      <c r="L133" s="220">
        <f t="shared" si="36"/>
        <v>0</v>
      </c>
      <c r="M133" s="220">
        <f t="shared" si="36"/>
        <v>0</v>
      </c>
      <c r="N133" s="220">
        <f t="shared" si="36"/>
        <v>0</v>
      </c>
    </row>
    <row r="134" spans="6:14" ht="12" x14ac:dyDescent="0.2">
      <c r="F134" s="444"/>
      <c r="G134" s="42" t="str">
        <f>STRAT8_IND2</f>
        <v>Objetivo estratégico 8 Indicador 2</v>
      </c>
      <c r="H134" s="268" t="str">
        <f ca="1">OFFSET(Variables_Lu!$D$10,Basic_Setup!H77,0)</f>
        <v>Nutrition-specific</v>
      </c>
      <c r="I134" s="248">
        <f t="shared" ref="I134:I150" si="37">I63*EXCHANGE_RATE</f>
        <v>0</v>
      </c>
      <c r="J134" s="220">
        <f t="shared" si="36"/>
        <v>0</v>
      </c>
      <c r="K134" s="220">
        <f t="shared" si="36"/>
        <v>0</v>
      </c>
      <c r="L134" s="220">
        <f t="shared" si="36"/>
        <v>0</v>
      </c>
      <c r="M134" s="220">
        <f t="shared" si="36"/>
        <v>0</v>
      </c>
      <c r="N134" s="220">
        <f t="shared" si="36"/>
        <v>0</v>
      </c>
    </row>
    <row r="135" spans="6:14" ht="12" x14ac:dyDescent="0.2">
      <c r="F135" s="444"/>
      <c r="G135" s="42" t="str">
        <f>STRAT8_IND3</f>
        <v>Objetivo estratégico 8 Indicador 3</v>
      </c>
      <c r="H135" s="268" t="str">
        <f ca="1">OFFSET(Variables_Lu!$D$10,Basic_Setup!H78,0)</f>
        <v>Nutrition-specific</v>
      </c>
      <c r="I135" s="248">
        <f t="shared" si="37"/>
        <v>0</v>
      </c>
      <c r="J135" s="220">
        <f t="shared" si="36"/>
        <v>0</v>
      </c>
      <c r="K135" s="220">
        <f t="shared" si="36"/>
        <v>0</v>
      </c>
      <c r="L135" s="220">
        <f t="shared" si="36"/>
        <v>0</v>
      </c>
      <c r="M135" s="220">
        <f t="shared" si="36"/>
        <v>0</v>
      </c>
      <c r="N135" s="220">
        <f t="shared" si="36"/>
        <v>0</v>
      </c>
    </row>
    <row r="136" spans="6:14" ht="12" x14ac:dyDescent="0.2">
      <c r="F136" s="444"/>
      <c r="G136" s="41" t="str">
        <f>STRAT8_IND4</f>
        <v>Objetivo estratégico 8 Indicador 4</v>
      </c>
      <c r="H136" s="268" t="str">
        <f ca="1">OFFSET(Variables_Lu!$D$10,Basic_Setup!H79,0)</f>
        <v>Nutrition-specific</v>
      </c>
      <c r="I136" s="248">
        <f t="shared" si="37"/>
        <v>0</v>
      </c>
      <c r="J136" s="220">
        <f t="shared" si="36"/>
        <v>0</v>
      </c>
      <c r="K136" s="220">
        <f t="shared" si="36"/>
        <v>0</v>
      </c>
      <c r="L136" s="220">
        <f t="shared" si="36"/>
        <v>0</v>
      </c>
      <c r="M136" s="220">
        <f t="shared" si="36"/>
        <v>0</v>
      </c>
      <c r="N136" s="220">
        <f t="shared" si="36"/>
        <v>0</v>
      </c>
    </row>
    <row r="137" spans="6:14" ht="12.6" thickBot="1" x14ac:dyDescent="0.25">
      <c r="F137" s="445"/>
      <c r="G137" s="275" t="str">
        <f>STRAT8_IND5</f>
        <v>Objetivo estratégico 8 Indicador 5</v>
      </c>
      <c r="H137" s="270" t="str">
        <f ca="1">OFFSET(Variables_Lu!$D$10,Basic_Setup!H80,0)</f>
        <v>Nutrition-specific</v>
      </c>
      <c r="I137" s="248">
        <f t="shared" si="37"/>
        <v>0</v>
      </c>
      <c r="J137" s="232">
        <f t="shared" si="36"/>
        <v>0</v>
      </c>
      <c r="K137" s="232">
        <f t="shared" si="36"/>
        <v>0</v>
      </c>
      <c r="L137" s="232">
        <f t="shared" si="36"/>
        <v>0</v>
      </c>
      <c r="M137" s="232">
        <f t="shared" si="36"/>
        <v>0</v>
      </c>
      <c r="N137" s="232">
        <f t="shared" si="36"/>
        <v>0</v>
      </c>
    </row>
    <row r="138" spans="6:14" ht="12.6" thickBot="1" x14ac:dyDescent="0.25">
      <c r="H138" s="152" t="s">
        <v>545</v>
      </c>
      <c r="I138" s="249">
        <f t="shared" si="37"/>
        <v>0</v>
      </c>
      <c r="J138" s="247">
        <f>SUM(J133:J137)</f>
        <v>0</v>
      </c>
      <c r="K138" s="247">
        <f>SUM(K133:K137)</f>
        <v>0</v>
      </c>
      <c r="L138" s="247">
        <f>SUM(L133:L137)</f>
        <v>0</v>
      </c>
      <c r="M138" s="247">
        <f>SUM(M133:M137)</f>
        <v>0</v>
      </c>
      <c r="N138" s="247">
        <f>SUM(N133:N137)</f>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248">
        <f t="shared" si="37"/>
        <v>0</v>
      </c>
      <c r="J139" s="220">
        <f t="shared" ref="J139:N143" si="38">J68*EXCHANGE_RATE</f>
        <v>0</v>
      </c>
      <c r="K139" s="220">
        <f t="shared" si="38"/>
        <v>0</v>
      </c>
      <c r="L139" s="220">
        <f t="shared" si="38"/>
        <v>0</v>
      </c>
      <c r="M139" s="220">
        <f t="shared" si="38"/>
        <v>0</v>
      </c>
      <c r="N139" s="220">
        <f t="shared" si="38"/>
        <v>0</v>
      </c>
    </row>
    <row r="140" spans="6:14" ht="12" x14ac:dyDescent="0.2">
      <c r="F140" s="444"/>
      <c r="G140" s="42" t="str">
        <f>STRAT9_IND2</f>
        <v>Objetivo estratégico 9 Indicador 2</v>
      </c>
      <c r="H140" s="268" t="str">
        <f ca="1">OFFSET(Variables_Lu!$D$10,Basic_Setup!H83,0)</f>
        <v>Nutrition-specific</v>
      </c>
      <c r="I140" s="248">
        <f t="shared" si="37"/>
        <v>0</v>
      </c>
      <c r="J140" s="220">
        <f t="shared" si="38"/>
        <v>0</v>
      </c>
      <c r="K140" s="220">
        <f t="shared" si="38"/>
        <v>0</v>
      </c>
      <c r="L140" s="220">
        <f t="shared" si="38"/>
        <v>0</v>
      </c>
      <c r="M140" s="220">
        <f t="shared" si="38"/>
        <v>0</v>
      </c>
      <c r="N140" s="220">
        <f t="shared" si="38"/>
        <v>0</v>
      </c>
    </row>
    <row r="141" spans="6:14" ht="12" x14ac:dyDescent="0.2">
      <c r="F141" s="444"/>
      <c r="G141" s="42" t="str">
        <f>STRAT9_IND3</f>
        <v>Objetivo estratégico 9 Indicador 3</v>
      </c>
      <c r="H141" s="268" t="str">
        <f ca="1">OFFSET(Variables_Lu!$D$10,Basic_Setup!H84,0)</f>
        <v>Nutrition-specific</v>
      </c>
      <c r="I141" s="248">
        <f t="shared" si="37"/>
        <v>0</v>
      </c>
      <c r="J141" s="220">
        <f t="shared" si="38"/>
        <v>0</v>
      </c>
      <c r="K141" s="220">
        <f t="shared" si="38"/>
        <v>0</v>
      </c>
      <c r="L141" s="220">
        <f t="shared" si="38"/>
        <v>0</v>
      </c>
      <c r="M141" s="220">
        <f t="shared" si="38"/>
        <v>0</v>
      </c>
      <c r="N141" s="220">
        <f t="shared" si="38"/>
        <v>0</v>
      </c>
    </row>
    <row r="142" spans="6:14" ht="12" x14ac:dyDescent="0.2">
      <c r="F142" s="444"/>
      <c r="G142" s="41" t="str">
        <f>STRAT9_IND4</f>
        <v>Objetivo estratégico 9 Indicador 4</v>
      </c>
      <c r="H142" s="268" t="str">
        <f ca="1">OFFSET(Variables_Lu!$D$10,Basic_Setup!H85,0)</f>
        <v>Nutrition-specific</v>
      </c>
      <c r="I142" s="248">
        <f t="shared" si="37"/>
        <v>0</v>
      </c>
      <c r="J142" s="220">
        <f t="shared" si="38"/>
        <v>0</v>
      </c>
      <c r="K142" s="220">
        <f t="shared" si="38"/>
        <v>0</v>
      </c>
      <c r="L142" s="220">
        <f t="shared" si="38"/>
        <v>0</v>
      </c>
      <c r="M142" s="220">
        <f t="shared" si="38"/>
        <v>0</v>
      </c>
      <c r="N142" s="220">
        <f t="shared" si="38"/>
        <v>0</v>
      </c>
    </row>
    <row r="143" spans="6:14" ht="12.6" thickBot="1" x14ac:dyDescent="0.25">
      <c r="F143" s="445"/>
      <c r="G143" s="275" t="str">
        <f>STRAT9_IND5</f>
        <v>Objetivo estratégico 9 Indicador 5</v>
      </c>
      <c r="H143" s="270" t="str">
        <f ca="1">OFFSET(Variables_Lu!$D$10,Basic_Setup!H86,0)</f>
        <v>Nutrition-specific</v>
      </c>
      <c r="I143" s="248">
        <f t="shared" si="37"/>
        <v>0</v>
      </c>
      <c r="J143" s="232">
        <f t="shared" si="38"/>
        <v>0</v>
      </c>
      <c r="K143" s="232">
        <f t="shared" si="38"/>
        <v>0</v>
      </c>
      <c r="L143" s="232">
        <f t="shared" si="38"/>
        <v>0</v>
      </c>
      <c r="M143" s="232">
        <f t="shared" si="38"/>
        <v>0</v>
      </c>
      <c r="N143" s="232">
        <f t="shared" si="38"/>
        <v>0</v>
      </c>
    </row>
    <row r="144" spans="6:14" ht="12.6" thickBot="1" x14ac:dyDescent="0.25">
      <c r="H144" s="152" t="s">
        <v>546</v>
      </c>
      <c r="I144" s="249">
        <f t="shared" si="37"/>
        <v>0</v>
      </c>
      <c r="J144" s="247">
        <f>SUM(J139:J143)</f>
        <v>0</v>
      </c>
      <c r="K144" s="247">
        <f>SUM(K139:K143)</f>
        <v>0</v>
      </c>
      <c r="L144" s="247">
        <f>SUM(L139:L143)</f>
        <v>0</v>
      </c>
      <c r="M144" s="247">
        <f>SUM(M139:M143)</f>
        <v>0</v>
      </c>
      <c r="N144" s="247">
        <f>SUM(N139:N143)</f>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248">
        <f t="shared" si="37"/>
        <v>0</v>
      </c>
      <c r="J145" s="220">
        <f t="shared" ref="J145:N149" si="39">J74*EXCHANGE_RATE</f>
        <v>0</v>
      </c>
      <c r="K145" s="220">
        <f t="shared" si="39"/>
        <v>0</v>
      </c>
      <c r="L145" s="220">
        <f t="shared" si="39"/>
        <v>0</v>
      </c>
      <c r="M145" s="220">
        <f t="shared" si="39"/>
        <v>0</v>
      </c>
      <c r="N145" s="220">
        <f t="shared" si="39"/>
        <v>0</v>
      </c>
    </row>
    <row r="146" spans="1:14" ht="12" x14ac:dyDescent="0.2">
      <c r="F146" s="444"/>
      <c r="G146" s="42" t="str">
        <f>STRAT10_IND2</f>
        <v>Objetivo estratégico 10 Indicador 2</v>
      </c>
      <c r="H146" s="268" t="str">
        <f ca="1">OFFSET(Variables_Lu!$D$10,Basic_Setup!H89,0)</f>
        <v>Nutrition-specific</v>
      </c>
      <c r="I146" s="248">
        <f t="shared" si="37"/>
        <v>0</v>
      </c>
      <c r="J146" s="220">
        <f t="shared" si="39"/>
        <v>0</v>
      </c>
      <c r="K146" s="220">
        <f t="shared" si="39"/>
        <v>0</v>
      </c>
      <c r="L146" s="220">
        <f t="shared" si="39"/>
        <v>0</v>
      </c>
      <c r="M146" s="220">
        <f t="shared" si="39"/>
        <v>0</v>
      </c>
      <c r="N146" s="220">
        <f t="shared" si="39"/>
        <v>0</v>
      </c>
    </row>
    <row r="147" spans="1:14" ht="12" x14ac:dyDescent="0.2">
      <c r="F147" s="444"/>
      <c r="G147" s="42" t="str">
        <f>STRAT10_IND3</f>
        <v>Objetivo estratégico 10 Indicador 3</v>
      </c>
      <c r="H147" s="268" t="str">
        <f ca="1">OFFSET(Variables_Lu!$D$10,Basic_Setup!H90,0)</f>
        <v>Nutrition-specific</v>
      </c>
      <c r="I147" s="248">
        <f t="shared" si="37"/>
        <v>0</v>
      </c>
      <c r="J147" s="220">
        <f t="shared" si="39"/>
        <v>0</v>
      </c>
      <c r="K147" s="220">
        <f t="shared" si="39"/>
        <v>0</v>
      </c>
      <c r="L147" s="220">
        <f t="shared" si="39"/>
        <v>0</v>
      </c>
      <c r="M147" s="220">
        <f t="shared" si="39"/>
        <v>0</v>
      </c>
      <c r="N147" s="220">
        <f t="shared" si="39"/>
        <v>0</v>
      </c>
    </row>
    <row r="148" spans="1:14" ht="12" x14ac:dyDescent="0.2">
      <c r="F148" s="444"/>
      <c r="G148" s="41" t="str">
        <f>STRAT10_IND4</f>
        <v>Objetivo estratégico 10 Indicador 4</v>
      </c>
      <c r="H148" s="268" t="str">
        <f ca="1">OFFSET(Variables_Lu!$D$10,Basic_Setup!H91,0)</f>
        <v>Nutrition-specific</v>
      </c>
      <c r="I148" s="248">
        <f t="shared" si="37"/>
        <v>0</v>
      </c>
      <c r="J148" s="220">
        <f t="shared" si="39"/>
        <v>0</v>
      </c>
      <c r="K148" s="220">
        <f t="shared" si="39"/>
        <v>0</v>
      </c>
      <c r="L148" s="220">
        <f t="shared" si="39"/>
        <v>0</v>
      </c>
      <c r="M148" s="220">
        <f t="shared" si="39"/>
        <v>0</v>
      </c>
      <c r="N148" s="220">
        <f t="shared" si="39"/>
        <v>0</v>
      </c>
    </row>
    <row r="149" spans="1:14" ht="12.6" thickBot="1" x14ac:dyDescent="0.25">
      <c r="F149" s="445"/>
      <c r="G149" s="275" t="str">
        <f>STRAT10_IND5</f>
        <v>Objetivo estratégico 10 Indicador 5</v>
      </c>
      <c r="H149" s="270" t="str">
        <f ca="1">OFFSET(Variables_Lu!$D$10,Basic_Setup!H92,0)</f>
        <v>Nutrition-specific</v>
      </c>
      <c r="I149" s="248">
        <f t="shared" si="37"/>
        <v>0</v>
      </c>
      <c r="J149" s="232">
        <f t="shared" si="39"/>
        <v>0</v>
      </c>
      <c r="K149" s="232">
        <f t="shared" si="39"/>
        <v>0</v>
      </c>
      <c r="L149" s="232">
        <f t="shared" si="39"/>
        <v>0</v>
      </c>
      <c r="M149" s="232">
        <f t="shared" si="39"/>
        <v>0</v>
      </c>
      <c r="N149" s="232">
        <f t="shared" si="39"/>
        <v>0</v>
      </c>
    </row>
    <row r="150" spans="1:14" ht="12" x14ac:dyDescent="0.2">
      <c r="H150" s="152" t="s">
        <v>547</v>
      </c>
      <c r="I150" s="249">
        <f t="shared" si="37"/>
        <v>0</v>
      </c>
      <c r="J150" s="247">
        <f>SUM(J145:J149)</f>
        <v>0</v>
      </c>
      <c r="K150" s="247">
        <f>SUM(K145:K149)</f>
        <v>0</v>
      </c>
      <c r="L150" s="247">
        <f>SUM(L145:L149)</f>
        <v>0</v>
      </c>
      <c r="M150" s="247">
        <f>SUM(M145:M149)</f>
        <v>0</v>
      </c>
      <c r="N150" s="247">
        <f>SUM(N145:N149)</f>
        <v>0</v>
      </c>
    </row>
    <row r="151" spans="1:14" x14ac:dyDescent="0.2">
      <c r="I151" s="231"/>
      <c r="J151" s="231"/>
      <c r="K151" s="231"/>
      <c r="L151" s="231"/>
      <c r="M151" s="231"/>
      <c r="N151" s="231"/>
    </row>
    <row r="152" spans="1:14" ht="12.6" thickBot="1" x14ac:dyDescent="0.25">
      <c r="H152" s="149" t="str">
        <f>"TOTAL - "&amp;$F$12</f>
        <v>TOTAL - UNICEF</v>
      </c>
      <c r="I152" s="222">
        <f t="shared" ref="I152:M152" si="40">I81*EXCHANGE_RATE</f>
        <v>68472000000</v>
      </c>
      <c r="J152" s="222">
        <f t="shared" si="40"/>
        <v>13694400000</v>
      </c>
      <c r="K152" s="222">
        <f t="shared" si="40"/>
        <v>13694400000</v>
      </c>
      <c r="L152" s="222">
        <f t="shared" si="40"/>
        <v>13694400000</v>
      </c>
      <c r="M152" s="222">
        <f t="shared" si="40"/>
        <v>13694400000</v>
      </c>
      <c r="N152" s="222">
        <f>N81*EXCHANGE_RATE</f>
        <v>13694400000</v>
      </c>
    </row>
    <row r="155" spans="1:14" x14ac:dyDescent="0.2">
      <c r="A155" s="39" t="s">
        <v>76</v>
      </c>
      <c r="B155" s="40" t="str">
        <f>"Summary of "&amp;Partner1&amp;" - by Result/Indicator Type"</f>
        <v>Summary of UNICEF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548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f ca="1">I159/$I$162</f>
        <v>0.83333333333333337</v>
      </c>
      <c r="I159" s="68">
        <f ca="1">SUM(J159:N159)</f>
        <v>57060000000</v>
      </c>
      <c r="J159" s="325">
        <f ca="1">SUMIF($H$91:$H$149,Lu_Nutrition_Specific,J$91:J$149)</f>
        <v>11412000000</v>
      </c>
      <c r="K159" s="325">
        <f ca="1">SUMIF($H$91:$H$149,Lu_Nutrition_Specific,K$91:K$149)</f>
        <v>11412000000</v>
      </c>
      <c r="L159" s="325">
        <f ca="1">SUMIF($H$91:$H$149,Lu_Nutrition_Specific,L$91:L$149)</f>
        <v>11412000000</v>
      </c>
      <c r="M159" s="325">
        <f ca="1">SUMIF($H$91:$H$149,Lu_Nutrition_Specific,M$91:M$149)</f>
        <v>11412000000</v>
      </c>
      <c r="N159" s="325">
        <f ca="1">SUMIF($H$91:$H$149,Lu_Nutrition_Specific,N$91:N$149)</f>
        <v>11412000000</v>
      </c>
    </row>
    <row r="160" spans="1:14" ht="12" x14ac:dyDescent="0.2">
      <c r="F160" s="38" t="str">
        <f>Lu_Nutrition_Sensitive</f>
        <v>Nutrition-sensitive</v>
      </c>
      <c r="G160" s="38"/>
      <c r="H160" s="289">
        <f t="shared" ref="H160" ca="1" si="41">I160/$I$162</f>
        <v>0.16561514195583596</v>
      </c>
      <c r="I160" s="69">
        <f t="shared" ref="I160" ca="1" si="42">SUM(J160:N160)</f>
        <v>11340000000</v>
      </c>
      <c r="J160" s="325">
        <f ca="1">SUMIF($H$91:$H$149,Lu_Nutrition_Sensitive,J$91:J$149)</f>
        <v>2268000000</v>
      </c>
      <c r="K160" s="325">
        <f ca="1">SUMIF($H$91:$H$149,Lu_Nutrition_Sensitive,K$91:K$149)</f>
        <v>2268000000</v>
      </c>
      <c r="L160" s="325">
        <f ca="1">SUMIF($H$91:$H$149,Lu_Nutrition_Sensitive,L$91:L$149)</f>
        <v>2268000000</v>
      </c>
      <c r="M160" s="325">
        <f ca="1">SUMIF($H$91:$H$149,Lu_Nutrition_Sensitive,M$91:M$149)</f>
        <v>2268000000</v>
      </c>
      <c r="N160" s="325">
        <f ca="1">SUMIF($H$91:$H$149,Lu_Nutrition_Sensitive,N$91:N$149)</f>
        <v>2268000000</v>
      </c>
    </row>
    <row r="161" spans="6:14" ht="12" x14ac:dyDescent="0.2">
      <c r="F161" s="38" t="str">
        <f>Lu_Governance</f>
        <v>Governance</v>
      </c>
      <c r="G161" s="38"/>
      <c r="H161" s="289">
        <f ca="1">I161/$I$162</f>
        <v>1.0515247108307045E-3</v>
      </c>
      <c r="I161" s="396">
        <f ca="1">SUM(J161:N161)</f>
        <v>72000000</v>
      </c>
      <c r="J161" s="325">
        <f ca="1">SUMIF($H$91:$H$149,Lu_Governance,J$91:J$149)</f>
        <v>14400000</v>
      </c>
      <c r="K161" s="325">
        <f ca="1">SUMIF($H$91:$H$149,Lu_Governance,K$91:K$149)</f>
        <v>14400000</v>
      </c>
      <c r="L161" s="325">
        <f ca="1">SUMIF($H$91:$H$149,Lu_Governance,L$91:L$149)</f>
        <v>14400000</v>
      </c>
      <c r="M161" s="325">
        <f ca="1">SUMIF($H$91:$H$149,Lu_Governance,M$91:M$149)</f>
        <v>14400000</v>
      </c>
      <c r="N161" s="325">
        <f ca="1">SUMIF($H$91:$H$149,Lu_Governance,N$91:N$149)</f>
        <v>14400000</v>
      </c>
    </row>
    <row r="162" spans="6:14" ht="12" x14ac:dyDescent="0.2">
      <c r="F162" s="324" t="str">
        <f>"TOTAL - "&amp;Summary_Govt_Contributions!$F$12&amp;" ("&amp;CURR_LCU_ABBR&amp;")"</f>
        <v>TOTAL - TODAS las contribuciones de las agencias gubernamentales (GOZ)</v>
      </c>
      <c r="G162" s="74"/>
      <c r="H162" s="291">
        <f ca="1">SUM(H159:H161)</f>
        <v>1</v>
      </c>
      <c r="I162" s="57">
        <f ca="1">SUM(J162:N162)</f>
        <v>68472000000</v>
      </c>
      <c r="J162" s="55">
        <f ca="1">SUM(J159:J161)</f>
        <v>13694400000</v>
      </c>
      <c r="K162" s="55">
        <f t="shared" ref="K162:N162" ca="1" si="43">SUM(K159:K161)</f>
        <v>13694400000</v>
      </c>
      <c r="L162" s="55">
        <f t="shared" ca="1" si="43"/>
        <v>13694400000</v>
      </c>
      <c r="M162" s="55">
        <f t="shared" ca="1" si="43"/>
        <v>13694400000</v>
      </c>
      <c r="N162" s="55">
        <f t="shared" ca="1" si="43"/>
        <v>13694400000</v>
      </c>
    </row>
    <row r="164" spans="6:14" ht="12" x14ac:dyDescent="0.2">
      <c r="F164" s="148" t="str">
        <f>"Contributions - "&amp;CURR_INT_ABBR</f>
        <v>Contributions - USD</v>
      </c>
    </row>
    <row r="165" spans="6:14" ht="12" x14ac:dyDescent="0.2">
      <c r="F165" s="148"/>
      <c r="H165" s="136" t="s">
        <v>548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f ca="1">I166/$I$169</f>
        <v>0.83333333333333337</v>
      </c>
      <c r="I166" s="404">
        <f ca="1">SUM(J166:N166)</f>
        <v>31700000</v>
      </c>
      <c r="J166" s="407">
        <f ca="1">J159/EXCHANGE_RATE</f>
        <v>6340000</v>
      </c>
      <c r="K166" s="407">
        <f t="shared" ref="J166:N168" ca="1" si="44">K159/EXCHANGE_RATE</f>
        <v>6340000</v>
      </c>
      <c r="L166" s="407">
        <f t="shared" ca="1" si="44"/>
        <v>6340000</v>
      </c>
      <c r="M166" s="407">
        <f t="shared" ca="1" si="44"/>
        <v>6340000</v>
      </c>
      <c r="N166" s="407">
        <f t="shared" ca="1" si="44"/>
        <v>6340000</v>
      </c>
    </row>
    <row r="167" spans="6:14" ht="12" x14ac:dyDescent="0.2">
      <c r="F167" t="str">
        <f>Lu_Nutrition_Sensitive</f>
        <v>Nutrition-sensitive</v>
      </c>
      <c r="H167" s="289">
        <f t="shared" ref="H167:H168" ca="1" si="45">I167/$I$169</f>
        <v>0.16561514195583596</v>
      </c>
      <c r="I167" s="404">
        <f t="shared" ref="I167" ca="1" si="46">SUM(J167:N167)</f>
        <v>6300000</v>
      </c>
      <c r="J167" s="407">
        <f t="shared" ca="1" si="44"/>
        <v>1260000</v>
      </c>
      <c r="K167" s="407">
        <f t="shared" ca="1" si="44"/>
        <v>1260000</v>
      </c>
      <c r="L167" s="407">
        <f t="shared" ca="1" si="44"/>
        <v>1260000</v>
      </c>
      <c r="M167" s="407">
        <f t="shared" ca="1" si="44"/>
        <v>1260000</v>
      </c>
      <c r="N167" s="407">
        <f t="shared" ca="1" si="44"/>
        <v>1260000</v>
      </c>
    </row>
    <row r="168" spans="6:14" ht="12" x14ac:dyDescent="0.2">
      <c r="F168" t="str">
        <f>Lu_Governance</f>
        <v>Governance</v>
      </c>
      <c r="H168" s="289">
        <f t="shared" ca="1" si="45"/>
        <v>1.0515247108307045E-3</v>
      </c>
      <c r="I168" s="404">
        <f ca="1">SUM(J168:N168)</f>
        <v>40000</v>
      </c>
      <c r="J168" s="407">
        <f t="shared" ca="1" si="44"/>
        <v>8000</v>
      </c>
      <c r="K168" s="407">
        <f t="shared" ca="1" si="44"/>
        <v>8000</v>
      </c>
      <c r="L168" s="407">
        <f t="shared" ca="1" si="44"/>
        <v>8000</v>
      </c>
      <c r="M168" s="407">
        <f t="shared" ca="1" si="44"/>
        <v>8000</v>
      </c>
      <c r="N168" s="407">
        <f t="shared" ca="1" si="44"/>
        <v>8000</v>
      </c>
    </row>
    <row r="169" spans="6:14" ht="12" x14ac:dyDescent="0.2">
      <c r="F169" s="324" t="str">
        <f>"TOTAL - "&amp;Summary_Govt_Contributions!$F$12&amp;" ("&amp;CURR_INT_ABBR&amp;")"</f>
        <v>TOTAL - TODAS las contribuciones de las agencias gubernamentales (USD)</v>
      </c>
      <c r="G169" s="74"/>
      <c r="H169" s="291">
        <f ca="1">SUM(H166:H168)</f>
        <v>1</v>
      </c>
      <c r="I169" s="295">
        <f ca="1">SUM(J169:N169)</f>
        <v>38040000</v>
      </c>
      <c r="J169" s="408">
        <f ca="1">SUM(J166:J168)</f>
        <v>7608000</v>
      </c>
      <c r="K169" s="408">
        <f t="shared" ref="K169:M169" ca="1" si="47">SUM(K166:K168)</f>
        <v>7608000</v>
      </c>
      <c r="L169" s="408">
        <f t="shared" ca="1" si="47"/>
        <v>7608000</v>
      </c>
      <c r="M169" s="408">
        <f t="shared" ca="1" si="47"/>
        <v>7608000</v>
      </c>
      <c r="N169" s="408">
        <f ca="1">SUM(N166:N168)</f>
        <v>7608000</v>
      </c>
    </row>
    <row r="173" spans="6:14" x14ac:dyDescent="0.2">
      <c r="J173" s="325"/>
      <c r="K173" s="325"/>
      <c r="L173" s="325"/>
      <c r="M173" s="325"/>
      <c r="N173" s="325"/>
    </row>
    <row r="174" spans="6:14" x14ac:dyDescent="0.2">
      <c r="J174" s="325"/>
      <c r="K174" s="325"/>
      <c r="L174" s="325"/>
      <c r="M174" s="325"/>
      <c r="N174" s="325"/>
    </row>
    <row r="175" spans="6:14" x14ac:dyDescent="0.2">
      <c r="J175" s="325"/>
      <c r="K175" s="325"/>
      <c r="L175" s="325"/>
      <c r="M175" s="325"/>
      <c r="N175" s="325"/>
    </row>
  </sheetData>
  <mergeCells count="21">
    <mergeCell ref="F32:F36"/>
    <mergeCell ref="F38:F42"/>
    <mergeCell ref="F44:F48"/>
    <mergeCell ref="B3:F3"/>
    <mergeCell ref="F20:F24"/>
    <mergeCell ref="F26:F30"/>
    <mergeCell ref="F50:F54"/>
    <mergeCell ref="F56:F60"/>
    <mergeCell ref="F62:F66"/>
    <mergeCell ref="F109:F113"/>
    <mergeCell ref="F115:F119"/>
    <mergeCell ref="F68:F72"/>
    <mergeCell ref="F74:F78"/>
    <mergeCell ref="F91:F95"/>
    <mergeCell ref="F97:F101"/>
    <mergeCell ref="F103:F107"/>
    <mergeCell ref="F121:F125"/>
    <mergeCell ref="F127:F131"/>
    <mergeCell ref="F133:F137"/>
    <mergeCell ref="F139:F143"/>
    <mergeCell ref="F145:F149"/>
  </mergeCells>
  <dataValidations count="1">
    <dataValidation type="custom" showErrorMessage="1" errorTitle="Invalid Assumption" error="Assumption must be a number." sqref="J20:N23 J32:N36 J26:N30 J44:N48 J50:N54 J56:N60 J62:N66 J68:N72 J74:N78 J38:N42 J103:N107 J97:N101 J91:N95 J109:N113 J115:N119 J121:N125 J127:N131 J133:N137 J139:N143 J145:N149" xr:uid="{00000000-0002-0000-1500-000000000000}">
      <formula1>NOT(ISERROR(J20/1))</formula1>
    </dataValidation>
  </dataValidations>
  <hyperlinks>
    <hyperlink ref="A14" location="HL_Mod_Out" tooltip="Click to follow hyperlink." display="ð" xr:uid="{00000000-0004-0000-1500-000000000000}"/>
    <hyperlink ref="C4" location="Partner2!HL_Sheet_Main_13" tooltip="Go to Next Sheet" display="è" xr:uid="{00000000-0004-0000-1500-000001000000}"/>
    <hyperlink ref="A4" r:id="rId1" tooltip="Go to Top of Sheet" xr:uid="{00000000-0004-0000-1500-000002000000}"/>
    <hyperlink ref="B4" location="HL_Sheet_Main_29" tooltip="Go to Previous Sheet" display="ç" xr:uid="{00000000-0004-0000-1500-000003000000}"/>
    <hyperlink ref="B3" location="HL_Home" tooltip="Go to Table of Contents" display="Ir al índice" xr:uid="{00000000-0004-0000-1500-000004000000}"/>
    <hyperlink ref="A155" location="HL_Mod_Out" tooltip="Click to follow hyperlink." display="ð" xr:uid="{00000000-0004-0000-1500-000005000000}"/>
  </hyperlinks>
  <pageMargins left="0.4" right="0.4" top="0.6" bottom="1" header="0" footer="0.3"/>
  <pageSetup orientation="landscape" r:id="rId2"/>
  <headerFooter>
    <oddFooter>&amp;L&amp;F
&amp;A
Impreso: &amp;T en &amp;D&amp;C&amp;",Bold"Sheet 2.m.
Página &amp;P de &amp;N</oddFooter>
  </headerFooter>
  <drawing r:id="rId3"/>
  <legacyDrawing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N169"/>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0.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Partner2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49.2" x14ac:dyDescent="0.2">
      <c r="F12" s="198" t="str">
        <f>Partner2</f>
        <v>Organización Mundial de la Salud</v>
      </c>
      <c r="G12" s="60">
        <v>1</v>
      </c>
    </row>
    <row r="13" spans="1:14" s="38" customFormat="1" x14ac:dyDescent="0.2">
      <c r="G13"/>
    </row>
    <row r="14" spans="1:14" s="38" customFormat="1" x14ac:dyDescent="0.2">
      <c r="A14" s="39" t="s">
        <v>76</v>
      </c>
      <c r="B14" s="40" t="str">
        <f>"Planned Annual Contributions by "&amp;Partner2&amp;" - by Strategic Objective and Result/Indicator"</f>
        <v>Planned Annual Contributions by Organización Mundial de la Salud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409" t="s">
        <v>106</v>
      </c>
      <c r="J19" s="54" t="str">
        <f>CURR_INT_ABBR</f>
        <v>USD</v>
      </c>
      <c r="K19" s="54" t="str">
        <f>CURR_INT_ABBR</f>
        <v>USD</v>
      </c>
      <c r="L19" s="54" t="str">
        <f>CURR_INT_ABBR</f>
        <v>USD</v>
      </c>
      <c r="M19" s="54" t="str">
        <f>CURR_INT_ABBR</f>
        <v>USD</v>
      </c>
      <c r="N19" s="54" t="str">
        <f>CURR_INT_ABBR</f>
        <v>USD</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67">
        <f>SUM(J20:N20)</f>
        <v>25000</v>
      </c>
      <c r="J20" s="61">
        <v>5000</v>
      </c>
      <c r="K20" s="61">
        <v>5000</v>
      </c>
      <c r="L20" s="61">
        <v>10000</v>
      </c>
      <c r="M20" s="61">
        <v>5000</v>
      </c>
      <c r="N20" s="61"/>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67">
        <f t="shared" ref="I21:I22" si="2">SUM(J21:N21)</f>
        <v>0</v>
      </c>
      <c r="J21" s="61"/>
      <c r="K21" s="61"/>
      <c r="L21" s="61"/>
      <c r="M21" s="61"/>
      <c r="N21" s="61"/>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67">
        <f t="shared" si="2"/>
        <v>0</v>
      </c>
      <c r="J22" s="61"/>
      <c r="K22" s="61"/>
      <c r="L22" s="61"/>
      <c r="M22" s="61"/>
      <c r="N22" s="61"/>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67">
        <f>SUM(J23:N23)</f>
        <v>0</v>
      </c>
      <c r="J23" s="61"/>
      <c r="K23" s="61"/>
      <c r="L23" s="61"/>
      <c r="M23" s="61"/>
      <c r="N23" s="61"/>
    </row>
    <row r="24" spans="6:14" s="38" customFormat="1" ht="12" x14ac:dyDescent="0.2">
      <c r="F24" s="448"/>
      <c r="G24" s="41" t="str">
        <f>STRAT1_IND5</f>
        <v>Objetivo estratégico 1 Indicador 5</v>
      </c>
      <c r="H24" s="260" t="str">
        <f ca="1">OFFSET(Variables_Lu!$D$10,Basic_Setup!H38,0)</f>
        <v>Governance</v>
      </c>
      <c r="I24" s="67">
        <f>SUM(J24:N24)</f>
        <v>0</v>
      </c>
      <c r="J24" s="61"/>
      <c r="K24" s="61"/>
      <c r="L24" s="61"/>
      <c r="M24" s="61"/>
      <c r="N24" s="61"/>
    </row>
    <row r="25" spans="6:14" s="38" customFormat="1" ht="12" x14ac:dyDescent="0.2">
      <c r="H25" s="152" t="s">
        <v>107</v>
      </c>
      <c r="I25" s="250">
        <f>SUM(I20:I24)</f>
        <v>25000</v>
      </c>
      <c r="J25" s="64">
        <f>SUM(J20:J24)</f>
        <v>5000</v>
      </c>
      <c r="K25" s="64">
        <f t="shared" ref="K25:N25" si="3">SUM(K20:K24)</f>
        <v>5000</v>
      </c>
      <c r="L25" s="64">
        <f t="shared" si="3"/>
        <v>10000</v>
      </c>
      <c r="M25" s="64">
        <f t="shared" si="3"/>
        <v>5000</v>
      </c>
      <c r="N25" s="64">
        <f t="shared" si="3"/>
        <v>0</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67">
        <f>SUM(J26:N26)</f>
        <v>30000</v>
      </c>
      <c r="J26" s="61">
        <v>5000</v>
      </c>
      <c r="K26" s="61">
        <v>10000</v>
      </c>
      <c r="L26" s="61">
        <v>15000</v>
      </c>
      <c r="M26" s="61"/>
      <c r="N26" s="61"/>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67">
        <f t="shared" ref="I27:I30" si="4">SUM(J27:N27)</f>
        <v>45000</v>
      </c>
      <c r="J27" s="61">
        <v>10000</v>
      </c>
      <c r="K27" s="61">
        <v>20000</v>
      </c>
      <c r="L27" s="61">
        <v>10000</v>
      </c>
      <c r="M27" s="61">
        <v>5000</v>
      </c>
      <c r="N27" s="61"/>
    </row>
    <row r="28" spans="6:14" s="38" customFormat="1" ht="22.8" x14ac:dyDescent="0.2">
      <c r="F28" s="447"/>
      <c r="G28" s="42" t="str">
        <f>STRAT2_IND3</f>
        <v>Se refuerzan las intervenciones comunitarias en materia de nutrición.</v>
      </c>
      <c r="H28" s="260" t="str">
        <f ca="1">OFFSET(Variables_Lu!$D$10,Basic_Setup!H42,0)</f>
        <v>Nutrition-specific</v>
      </c>
      <c r="I28" s="67">
        <f t="shared" si="4"/>
        <v>0</v>
      </c>
      <c r="J28" s="61"/>
      <c r="K28" s="61"/>
      <c r="L28" s="61"/>
      <c r="M28" s="61"/>
      <c r="N28" s="61"/>
    </row>
    <row r="29" spans="6:14" s="38" customFormat="1" ht="12" x14ac:dyDescent="0.2">
      <c r="F29" s="447"/>
      <c r="G29" s="41" t="str">
        <f>STRAT2_IND4</f>
        <v>Objetivo estratégico 2 Indicador 4</v>
      </c>
      <c r="H29" s="260" t="str">
        <f ca="1">OFFSET(Variables_Lu!$D$10,Basic_Setup!H43,0)</f>
        <v>Nutrition-specific</v>
      </c>
      <c r="I29" s="67">
        <f t="shared" si="4"/>
        <v>0</v>
      </c>
      <c r="J29" s="61"/>
      <c r="K29" s="61"/>
      <c r="L29" s="61"/>
      <c r="M29" s="61"/>
      <c r="N29" s="61"/>
    </row>
    <row r="30" spans="6:14" s="38" customFormat="1" ht="12" x14ac:dyDescent="0.2">
      <c r="F30" s="448"/>
      <c r="G30" s="41" t="str">
        <f>STRAT2_IND5</f>
        <v>Objetivo estratégico 2 Indicador 5</v>
      </c>
      <c r="H30" s="260" t="str">
        <f ca="1">OFFSET(Variables_Lu!$D$10,Basic_Setup!H44,0)</f>
        <v>Nutrition-specific</v>
      </c>
      <c r="I30" s="67">
        <f t="shared" si="4"/>
        <v>0</v>
      </c>
      <c r="J30" s="61"/>
      <c r="K30" s="61"/>
      <c r="L30" s="61"/>
      <c r="M30" s="61"/>
      <c r="N30" s="61"/>
    </row>
    <row r="31" spans="6:14" s="38" customFormat="1" ht="12" x14ac:dyDescent="0.2">
      <c r="H31" s="152" t="s">
        <v>108</v>
      </c>
      <c r="I31" s="250">
        <f t="shared" ref="I31" si="5">SUM(I26:I30)</f>
        <v>75000</v>
      </c>
      <c r="J31" s="64">
        <f t="shared" ref="J31:N31" si="6">SUM(J26:J30)</f>
        <v>15000</v>
      </c>
      <c r="K31" s="64">
        <f t="shared" si="6"/>
        <v>30000</v>
      </c>
      <c r="L31" s="64">
        <f t="shared" si="6"/>
        <v>25000</v>
      </c>
      <c r="M31" s="64">
        <f t="shared" si="6"/>
        <v>5000</v>
      </c>
      <c r="N31" s="64">
        <f t="shared" si="6"/>
        <v>0</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67">
        <f>SUM(J32:N32)</f>
        <v>0</v>
      </c>
      <c r="J32" s="61"/>
      <c r="K32" s="61"/>
      <c r="L32" s="61"/>
      <c r="M32" s="61"/>
      <c r="N32" s="61"/>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67">
        <f t="shared" ref="I33:I36" si="7">SUM(J33:N33)</f>
        <v>0</v>
      </c>
      <c r="J33" s="61"/>
      <c r="K33" s="61"/>
      <c r="L33" s="61"/>
      <c r="M33" s="61"/>
      <c r="N33" s="61"/>
    </row>
    <row r="34" spans="6:14" s="38" customFormat="1" ht="12" x14ac:dyDescent="0.2">
      <c r="F34" s="447"/>
      <c r="G34" s="42" t="str">
        <f>STRAT3_IND3</f>
        <v>Objetivo estratégico 3 Indicador 3</v>
      </c>
      <c r="H34" s="260" t="str">
        <f ca="1">OFFSET(Variables_Lu!$D$10,Basic_Setup!H48,0)</f>
        <v>Nutrition-specific</v>
      </c>
      <c r="I34" s="67">
        <f t="shared" si="7"/>
        <v>0</v>
      </c>
      <c r="J34" s="61"/>
      <c r="K34" s="61"/>
      <c r="L34" s="61"/>
      <c r="M34" s="61"/>
      <c r="N34" s="61"/>
    </row>
    <row r="35" spans="6:14" s="38" customFormat="1" ht="12" x14ac:dyDescent="0.2">
      <c r="F35" s="447"/>
      <c r="G35" s="41" t="str">
        <f>STRAT3_IND4</f>
        <v>Objetivo estratégico 3 Indicador 4</v>
      </c>
      <c r="H35" s="260" t="str">
        <f ca="1">OFFSET(Variables_Lu!$D$10,Basic_Setup!H49,0)</f>
        <v>Nutrition-specific</v>
      </c>
      <c r="I35" s="67">
        <f t="shared" si="7"/>
        <v>0</v>
      </c>
      <c r="J35" s="61"/>
      <c r="K35" s="61"/>
      <c r="L35" s="61"/>
      <c r="M35" s="61"/>
      <c r="N35" s="61"/>
    </row>
    <row r="36" spans="6:14" s="38" customFormat="1" ht="12" x14ac:dyDescent="0.2">
      <c r="F36" s="448"/>
      <c r="G36" s="41" t="str">
        <f>STRAT3_IND5</f>
        <v>Objetivo estratégico 3 Indicador 5</v>
      </c>
      <c r="H36" s="260" t="str">
        <f ca="1">OFFSET(Variables_Lu!$D$10,Basic_Setup!H50,0)</f>
        <v>Nutrition-specific</v>
      </c>
      <c r="I36" s="67">
        <f t="shared" si="7"/>
        <v>0</v>
      </c>
      <c r="J36" s="61"/>
      <c r="K36" s="61"/>
      <c r="L36" s="61"/>
      <c r="M36" s="61"/>
      <c r="N36" s="61"/>
    </row>
    <row r="37" spans="6:14" ht="12" x14ac:dyDescent="0.2">
      <c r="H37" s="152" t="s">
        <v>109</v>
      </c>
      <c r="I37" s="250">
        <f>SUM(I32:I36)</f>
        <v>0</v>
      </c>
      <c r="J37" s="64">
        <f>SUM(J32:J36)</f>
        <v>0</v>
      </c>
      <c r="K37" s="64">
        <f t="shared" ref="K37:N37" si="8">SUM(K32:K36)</f>
        <v>0</v>
      </c>
      <c r="L37" s="64">
        <f t="shared" si="8"/>
        <v>0</v>
      </c>
      <c r="M37" s="64">
        <f t="shared" si="8"/>
        <v>0</v>
      </c>
      <c r="N37" s="64">
        <f t="shared" si="8"/>
        <v>0</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67">
        <f>SUM(J38:N38)</f>
        <v>0</v>
      </c>
      <c r="J38" s="61"/>
      <c r="K38" s="61"/>
      <c r="L38" s="61"/>
      <c r="M38" s="61"/>
      <c r="N38" s="61"/>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67">
        <f t="shared" ref="I39:I42" si="9">SUM(J39:N39)</f>
        <v>0</v>
      </c>
      <c r="J39" s="61"/>
      <c r="K39" s="61"/>
      <c r="L39" s="61"/>
      <c r="M39" s="61"/>
      <c r="N39" s="61"/>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67">
        <f>SUM(J40:N40)</f>
        <v>0</v>
      </c>
      <c r="J40" s="61"/>
      <c r="K40" s="61"/>
      <c r="L40" s="61"/>
      <c r="M40" s="61"/>
      <c r="N40" s="61"/>
    </row>
    <row r="41" spans="6:14" ht="12" x14ac:dyDescent="0.2">
      <c r="F41" s="447"/>
      <c r="G41" s="41" t="str">
        <f>STRAT4_IND4</f>
        <v>Objetivo estratégico 4 Indicador 4</v>
      </c>
      <c r="H41" s="260" t="str">
        <f ca="1">OFFSET(Variables_Lu!$D$10,Basic_Setup!H55,0)</f>
        <v>Nutrition-specific</v>
      </c>
      <c r="I41" s="67">
        <f>SUM(J41:N41)</f>
        <v>0</v>
      </c>
      <c r="J41" s="61"/>
      <c r="K41" s="61"/>
      <c r="L41" s="61"/>
      <c r="M41" s="61"/>
      <c r="N41" s="61"/>
    </row>
    <row r="42" spans="6:14" ht="12" x14ac:dyDescent="0.2">
      <c r="F42" s="448"/>
      <c r="G42" s="41" t="str">
        <f>STRAT4_IND5</f>
        <v>Objetivo estratégico 4 Indicador 5</v>
      </c>
      <c r="H42" s="260" t="str">
        <f ca="1">OFFSET(Variables_Lu!$D$10,Basic_Setup!H56,0)</f>
        <v>Nutrition-specific</v>
      </c>
      <c r="I42" s="67">
        <f t="shared" si="9"/>
        <v>0</v>
      </c>
      <c r="J42" s="61"/>
      <c r="K42" s="61"/>
      <c r="L42" s="61"/>
      <c r="M42" s="61"/>
      <c r="N42" s="61"/>
    </row>
    <row r="43" spans="6:14" ht="12" x14ac:dyDescent="0.2">
      <c r="H43" s="152" t="s">
        <v>110</v>
      </c>
      <c r="I43" s="250">
        <f>SUM(I38:I42)</f>
        <v>0</v>
      </c>
      <c r="J43" s="64">
        <f>SUM(J38:J42)</f>
        <v>0</v>
      </c>
      <c r="K43" s="64">
        <f t="shared" ref="K43:N43" si="10">SUM(K38:K42)</f>
        <v>0</v>
      </c>
      <c r="L43" s="64">
        <f t="shared" si="10"/>
        <v>0</v>
      </c>
      <c r="M43" s="64">
        <f t="shared" si="10"/>
        <v>0</v>
      </c>
      <c r="N43" s="64">
        <f t="shared" si="10"/>
        <v>0</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67">
        <f>SUM(J44:N44)</f>
        <v>0</v>
      </c>
      <c r="J44" s="61"/>
      <c r="K44" s="61"/>
      <c r="L44" s="61"/>
      <c r="M44" s="61"/>
      <c r="N44" s="61"/>
    </row>
    <row r="45" spans="6:14" ht="22.8" x14ac:dyDescent="0.2">
      <c r="F45" s="447"/>
      <c r="G45" s="42" t="str">
        <f>STRAT5_IND2</f>
        <v>Se promueven dietas saludables y estilos de vida saludables para las personas.</v>
      </c>
      <c r="H45" s="260" t="str">
        <f ca="1">OFFSET(Variables_Lu!$D$10,Basic_Setup!H59,0)</f>
        <v>Nutrition-specific</v>
      </c>
      <c r="I45" s="67">
        <f t="shared" ref="I45:I48" si="11">SUM(J45:N45)</f>
        <v>0</v>
      </c>
      <c r="J45" s="61"/>
      <c r="K45" s="61"/>
      <c r="L45" s="61"/>
      <c r="M45" s="61"/>
      <c r="N45" s="61"/>
    </row>
    <row r="46" spans="6:14" ht="22.8" x14ac:dyDescent="0.2">
      <c r="F46" s="447"/>
      <c r="G46" s="42" t="str">
        <f>STRAT5_IND3</f>
        <v>Se promueven las buenas prácticas WASH a nivel comunitario y doméstico</v>
      </c>
      <c r="H46" s="260" t="str">
        <f ca="1">OFFSET(Variables_Lu!$D$10,Basic_Setup!H60,0)</f>
        <v>Nutrition-sensitive</v>
      </c>
      <c r="I46" s="67">
        <f t="shared" si="11"/>
        <v>0</v>
      </c>
      <c r="J46" s="61"/>
      <c r="K46" s="61"/>
      <c r="L46" s="61"/>
      <c r="M46" s="61"/>
      <c r="N46" s="61"/>
    </row>
    <row r="47" spans="6:14" ht="12" x14ac:dyDescent="0.2">
      <c r="F47" s="447"/>
      <c r="G47" s="41" t="str">
        <f>STRAT5_IND4</f>
        <v>Objetivo estratégico 5 Indicador 4</v>
      </c>
      <c r="H47" s="260" t="str">
        <f ca="1">OFFSET(Variables_Lu!$D$10,Basic_Setup!H61,0)</f>
        <v>Nutrition-specific</v>
      </c>
      <c r="I47" s="67">
        <f t="shared" si="11"/>
        <v>0</v>
      </c>
      <c r="J47" s="61"/>
      <c r="K47" s="61"/>
      <c r="L47" s="61"/>
      <c r="M47" s="61"/>
      <c r="N47" s="61"/>
    </row>
    <row r="48" spans="6:14" ht="12" x14ac:dyDescent="0.2">
      <c r="F48" s="448"/>
      <c r="G48" s="41" t="str">
        <f>STRAT5_IND5</f>
        <v>Objetivo estratégico 5 Indicador 5</v>
      </c>
      <c r="H48" s="260" t="str">
        <f ca="1">OFFSET(Variables_Lu!$D$10,Basic_Setup!H62,0)</f>
        <v>Nutrition-specific</v>
      </c>
      <c r="I48" s="67">
        <f t="shared" si="11"/>
        <v>0</v>
      </c>
      <c r="J48" s="61"/>
      <c r="K48" s="61"/>
      <c r="L48" s="61"/>
      <c r="M48" s="61"/>
      <c r="N48" s="61"/>
    </row>
    <row r="49" spans="6:14" ht="12" x14ac:dyDescent="0.2">
      <c r="H49" s="152" t="s">
        <v>111</v>
      </c>
      <c r="I49" s="250">
        <f>SUM(I44:I48)</f>
        <v>0</v>
      </c>
      <c r="J49" s="64">
        <f>SUM(J44:J48)</f>
        <v>0</v>
      </c>
      <c r="K49" s="64">
        <f t="shared" ref="K49:N49" si="12">SUM(K44:K48)</f>
        <v>0</v>
      </c>
      <c r="L49" s="64">
        <f t="shared" si="12"/>
        <v>0</v>
      </c>
      <c r="M49" s="64">
        <f t="shared" si="12"/>
        <v>0</v>
      </c>
      <c r="N49" s="64">
        <f t="shared" si="12"/>
        <v>0</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67">
        <f>SUM(J50:N50)</f>
        <v>0</v>
      </c>
      <c r="J50" s="61"/>
      <c r="K50" s="61"/>
      <c r="L50" s="61"/>
      <c r="M50" s="61"/>
      <c r="N50" s="61"/>
    </row>
    <row r="51" spans="6:14" ht="12" x14ac:dyDescent="0.2">
      <c r="F51" s="447"/>
      <c r="G51" s="42" t="str">
        <f>STRAT6_IND2</f>
        <v>Objetivo estratégico 6 Indicador 2</v>
      </c>
      <c r="H51" s="260" t="str">
        <f ca="1">OFFSET(Variables_Lu!$D$10,Basic_Setup!H65,0)</f>
        <v>Nutrition-specific</v>
      </c>
      <c r="I51" s="67">
        <f>SUM(J51:N51)</f>
        <v>0</v>
      </c>
      <c r="J51" s="61"/>
      <c r="K51" s="61"/>
      <c r="L51" s="61"/>
      <c r="M51" s="61"/>
      <c r="N51" s="61"/>
    </row>
    <row r="52" spans="6:14" ht="12" x14ac:dyDescent="0.2">
      <c r="F52" s="447"/>
      <c r="G52" s="42" t="str">
        <f>STRAT6_IND3</f>
        <v>Objetivo estratégico 6 Indicador 3</v>
      </c>
      <c r="H52" s="260" t="str">
        <f ca="1">OFFSET(Variables_Lu!$D$10,Basic_Setup!H66,0)</f>
        <v>Nutrition-specific</v>
      </c>
      <c r="I52" s="67">
        <f>SUM(J52:N52)</f>
        <v>0</v>
      </c>
      <c r="J52" s="61"/>
      <c r="K52" s="61"/>
      <c r="L52" s="61"/>
      <c r="M52" s="61"/>
      <c r="N52" s="61"/>
    </row>
    <row r="53" spans="6:14" ht="12" x14ac:dyDescent="0.2">
      <c r="F53" s="447"/>
      <c r="G53" s="41" t="str">
        <f>STRAT6_IND4</f>
        <v>Objetivo estratégico 6 Indicador 4</v>
      </c>
      <c r="H53" s="260" t="str">
        <f ca="1">OFFSET(Variables_Lu!$D$10,Basic_Setup!H67,0)</f>
        <v>Nutrition-specific</v>
      </c>
      <c r="I53" s="67">
        <f>SUM(J53:N53)</f>
        <v>0</v>
      </c>
      <c r="J53" s="61"/>
      <c r="K53" s="61"/>
      <c r="L53" s="61"/>
      <c r="M53" s="61"/>
      <c r="N53" s="61"/>
    </row>
    <row r="54" spans="6:14" ht="12" x14ac:dyDescent="0.2">
      <c r="F54" s="448"/>
      <c r="G54" s="41" t="str">
        <f>STRAT6_IND5</f>
        <v>Objetivo estratégico 6 Indicador 5</v>
      </c>
      <c r="H54" s="260" t="str">
        <f ca="1">OFFSET(Variables_Lu!$D$10,Basic_Setup!H68,0)</f>
        <v>Nutrition-specific</v>
      </c>
      <c r="I54" s="67">
        <f>SUM(J54:N54)</f>
        <v>0</v>
      </c>
      <c r="J54" s="61"/>
      <c r="K54" s="61"/>
      <c r="L54" s="61"/>
      <c r="M54" s="61"/>
      <c r="N54" s="61"/>
    </row>
    <row r="55" spans="6:14" ht="12" x14ac:dyDescent="0.2">
      <c r="H55" s="152" t="s">
        <v>159</v>
      </c>
      <c r="I55" s="250">
        <f t="shared" ref="I55" si="13">SUM(I50:I54)</f>
        <v>0</v>
      </c>
      <c r="J55" s="64">
        <f t="shared" ref="J55:N55" si="14">SUM(J50:J54)</f>
        <v>0</v>
      </c>
      <c r="K55" s="64">
        <f t="shared" si="14"/>
        <v>0</v>
      </c>
      <c r="L55" s="64">
        <f t="shared" si="14"/>
        <v>0</v>
      </c>
      <c r="M55" s="64">
        <f t="shared" si="14"/>
        <v>0</v>
      </c>
      <c r="N55" s="64">
        <f t="shared" si="14"/>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67">
        <f>SUM(J56:N56)</f>
        <v>0</v>
      </c>
      <c r="J56" s="61"/>
      <c r="K56" s="61"/>
      <c r="L56" s="61"/>
      <c r="M56" s="61"/>
      <c r="N56" s="61"/>
    </row>
    <row r="57" spans="6:14" ht="12" x14ac:dyDescent="0.2">
      <c r="F57" s="447"/>
      <c r="G57" s="42" t="str">
        <f>STRAT7_IND2</f>
        <v>Objetivo estratégico 7 Indicador 2</v>
      </c>
      <c r="H57" s="260" t="str">
        <f ca="1">OFFSET(Variables_Lu!$D$10,Basic_Setup!H71,0)</f>
        <v>Nutrition-specific</v>
      </c>
      <c r="I57" s="67">
        <f>SUM(J57:N57)</f>
        <v>0</v>
      </c>
      <c r="J57" s="61"/>
      <c r="K57" s="61"/>
      <c r="L57" s="61"/>
      <c r="M57" s="61"/>
      <c r="N57" s="61"/>
    </row>
    <row r="58" spans="6:14" ht="12" x14ac:dyDescent="0.2">
      <c r="F58" s="447"/>
      <c r="G58" s="42" t="str">
        <f>STRAT7_IND3</f>
        <v>Objetivo estratégico 7 Indicador 3</v>
      </c>
      <c r="H58" s="260" t="str">
        <f ca="1">OFFSET(Variables_Lu!$D$10,Basic_Setup!H72,0)</f>
        <v>Nutrition-specific</v>
      </c>
      <c r="I58" s="67">
        <f>SUM(J58:N58)</f>
        <v>0</v>
      </c>
      <c r="J58" s="61"/>
      <c r="K58" s="61"/>
      <c r="L58" s="61"/>
      <c r="M58" s="61"/>
      <c r="N58" s="61"/>
    </row>
    <row r="59" spans="6:14" ht="12" x14ac:dyDescent="0.2">
      <c r="F59" s="447"/>
      <c r="G59" s="41" t="str">
        <f>STRAT7_IND4</f>
        <v>Objetivo estratégico 7 Indicador 4</v>
      </c>
      <c r="H59" s="260" t="str">
        <f ca="1">OFFSET(Variables_Lu!$D$10,Basic_Setup!H73,0)</f>
        <v>Nutrition-specific</v>
      </c>
      <c r="I59" s="67">
        <f>SUM(J59:N59)</f>
        <v>0</v>
      </c>
      <c r="J59" s="61"/>
      <c r="K59" s="61"/>
      <c r="L59" s="61"/>
      <c r="M59" s="61"/>
      <c r="N59" s="61"/>
    </row>
    <row r="60" spans="6:14" ht="12" x14ac:dyDescent="0.2">
      <c r="F60" s="448"/>
      <c r="G60" s="41" t="str">
        <f>STRAT7_IND5</f>
        <v>Objetivo estratégico 7 Indicador 5</v>
      </c>
      <c r="H60" s="260" t="str">
        <f ca="1">OFFSET(Variables_Lu!$D$10,Basic_Setup!H74,0)</f>
        <v>Nutrition-specific</v>
      </c>
      <c r="I60" s="67">
        <f>SUM(J60:N60)</f>
        <v>0</v>
      </c>
      <c r="J60" s="61"/>
      <c r="K60" s="61"/>
      <c r="L60" s="61"/>
      <c r="M60" s="61"/>
      <c r="N60" s="61"/>
    </row>
    <row r="61" spans="6:14" ht="12" x14ac:dyDescent="0.2">
      <c r="H61" s="152" t="s">
        <v>160</v>
      </c>
      <c r="I61" s="250">
        <f t="shared" ref="I61" si="15">SUM(I56:I60)</f>
        <v>0</v>
      </c>
      <c r="J61" s="64">
        <f t="shared" ref="J61:N61" si="16">SUM(J56:J60)</f>
        <v>0</v>
      </c>
      <c r="K61" s="64">
        <f t="shared" si="16"/>
        <v>0</v>
      </c>
      <c r="L61" s="64">
        <f t="shared" si="16"/>
        <v>0</v>
      </c>
      <c r="M61" s="64">
        <f t="shared" si="16"/>
        <v>0</v>
      </c>
      <c r="N61" s="64">
        <f t="shared" si="16"/>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67">
        <f>SUM(J62:N62)</f>
        <v>0</v>
      </c>
      <c r="J62" s="61"/>
      <c r="K62" s="61"/>
      <c r="L62" s="61"/>
      <c r="M62" s="61"/>
      <c r="N62" s="61"/>
    </row>
    <row r="63" spans="6:14" ht="12" x14ac:dyDescent="0.2">
      <c r="F63" s="447"/>
      <c r="G63" s="42" t="str">
        <f>STRAT8_IND2</f>
        <v>Objetivo estratégico 8 Indicador 2</v>
      </c>
      <c r="H63" s="260" t="str">
        <f ca="1">OFFSET(Variables_Lu!$D$10,Basic_Setup!H77,0)</f>
        <v>Nutrition-specific</v>
      </c>
      <c r="I63" s="67">
        <f>SUM(J63:N63)</f>
        <v>0</v>
      </c>
      <c r="J63" s="61"/>
      <c r="K63" s="61"/>
      <c r="L63" s="61"/>
      <c r="M63" s="61"/>
      <c r="N63" s="61"/>
    </row>
    <row r="64" spans="6:14" ht="12" x14ac:dyDescent="0.2">
      <c r="F64" s="447"/>
      <c r="G64" s="42" t="str">
        <f>STRAT8_IND3</f>
        <v>Objetivo estratégico 8 Indicador 3</v>
      </c>
      <c r="H64" s="260" t="str">
        <f ca="1">OFFSET(Variables_Lu!$D$10,Basic_Setup!H78,0)</f>
        <v>Nutrition-specific</v>
      </c>
      <c r="I64" s="67">
        <f>SUM(J64:N64)</f>
        <v>0</v>
      </c>
      <c r="J64" s="61"/>
      <c r="K64" s="61"/>
      <c r="L64" s="61"/>
      <c r="M64" s="61"/>
      <c r="N64" s="61"/>
    </row>
    <row r="65" spans="6:14" ht="12" x14ac:dyDescent="0.2">
      <c r="F65" s="447"/>
      <c r="G65" s="41" t="str">
        <f>STRAT8_IND4</f>
        <v>Objetivo estratégico 8 Indicador 4</v>
      </c>
      <c r="H65" s="260" t="str">
        <f ca="1">OFFSET(Variables_Lu!$D$10,Basic_Setup!H79,0)</f>
        <v>Nutrition-specific</v>
      </c>
      <c r="I65" s="67">
        <f>SUM(J65:N65)</f>
        <v>0</v>
      </c>
      <c r="J65" s="61"/>
      <c r="K65" s="61"/>
      <c r="L65" s="61"/>
      <c r="M65" s="61"/>
      <c r="N65" s="61"/>
    </row>
    <row r="66" spans="6:14" ht="12" x14ac:dyDescent="0.2">
      <c r="F66" s="448"/>
      <c r="G66" s="41" t="str">
        <f>STRAT8_IND5</f>
        <v>Objetivo estratégico 8 Indicador 5</v>
      </c>
      <c r="H66" s="260" t="str">
        <f ca="1">OFFSET(Variables_Lu!$D$10,Basic_Setup!H80,0)</f>
        <v>Nutrition-specific</v>
      </c>
      <c r="I66" s="67">
        <f>SUM(J66:N66)</f>
        <v>0</v>
      </c>
      <c r="J66" s="61"/>
      <c r="K66" s="61"/>
      <c r="L66" s="61"/>
      <c r="M66" s="61"/>
      <c r="N66" s="61"/>
    </row>
    <row r="67" spans="6:14" ht="12" x14ac:dyDescent="0.2">
      <c r="H67" s="152" t="s">
        <v>161</v>
      </c>
      <c r="I67" s="250">
        <f t="shared" ref="I67" si="17">SUM(I62:I66)</f>
        <v>0</v>
      </c>
      <c r="J67" s="64">
        <f t="shared" ref="J67:N67" si="18">SUM(J62:J66)</f>
        <v>0</v>
      </c>
      <c r="K67" s="64">
        <f t="shared" si="18"/>
        <v>0</v>
      </c>
      <c r="L67" s="64">
        <f t="shared" si="18"/>
        <v>0</v>
      </c>
      <c r="M67" s="64">
        <f t="shared" si="18"/>
        <v>0</v>
      </c>
      <c r="N67" s="64">
        <f t="shared" si="18"/>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67">
        <f>SUM(J68:N68)</f>
        <v>0</v>
      </c>
      <c r="J68" s="61"/>
      <c r="K68" s="61"/>
      <c r="L68" s="61"/>
      <c r="M68" s="61"/>
      <c r="N68" s="61"/>
    </row>
    <row r="69" spans="6:14" ht="12" x14ac:dyDescent="0.2">
      <c r="F69" s="447"/>
      <c r="G69" s="42" t="str">
        <f>STRAT9_IND2</f>
        <v>Objetivo estratégico 9 Indicador 2</v>
      </c>
      <c r="H69" s="260" t="str">
        <f ca="1">OFFSET(Variables_Lu!$D$10,Basic_Setup!H83,0)</f>
        <v>Nutrition-specific</v>
      </c>
      <c r="I69" s="67">
        <f>SUM(J69:N69)</f>
        <v>0</v>
      </c>
      <c r="J69" s="61"/>
      <c r="K69" s="61"/>
      <c r="L69" s="61"/>
      <c r="M69" s="61"/>
      <c r="N69" s="61"/>
    </row>
    <row r="70" spans="6:14" ht="12" x14ac:dyDescent="0.2">
      <c r="F70" s="447"/>
      <c r="G70" s="42" t="str">
        <f>STRAT9_IND3</f>
        <v>Objetivo estratégico 9 Indicador 3</v>
      </c>
      <c r="H70" s="260" t="str">
        <f ca="1">OFFSET(Variables_Lu!$D$10,Basic_Setup!H84,0)</f>
        <v>Nutrition-specific</v>
      </c>
      <c r="I70" s="67">
        <f>SUM(J70:N70)</f>
        <v>0</v>
      </c>
      <c r="J70" s="61"/>
      <c r="K70" s="61"/>
      <c r="L70" s="61"/>
      <c r="M70" s="61"/>
      <c r="N70" s="61"/>
    </row>
    <row r="71" spans="6:14" ht="12" x14ac:dyDescent="0.2">
      <c r="F71" s="447"/>
      <c r="G71" s="41" t="str">
        <f>STRAT9_IND4</f>
        <v>Objetivo estratégico 9 Indicador 4</v>
      </c>
      <c r="H71" s="260" t="str">
        <f ca="1">OFFSET(Variables_Lu!$D$10,Basic_Setup!H85,0)</f>
        <v>Nutrition-specific</v>
      </c>
      <c r="I71" s="67">
        <f>SUM(J71:N71)</f>
        <v>0</v>
      </c>
      <c r="J71" s="61"/>
      <c r="K71" s="61"/>
      <c r="L71" s="61"/>
      <c r="M71" s="61"/>
      <c r="N71" s="61"/>
    </row>
    <row r="72" spans="6:14" ht="12" x14ac:dyDescent="0.2">
      <c r="F72" s="448"/>
      <c r="G72" s="41" t="str">
        <f>STRAT9_IND5</f>
        <v>Objetivo estratégico 9 Indicador 5</v>
      </c>
      <c r="H72" s="260" t="str">
        <f ca="1">OFFSET(Variables_Lu!$D$10,Basic_Setup!H86,0)</f>
        <v>Nutrition-specific</v>
      </c>
      <c r="I72" s="67">
        <f>SUM(J72:N72)</f>
        <v>0</v>
      </c>
      <c r="J72" s="61"/>
      <c r="K72" s="61"/>
      <c r="L72" s="61"/>
      <c r="M72" s="61"/>
      <c r="N72" s="61"/>
    </row>
    <row r="73" spans="6:14" ht="12" x14ac:dyDescent="0.2">
      <c r="H73" s="152" t="s">
        <v>162</v>
      </c>
      <c r="I73" s="250">
        <f t="shared" ref="I73" si="19">SUM(I68:I72)</f>
        <v>0</v>
      </c>
      <c r="J73" s="64">
        <f t="shared" ref="J73:N73" si="20">SUM(J68:J72)</f>
        <v>0</v>
      </c>
      <c r="K73" s="64">
        <f t="shared" si="20"/>
        <v>0</v>
      </c>
      <c r="L73" s="64">
        <f t="shared" si="20"/>
        <v>0</v>
      </c>
      <c r="M73" s="64">
        <f t="shared" si="20"/>
        <v>0</v>
      </c>
      <c r="N73" s="64">
        <f t="shared" si="20"/>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67">
        <f>SUM(J74:N74)</f>
        <v>0</v>
      </c>
      <c r="J74" s="61"/>
      <c r="K74" s="61"/>
      <c r="L74" s="61"/>
      <c r="M74" s="61"/>
      <c r="N74" s="61"/>
    </row>
    <row r="75" spans="6:14" ht="12" x14ac:dyDescent="0.2">
      <c r="F75" s="447"/>
      <c r="G75" s="42" t="str">
        <f>STRAT10_IND2</f>
        <v>Objetivo estratégico 10 Indicador 2</v>
      </c>
      <c r="H75" s="260" t="str">
        <f ca="1">OFFSET(Variables_Lu!$D$10,Basic_Setup!H89,0)</f>
        <v>Nutrition-specific</v>
      </c>
      <c r="I75" s="67">
        <f>SUM(J75:N75)</f>
        <v>0</v>
      </c>
      <c r="J75" s="61"/>
      <c r="K75" s="61"/>
      <c r="L75" s="61"/>
      <c r="M75" s="61"/>
      <c r="N75" s="61"/>
    </row>
    <row r="76" spans="6:14" ht="12" x14ac:dyDescent="0.2">
      <c r="F76" s="447"/>
      <c r="G76" s="42" t="str">
        <f>STRAT10_IND3</f>
        <v>Objetivo estratégico 10 Indicador 3</v>
      </c>
      <c r="H76" s="260" t="str">
        <f ca="1">OFFSET(Variables_Lu!$D$10,Basic_Setup!H90,0)</f>
        <v>Nutrition-specific</v>
      </c>
      <c r="I76" s="67">
        <f>SUM(J76:N76)</f>
        <v>0</v>
      </c>
      <c r="J76" s="61"/>
      <c r="K76" s="61"/>
      <c r="L76" s="61"/>
      <c r="M76" s="61"/>
      <c r="N76" s="61"/>
    </row>
    <row r="77" spans="6:14" ht="11.25" customHeight="1" x14ac:dyDescent="0.2">
      <c r="F77" s="447"/>
      <c r="G77" s="41" t="str">
        <f>STRAT10_IND4</f>
        <v>Objetivo estratégico 10 Indicador 4</v>
      </c>
      <c r="H77" s="260" t="str">
        <f ca="1">OFFSET(Variables_Lu!$D$10,Basic_Setup!H91,0)</f>
        <v>Nutrition-specific</v>
      </c>
      <c r="I77" s="67">
        <f>SUM(J77:N77)</f>
        <v>0</v>
      </c>
      <c r="J77" s="61"/>
      <c r="K77" s="61"/>
      <c r="L77" s="61"/>
      <c r="M77" s="61"/>
      <c r="N77" s="61"/>
    </row>
    <row r="78" spans="6:14" ht="11.25" customHeight="1" x14ac:dyDescent="0.2">
      <c r="F78" s="448"/>
      <c r="G78" s="41" t="str">
        <f>STRAT10_IND5</f>
        <v>Objetivo estratégico 10 Indicador 5</v>
      </c>
      <c r="H78" s="260" t="str">
        <f ca="1">OFFSET(Variables_Lu!$D$10,Basic_Setup!H92,0)</f>
        <v>Nutrition-specific</v>
      </c>
      <c r="I78" s="67">
        <f>SUM(J78:N78)</f>
        <v>0</v>
      </c>
      <c r="J78" s="61"/>
      <c r="K78" s="61"/>
      <c r="L78" s="61"/>
      <c r="M78" s="61"/>
      <c r="N78" s="61"/>
    </row>
    <row r="79" spans="6:14" ht="11.25" customHeight="1" x14ac:dyDescent="0.2">
      <c r="H79" s="152" t="s">
        <v>163</v>
      </c>
      <c r="I79" s="250">
        <f t="shared" ref="I79" si="21">SUM(I74:I78)</f>
        <v>0</v>
      </c>
      <c r="J79" s="64">
        <f t="shared" ref="J79:N79" si="22">SUM(J74:J78)</f>
        <v>0</v>
      </c>
      <c r="K79" s="64">
        <f t="shared" si="22"/>
        <v>0</v>
      </c>
      <c r="L79" s="64">
        <f t="shared" si="22"/>
        <v>0</v>
      </c>
      <c r="M79" s="64">
        <f t="shared" si="22"/>
        <v>0</v>
      </c>
      <c r="N79" s="64">
        <f t="shared" si="22"/>
        <v>0</v>
      </c>
    </row>
    <row r="80" spans="6:14" ht="11.25" customHeight="1" x14ac:dyDescent="0.2"/>
    <row r="81" spans="6:14" ht="12.6" thickBot="1" x14ac:dyDescent="0.25">
      <c r="H81" s="149" t="str">
        <f>"TOTAL - "&amp;$F$12</f>
        <v>TOTAL - Organización Mundial de la Salud</v>
      </c>
      <c r="I81" s="65">
        <f t="shared" ref="I81:N81" si="23">SUM(I25,I31,I37,I43,I49,I55,I61,I67,I73,I79)</f>
        <v>100000</v>
      </c>
      <c r="J81" s="65">
        <f t="shared" si="23"/>
        <v>20000</v>
      </c>
      <c r="K81" s="65">
        <f t="shared" si="23"/>
        <v>35000</v>
      </c>
      <c r="L81" s="65">
        <f t="shared" si="23"/>
        <v>35000</v>
      </c>
      <c r="M81" s="65">
        <f t="shared" si="23"/>
        <v>10000</v>
      </c>
      <c r="N81" s="65">
        <f t="shared" si="23"/>
        <v>0</v>
      </c>
    </row>
    <row r="82" spans="6:14" ht="12" x14ac:dyDescent="0.2">
      <c r="I82" s="149"/>
    </row>
    <row r="83" spans="6:14" ht="12" x14ac:dyDescent="0.2">
      <c r="F83" s="44" t="s">
        <v>171</v>
      </c>
    </row>
    <row r="84" spans="6:14" x14ac:dyDescent="0.2">
      <c r="F84" s="49" t="s">
        <v>174</v>
      </c>
    </row>
    <row r="85" spans="6:14" x14ac:dyDescent="0.2">
      <c r="F85" s="49" t="s">
        <v>175</v>
      </c>
    </row>
    <row r="86" spans="6:14" x14ac:dyDescent="0.2">
      <c r="F86" s="49"/>
    </row>
    <row r="87" spans="6:14" x14ac:dyDescent="0.2">
      <c r="F87" s="49"/>
    </row>
    <row r="90" spans="6:14" ht="12.6" thickBot="1" x14ac:dyDescent="0.25">
      <c r="F90" s="1" t="s">
        <v>411</v>
      </c>
      <c r="G90" s="1" t="s">
        <v>412</v>
      </c>
      <c r="H90" s="406" t="s">
        <v>472</v>
      </c>
      <c r="I90" s="409" t="s">
        <v>106</v>
      </c>
      <c r="J90" s="54" t="str">
        <f>CURR_LCU_ABBR</f>
        <v>GOZ</v>
      </c>
      <c r="K90" s="54" t="str">
        <f>CURR_LCU_ABBR</f>
        <v>GOZ</v>
      </c>
      <c r="L90" s="54" t="str">
        <f>CURR_LCU_ABBR</f>
        <v>GOZ</v>
      </c>
      <c r="M90" s="54" t="str">
        <f>CURR_LCU_ABBR</f>
        <v>GOZ</v>
      </c>
      <c r="N90" s="54" t="str">
        <f>CURR_LCU_ABBR</f>
        <v>GOZ</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248">
        <f t="shared" ref="I91:N101" si="24">I20*EXCHANGE_RATE</f>
        <v>45000000</v>
      </c>
      <c r="J91" s="220">
        <f t="shared" si="24"/>
        <v>9000000</v>
      </c>
      <c r="K91" s="220">
        <f t="shared" si="24"/>
        <v>9000000</v>
      </c>
      <c r="L91" s="220">
        <f t="shared" si="24"/>
        <v>18000000</v>
      </c>
      <c r="M91" s="220">
        <f t="shared" si="24"/>
        <v>9000000</v>
      </c>
      <c r="N91" s="220">
        <f t="shared" si="24"/>
        <v>0</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248">
        <f t="shared" si="24"/>
        <v>0</v>
      </c>
      <c r="J92" s="220">
        <f t="shared" si="24"/>
        <v>0</v>
      </c>
      <c r="K92" s="220">
        <f t="shared" si="24"/>
        <v>0</v>
      </c>
      <c r="L92" s="220">
        <f t="shared" si="24"/>
        <v>0</v>
      </c>
      <c r="M92" s="220">
        <f t="shared" si="24"/>
        <v>0</v>
      </c>
      <c r="N92" s="220">
        <f t="shared" si="24"/>
        <v>0</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248">
        <f t="shared" si="24"/>
        <v>0</v>
      </c>
      <c r="J93" s="220">
        <f t="shared" si="24"/>
        <v>0</v>
      </c>
      <c r="K93" s="220">
        <f t="shared" si="24"/>
        <v>0</v>
      </c>
      <c r="L93" s="220">
        <f t="shared" si="24"/>
        <v>0</v>
      </c>
      <c r="M93" s="220">
        <f t="shared" si="24"/>
        <v>0</v>
      </c>
      <c r="N93" s="220">
        <f t="shared" si="24"/>
        <v>0</v>
      </c>
    </row>
    <row r="94" spans="6:14" ht="22.8" x14ac:dyDescent="0.2">
      <c r="F94" s="444"/>
      <c r="G94" s="41" t="str">
        <f>STRAT1_IND4</f>
        <v>El marco legislativo y reglamentario de la nutrición se ha fortalecido y está en funcionamiento.</v>
      </c>
      <c r="H94" s="268" t="str">
        <f ca="1">OFFSET(Variables_Lu!$D$10,Basic_Setup!H37,0)</f>
        <v>Governance</v>
      </c>
      <c r="I94" s="248">
        <f t="shared" si="24"/>
        <v>0</v>
      </c>
      <c r="J94" s="220">
        <f t="shared" si="24"/>
        <v>0</v>
      </c>
      <c r="K94" s="220">
        <f t="shared" si="24"/>
        <v>0</v>
      </c>
      <c r="L94" s="220">
        <f t="shared" si="24"/>
        <v>0</v>
      </c>
      <c r="M94" s="220">
        <f t="shared" si="24"/>
        <v>0</v>
      </c>
      <c r="N94" s="220">
        <f t="shared" si="24"/>
        <v>0</v>
      </c>
    </row>
    <row r="95" spans="6:14" ht="12.6" thickBot="1" x14ac:dyDescent="0.25">
      <c r="F95" s="445"/>
      <c r="G95" s="275" t="str">
        <f>STRAT1_IND5</f>
        <v>Objetivo estratégico 1 Indicador 5</v>
      </c>
      <c r="H95" s="270" t="str">
        <f ca="1">OFFSET(Variables_Lu!$D$10,Basic_Setup!H38,0)</f>
        <v>Governance</v>
      </c>
      <c r="I95" s="248">
        <f t="shared" si="24"/>
        <v>0</v>
      </c>
      <c r="J95" s="232">
        <f t="shared" si="24"/>
        <v>0</v>
      </c>
      <c r="K95" s="232">
        <f t="shared" si="24"/>
        <v>0</v>
      </c>
      <c r="L95" s="232">
        <f t="shared" si="24"/>
        <v>0</v>
      </c>
      <c r="M95" s="232">
        <f t="shared" si="24"/>
        <v>0</v>
      </c>
      <c r="N95" s="232">
        <f t="shared" si="24"/>
        <v>0</v>
      </c>
    </row>
    <row r="96" spans="6:14" ht="12.6" thickBot="1" x14ac:dyDescent="0.25">
      <c r="F96" s="38"/>
      <c r="G96" s="38"/>
      <c r="H96" s="152" t="s">
        <v>107</v>
      </c>
      <c r="I96" s="249">
        <f t="shared" si="24"/>
        <v>45000000</v>
      </c>
      <c r="J96" s="221">
        <f t="shared" si="24"/>
        <v>9000000</v>
      </c>
      <c r="K96" s="221">
        <f t="shared" si="24"/>
        <v>9000000</v>
      </c>
      <c r="L96" s="221">
        <f t="shared" si="24"/>
        <v>18000000</v>
      </c>
      <c r="M96" s="221">
        <f t="shared" si="24"/>
        <v>9000000</v>
      </c>
      <c r="N96" s="221">
        <f t="shared" si="24"/>
        <v>0</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248">
        <f t="shared" si="24"/>
        <v>54000000</v>
      </c>
      <c r="J97" s="220">
        <f t="shared" si="24"/>
        <v>9000000</v>
      </c>
      <c r="K97" s="220">
        <f t="shared" si="24"/>
        <v>18000000</v>
      </c>
      <c r="L97" s="220">
        <f t="shared" si="24"/>
        <v>27000000</v>
      </c>
      <c r="M97" s="220">
        <f t="shared" si="24"/>
        <v>0</v>
      </c>
      <c r="N97" s="220">
        <f t="shared" si="24"/>
        <v>0</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248">
        <f t="shared" si="24"/>
        <v>81000000</v>
      </c>
      <c r="J98" s="220">
        <f t="shared" si="24"/>
        <v>18000000</v>
      </c>
      <c r="K98" s="220">
        <f t="shared" si="24"/>
        <v>36000000</v>
      </c>
      <c r="L98" s="220">
        <f t="shared" si="24"/>
        <v>18000000</v>
      </c>
      <c r="M98" s="220">
        <f t="shared" si="24"/>
        <v>9000000</v>
      </c>
      <c r="N98" s="220">
        <f t="shared" si="24"/>
        <v>0</v>
      </c>
    </row>
    <row r="99" spans="6:14" ht="22.8" x14ac:dyDescent="0.2">
      <c r="F99" s="444"/>
      <c r="G99" s="42" t="str">
        <f>STRAT2_IND3</f>
        <v>Se refuerzan las intervenciones comunitarias en materia de nutrición.</v>
      </c>
      <c r="H99" s="268" t="str">
        <f ca="1">OFFSET(Variables_Lu!$D$10,Basic_Setup!H42,0)</f>
        <v>Nutrition-specific</v>
      </c>
      <c r="I99" s="248">
        <f t="shared" si="24"/>
        <v>0</v>
      </c>
      <c r="J99" s="220">
        <f t="shared" si="24"/>
        <v>0</v>
      </c>
      <c r="K99" s="220">
        <f t="shared" si="24"/>
        <v>0</v>
      </c>
      <c r="L99" s="220">
        <f t="shared" si="24"/>
        <v>0</v>
      </c>
      <c r="M99" s="220">
        <f t="shared" si="24"/>
        <v>0</v>
      </c>
      <c r="N99" s="220">
        <f t="shared" si="24"/>
        <v>0</v>
      </c>
    </row>
    <row r="100" spans="6:14" ht="12" x14ac:dyDescent="0.2">
      <c r="F100" s="444"/>
      <c r="G100" s="41" t="str">
        <f>STRAT2_IND4</f>
        <v>Objetivo estratégico 2 Indicador 4</v>
      </c>
      <c r="H100" s="268" t="str">
        <f ca="1">OFFSET(Variables_Lu!$D$10,Basic_Setup!H43,0)</f>
        <v>Nutrition-specific</v>
      </c>
      <c r="I100" s="248">
        <f t="shared" si="24"/>
        <v>0</v>
      </c>
      <c r="J100" s="220">
        <f t="shared" si="24"/>
        <v>0</v>
      </c>
      <c r="K100" s="220">
        <f t="shared" si="24"/>
        <v>0</v>
      </c>
      <c r="L100" s="220">
        <f t="shared" si="24"/>
        <v>0</v>
      </c>
      <c r="M100" s="220">
        <f t="shared" si="24"/>
        <v>0</v>
      </c>
      <c r="N100" s="220">
        <f t="shared" si="24"/>
        <v>0</v>
      </c>
    </row>
    <row r="101" spans="6:14" ht="12.6" thickBot="1" x14ac:dyDescent="0.25">
      <c r="F101" s="445"/>
      <c r="G101" s="275" t="str">
        <f>STRAT2_IND5</f>
        <v>Objetivo estratégico 2 Indicador 5</v>
      </c>
      <c r="H101" s="270" t="str">
        <f ca="1">OFFSET(Variables_Lu!$D$10,Basic_Setup!H44,0)</f>
        <v>Nutrition-specific</v>
      </c>
      <c r="I101" s="248">
        <f t="shared" si="24"/>
        <v>0</v>
      </c>
      <c r="J101" s="232">
        <f t="shared" si="24"/>
        <v>0</v>
      </c>
      <c r="K101" s="232">
        <f t="shared" si="24"/>
        <v>0</v>
      </c>
      <c r="L101" s="232">
        <f t="shared" si="24"/>
        <v>0</v>
      </c>
      <c r="M101" s="232">
        <f t="shared" si="24"/>
        <v>0</v>
      </c>
      <c r="N101" s="232">
        <f t="shared" si="24"/>
        <v>0</v>
      </c>
    </row>
    <row r="102" spans="6:14" ht="12.6" thickBot="1" x14ac:dyDescent="0.25">
      <c r="F102" s="38"/>
      <c r="G102" s="38"/>
      <c r="H102" s="152" t="s">
        <v>108</v>
      </c>
      <c r="I102" s="249">
        <f t="shared" ref="I102:I133" si="25">I31*EXCHANGE_RATE</f>
        <v>135000000</v>
      </c>
      <c r="J102" s="247">
        <f>SUM(J97:J101)</f>
        <v>27000000</v>
      </c>
      <c r="K102" s="247">
        <f>SUM(K97:K101)</f>
        <v>54000000</v>
      </c>
      <c r="L102" s="247">
        <f>SUM(L97:L101)</f>
        <v>45000000</v>
      </c>
      <c r="M102" s="247">
        <f>SUM(M97:M101)</f>
        <v>9000000</v>
      </c>
      <c r="N102" s="247">
        <f>SUM(N97:N101)</f>
        <v>0</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248">
        <f t="shared" si="25"/>
        <v>0</v>
      </c>
      <c r="J103" s="220">
        <f t="shared" ref="J103:N107" si="26">J32*EXCHANGE_RATE</f>
        <v>0</v>
      </c>
      <c r="K103" s="220">
        <f t="shared" si="26"/>
        <v>0</v>
      </c>
      <c r="L103" s="220">
        <f t="shared" si="26"/>
        <v>0</v>
      </c>
      <c r="M103" s="220">
        <f t="shared" si="26"/>
        <v>0</v>
      </c>
      <c r="N103" s="220">
        <f t="shared" si="26"/>
        <v>0</v>
      </c>
    </row>
    <row r="104" spans="6:14" ht="22.8" x14ac:dyDescent="0.2">
      <c r="F104" s="444"/>
      <c r="G104" s="42" t="str">
        <f>STRAT3_IND2</f>
        <v xml:space="preserve"> La seguridad alimentaria está garantizada para toda la nación.</v>
      </c>
      <c r="H104" s="268" t="str">
        <f ca="1">OFFSET(Variables_Lu!$D$10,Basic_Setup!H47,0)</f>
        <v>Nutrition-sensitive</v>
      </c>
      <c r="I104" s="248">
        <f t="shared" si="25"/>
        <v>0</v>
      </c>
      <c r="J104" s="220">
        <f t="shared" si="26"/>
        <v>0</v>
      </c>
      <c r="K104" s="220">
        <f t="shared" si="26"/>
        <v>0</v>
      </c>
      <c r="L104" s="220">
        <f t="shared" si="26"/>
        <v>0</v>
      </c>
      <c r="M104" s="220">
        <f t="shared" si="26"/>
        <v>0</v>
      </c>
      <c r="N104" s="220">
        <f t="shared" si="26"/>
        <v>0</v>
      </c>
    </row>
    <row r="105" spans="6:14" ht="12" x14ac:dyDescent="0.2">
      <c r="F105" s="444"/>
      <c r="G105" s="42" t="str">
        <f>STRAT3_IND3</f>
        <v>Objetivo estratégico 3 Indicador 3</v>
      </c>
      <c r="H105" s="268" t="str">
        <f ca="1">OFFSET(Variables_Lu!$D$10,Basic_Setup!H48,0)</f>
        <v>Nutrition-specific</v>
      </c>
      <c r="I105" s="248">
        <f t="shared" si="25"/>
        <v>0</v>
      </c>
      <c r="J105" s="220">
        <f t="shared" si="26"/>
        <v>0</v>
      </c>
      <c r="K105" s="220">
        <f t="shared" si="26"/>
        <v>0</v>
      </c>
      <c r="L105" s="220">
        <f t="shared" si="26"/>
        <v>0</v>
      </c>
      <c r="M105" s="220">
        <f t="shared" si="26"/>
        <v>0</v>
      </c>
      <c r="N105" s="220">
        <f t="shared" si="26"/>
        <v>0</v>
      </c>
    </row>
    <row r="106" spans="6:14" ht="12" x14ac:dyDescent="0.2">
      <c r="F106" s="444"/>
      <c r="G106" s="41" t="str">
        <f>STRAT3_IND4</f>
        <v>Objetivo estratégico 3 Indicador 4</v>
      </c>
      <c r="H106" s="268" t="str">
        <f ca="1">OFFSET(Variables_Lu!$D$10,Basic_Setup!H49,0)</f>
        <v>Nutrition-specific</v>
      </c>
      <c r="I106" s="248">
        <f t="shared" si="25"/>
        <v>0</v>
      </c>
      <c r="J106" s="220">
        <f t="shared" si="26"/>
        <v>0</v>
      </c>
      <c r="K106" s="220">
        <f t="shared" si="26"/>
        <v>0</v>
      </c>
      <c r="L106" s="220">
        <f t="shared" si="26"/>
        <v>0</v>
      </c>
      <c r="M106" s="220">
        <f t="shared" si="26"/>
        <v>0</v>
      </c>
      <c r="N106" s="220">
        <f t="shared" si="26"/>
        <v>0</v>
      </c>
    </row>
    <row r="107" spans="6:14" ht="12.6" thickBot="1" x14ac:dyDescent="0.25">
      <c r="F107" s="445"/>
      <c r="G107" s="275" t="str">
        <f>STRAT3_IND5</f>
        <v>Objetivo estratégico 3 Indicador 5</v>
      </c>
      <c r="H107" s="270" t="str">
        <f ca="1">OFFSET(Variables_Lu!$D$10,Basic_Setup!H50,0)</f>
        <v>Nutrition-specific</v>
      </c>
      <c r="I107" s="248">
        <f t="shared" si="25"/>
        <v>0</v>
      </c>
      <c r="J107" s="232">
        <f t="shared" si="26"/>
        <v>0</v>
      </c>
      <c r="K107" s="232">
        <f t="shared" si="26"/>
        <v>0</v>
      </c>
      <c r="L107" s="232">
        <f t="shared" si="26"/>
        <v>0</v>
      </c>
      <c r="M107" s="232">
        <f t="shared" si="26"/>
        <v>0</v>
      </c>
      <c r="N107" s="232">
        <f t="shared" si="26"/>
        <v>0</v>
      </c>
    </row>
    <row r="108" spans="6:14" ht="12.6" thickBot="1" x14ac:dyDescent="0.25">
      <c r="H108" s="152" t="s">
        <v>109</v>
      </c>
      <c r="I108" s="249">
        <f t="shared" si="25"/>
        <v>0</v>
      </c>
      <c r="J108" s="247">
        <f>SUM(J103:J107)</f>
        <v>0</v>
      </c>
      <c r="K108" s="247">
        <f t="shared" ref="K108:N108" si="27">SUM(K103:K107)</f>
        <v>0</v>
      </c>
      <c r="L108" s="247">
        <f t="shared" si="27"/>
        <v>0</v>
      </c>
      <c r="M108" s="247">
        <f t="shared" si="27"/>
        <v>0</v>
      </c>
      <c r="N108" s="247">
        <f t="shared" si="27"/>
        <v>0</v>
      </c>
    </row>
    <row r="109" spans="6:14" ht="22.95"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248">
        <f t="shared" si="25"/>
        <v>0</v>
      </c>
      <c r="J109" s="220">
        <f t="shared" ref="J109:N113" si="28">J38*EXCHANGE_RATE</f>
        <v>0</v>
      </c>
      <c r="K109" s="220">
        <f t="shared" si="28"/>
        <v>0</v>
      </c>
      <c r="L109" s="220">
        <f t="shared" si="28"/>
        <v>0</v>
      </c>
      <c r="M109" s="220">
        <f t="shared" si="28"/>
        <v>0</v>
      </c>
      <c r="N109" s="220">
        <f t="shared" si="28"/>
        <v>0</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248">
        <f t="shared" si="25"/>
        <v>0</v>
      </c>
      <c r="J110" s="220">
        <f t="shared" si="28"/>
        <v>0</v>
      </c>
      <c r="K110" s="220">
        <f t="shared" si="28"/>
        <v>0</v>
      </c>
      <c r="L110" s="220">
        <f t="shared" si="28"/>
        <v>0</v>
      </c>
      <c r="M110" s="220">
        <f t="shared" si="28"/>
        <v>0</v>
      </c>
      <c r="N110" s="220">
        <f t="shared" si="28"/>
        <v>0</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248">
        <f t="shared" si="25"/>
        <v>0</v>
      </c>
      <c r="J111" s="220">
        <f t="shared" si="28"/>
        <v>0</v>
      </c>
      <c r="K111" s="220">
        <f t="shared" si="28"/>
        <v>0</v>
      </c>
      <c r="L111" s="220">
        <f t="shared" si="28"/>
        <v>0</v>
      </c>
      <c r="M111" s="220">
        <f t="shared" si="28"/>
        <v>0</v>
      </c>
      <c r="N111" s="220">
        <f t="shared" si="28"/>
        <v>0</v>
      </c>
    </row>
    <row r="112" spans="6:14" ht="12" x14ac:dyDescent="0.2">
      <c r="F112" s="444"/>
      <c r="G112" s="41" t="str">
        <f>STRAT4_IND4</f>
        <v>Objetivo estratégico 4 Indicador 4</v>
      </c>
      <c r="H112" s="268" t="str">
        <f ca="1">OFFSET(Variables_Lu!$D$10,Basic_Setup!H55,0)</f>
        <v>Nutrition-specific</v>
      </c>
      <c r="I112" s="248">
        <f t="shared" si="25"/>
        <v>0</v>
      </c>
      <c r="J112" s="220">
        <f t="shared" si="28"/>
        <v>0</v>
      </c>
      <c r="K112" s="220">
        <f t="shared" si="28"/>
        <v>0</v>
      </c>
      <c r="L112" s="220">
        <f t="shared" si="28"/>
        <v>0</v>
      </c>
      <c r="M112" s="220">
        <f t="shared" si="28"/>
        <v>0</v>
      </c>
      <c r="N112" s="220">
        <f t="shared" si="28"/>
        <v>0</v>
      </c>
    </row>
    <row r="113" spans="6:14" ht="12.6" thickBot="1" x14ac:dyDescent="0.25">
      <c r="F113" s="445"/>
      <c r="G113" s="275" t="str">
        <f>STRAT4_IND5</f>
        <v>Objetivo estratégico 4 Indicador 5</v>
      </c>
      <c r="H113" s="270" t="str">
        <f ca="1">OFFSET(Variables_Lu!$D$10,Basic_Setup!H56,0)</f>
        <v>Nutrition-specific</v>
      </c>
      <c r="I113" s="248">
        <f t="shared" si="25"/>
        <v>0</v>
      </c>
      <c r="J113" s="232">
        <f t="shared" si="28"/>
        <v>0</v>
      </c>
      <c r="K113" s="232">
        <f t="shared" si="28"/>
        <v>0</v>
      </c>
      <c r="L113" s="232">
        <f t="shared" si="28"/>
        <v>0</v>
      </c>
      <c r="M113" s="232">
        <f t="shared" si="28"/>
        <v>0</v>
      </c>
      <c r="N113" s="232">
        <f t="shared" si="28"/>
        <v>0</v>
      </c>
    </row>
    <row r="114" spans="6:14" ht="12.6" thickBot="1" x14ac:dyDescent="0.25">
      <c r="H114" s="152" t="s">
        <v>110</v>
      </c>
      <c r="I114" s="249">
        <f t="shared" si="25"/>
        <v>0</v>
      </c>
      <c r="J114" s="247">
        <f>SUM(J109:J113)</f>
        <v>0</v>
      </c>
      <c r="K114" s="247">
        <f t="shared" ref="K114:N114" si="29">SUM(K109:K113)</f>
        <v>0</v>
      </c>
      <c r="L114" s="247">
        <f t="shared" si="29"/>
        <v>0</v>
      </c>
      <c r="M114" s="247">
        <f t="shared" si="29"/>
        <v>0</v>
      </c>
      <c r="N114" s="247">
        <f t="shared" si="29"/>
        <v>0</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248">
        <f t="shared" si="25"/>
        <v>0</v>
      </c>
      <c r="J115" s="220">
        <f t="shared" ref="J115:N119" si="30">J44*EXCHANGE_RATE</f>
        <v>0</v>
      </c>
      <c r="K115" s="220">
        <f t="shared" si="30"/>
        <v>0</v>
      </c>
      <c r="L115" s="220">
        <f t="shared" si="30"/>
        <v>0</v>
      </c>
      <c r="M115" s="220">
        <f t="shared" si="30"/>
        <v>0</v>
      </c>
      <c r="N115" s="220">
        <f t="shared" si="30"/>
        <v>0</v>
      </c>
    </row>
    <row r="116" spans="6:14" ht="22.8" x14ac:dyDescent="0.2">
      <c r="F116" s="444"/>
      <c r="G116" s="42" t="str">
        <f>STRAT5_IND2</f>
        <v>Se promueven dietas saludables y estilos de vida saludables para las personas.</v>
      </c>
      <c r="H116" s="268" t="str">
        <f ca="1">OFFSET(Variables_Lu!$D$10,Basic_Setup!H59,0)</f>
        <v>Nutrition-specific</v>
      </c>
      <c r="I116" s="248">
        <f t="shared" si="25"/>
        <v>0</v>
      </c>
      <c r="J116" s="220">
        <f t="shared" si="30"/>
        <v>0</v>
      </c>
      <c r="K116" s="220">
        <f t="shared" si="30"/>
        <v>0</v>
      </c>
      <c r="L116" s="220">
        <f t="shared" si="30"/>
        <v>0</v>
      </c>
      <c r="M116" s="220">
        <f t="shared" si="30"/>
        <v>0</v>
      </c>
      <c r="N116" s="220">
        <f t="shared" si="30"/>
        <v>0</v>
      </c>
    </row>
    <row r="117" spans="6:14" ht="22.8" x14ac:dyDescent="0.2">
      <c r="F117" s="444"/>
      <c r="G117" s="42" t="str">
        <f>STRAT5_IND3</f>
        <v>Se promueven las buenas prácticas WASH a nivel comunitario y doméstico</v>
      </c>
      <c r="H117" s="268" t="str">
        <f ca="1">OFFSET(Variables_Lu!$D$10,Basic_Setup!H60,0)</f>
        <v>Nutrition-sensitive</v>
      </c>
      <c r="I117" s="248">
        <f t="shared" si="25"/>
        <v>0</v>
      </c>
      <c r="J117" s="220">
        <f t="shared" si="30"/>
        <v>0</v>
      </c>
      <c r="K117" s="220">
        <f t="shared" si="30"/>
        <v>0</v>
      </c>
      <c r="L117" s="220">
        <f t="shared" si="30"/>
        <v>0</v>
      </c>
      <c r="M117" s="220">
        <f t="shared" si="30"/>
        <v>0</v>
      </c>
      <c r="N117" s="220">
        <f t="shared" si="30"/>
        <v>0</v>
      </c>
    </row>
    <row r="118" spans="6:14" ht="12" x14ac:dyDescent="0.2">
      <c r="F118" s="444"/>
      <c r="G118" s="41" t="str">
        <f>STRAT5_IND4</f>
        <v>Objetivo estratégico 5 Indicador 4</v>
      </c>
      <c r="H118" s="268" t="str">
        <f ca="1">OFFSET(Variables_Lu!$D$10,Basic_Setup!H61,0)</f>
        <v>Nutrition-specific</v>
      </c>
      <c r="I118" s="248">
        <f t="shared" si="25"/>
        <v>0</v>
      </c>
      <c r="J118" s="220">
        <f t="shared" si="30"/>
        <v>0</v>
      </c>
      <c r="K118" s="220">
        <f t="shared" si="30"/>
        <v>0</v>
      </c>
      <c r="L118" s="220">
        <f t="shared" si="30"/>
        <v>0</v>
      </c>
      <c r="M118" s="220">
        <f t="shared" si="30"/>
        <v>0</v>
      </c>
      <c r="N118" s="220">
        <f t="shared" si="30"/>
        <v>0</v>
      </c>
    </row>
    <row r="119" spans="6:14" ht="12.6" thickBot="1" x14ac:dyDescent="0.25">
      <c r="F119" s="445"/>
      <c r="G119" s="275" t="str">
        <f>STRAT5_IND5</f>
        <v>Objetivo estratégico 5 Indicador 5</v>
      </c>
      <c r="H119" s="270" t="str">
        <f ca="1">OFFSET(Variables_Lu!$D$10,Basic_Setup!H62,0)</f>
        <v>Nutrition-specific</v>
      </c>
      <c r="I119" s="248">
        <f t="shared" si="25"/>
        <v>0</v>
      </c>
      <c r="J119" s="232">
        <f t="shared" si="30"/>
        <v>0</v>
      </c>
      <c r="K119" s="232">
        <f t="shared" si="30"/>
        <v>0</v>
      </c>
      <c r="L119" s="232">
        <f t="shared" si="30"/>
        <v>0</v>
      </c>
      <c r="M119" s="232">
        <f t="shared" si="30"/>
        <v>0</v>
      </c>
      <c r="N119" s="232">
        <f t="shared" si="30"/>
        <v>0</v>
      </c>
    </row>
    <row r="120" spans="6:14" ht="12.6" thickBot="1" x14ac:dyDescent="0.25">
      <c r="H120" s="152" t="s">
        <v>111</v>
      </c>
      <c r="I120" s="249">
        <f t="shared" si="25"/>
        <v>0</v>
      </c>
      <c r="J120" s="247">
        <f>SUM(J115:J119)</f>
        <v>0</v>
      </c>
      <c r="K120" s="247">
        <f t="shared" ref="K120:N120" si="31">SUM(K115:K119)</f>
        <v>0</v>
      </c>
      <c r="L120" s="247">
        <f t="shared" si="31"/>
        <v>0</v>
      </c>
      <c r="M120" s="247">
        <f t="shared" si="31"/>
        <v>0</v>
      </c>
      <c r="N120" s="247">
        <f t="shared" si="31"/>
        <v>0</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248">
        <f t="shared" si="25"/>
        <v>0</v>
      </c>
      <c r="J121" s="220">
        <f t="shared" ref="J121:N125" si="32">J50*EXCHANGE_RATE</f>
        <v>0</v>
      </c>
      <c r="K121" s="220">
        <f t="shared" si="32"/>
        <v>0</v>
      </c>
      <c r="L121" s="220">
        <f t="shared" si="32"/>
        <v>0</v>
      </c>
      <c r="M121" s="220">
        <f t="shared" si="32"/>
        <v>0</v>
      </c>
      <c r="N121" s="220">
        <f t="shared" si="32"/>
        <v>0</v>
      </c>
    </row>
    <row r="122" spans="6:14" ht="12" x14ac:dyDescent="0.2">
      <c r="F122" s="444"/>
      <c r="G122" s="42" t="str">
        <f>STRAT6_IND2</f>
        <v>Objetivo estratégico 6 Indicador 2</v>
      </c>
      <c r="H122" s="268" t="str">
        <f ca="1">OFFSET(Variables_Lu!$D$10,Basic_Setup!H65,0)</f>
        <v>Nutrition-specific</v>
      </c>
      <c r="I122" s="248">
        <f t="shared" si="25"/>
        <v>0</v>
      </c>
      <c r="J122" s="220">
        <f t="shared" si="32"/>
        <v>0</v>
      </c>
      <c r="K122" s="220">
        <f t="shared" si="32"/>
        <v>0</v>
      </c>
      <c r="L122" s="220">
        <f t="shared" si="32"/>
        <v>0</v>
      </c>
      <c r="M122" s="220">
        <f t="shared" si="32"/>
        <v>0</v>
      </c>
      <c r="N122" s="220">
        <f t="shared" si="32"/>
        <v>0</v>
      </c>
    </row>
    <row r="123" spans="6:14" ht="12" x14ac:dyDescent="0.2">
      <c r="F123" s="444"/>
      <c r="G123" s="42" t="str">
        <f>STRAT6_IND3</f>
        <v>Objetivo estratégico 6 Indicador 3</v>
      </c>
      <c r="H123" s="268" t="str">
        <f ca="1">OFFSET(Variables_Lu!$D$10,Basic_Setup!H66,0)</f>
        <v>Nutrition-specific</v>
      </c>
      <c r="I123" s="248">
        <f t="shared" si="25"/>
        <v>0</v>
      </c>
      <c r="J123" s="220">
        <f t="shared" si="32"/>
        <v>0</v>
      </c>
      <c r="K123" s="220">
        <f t="shared" si="32"/>
        <v>0</v>
      </c>
      <c r="L123" s="220">
        <f t="shared" si="32"/>
        <v>0</v>
      </c>
      <c r="M123" s="220">
        <f t="shared" si="32"/>
        <v>0</v>
      </c>
      <c r="N123" s="220">
        <f t="shared" si="32"/>
        <v>0</v>
      </c>
    </row>
    <row r="124" spans="6:14" ht="12" x14ac:dyDescent="0.2">
      <c r="F124" s="444"/>
      <c r="G124" s="41" t="str">
        <f>STRAT6_IND4</f>
        <v>Objetivo estratégico 6 Indicador 4</v>
      </c>
      <c r="H124" s="268" t="str">
        <f ca="1">OFFSET(Variables_Lu!$D$10,Basic_Setup!H67,0)</f>
        <v>Nutrition-specific</v>
      </c>
      <c r="I124" s="248">
        <f t="shared" si="25"/>
        <v>0</v>
      </c>
      <c r="J124" s="220">
        <f t="shared" si="32"/>
        <v>0</v>
      </c>
      <c r="K124" s="220">
        <f t="shared" si="32"/>
        <v>0</v>
      </c>
      <c r="L124" s="220">
        <f t="shared" si="32"/>
        <v>0</v>
      </c>
      <c r="M124" s="220">
        <f t="shared" si="32"/>
        <v>0</v>
      </c>
      <c r="N124" s="220">
        <f t="shared" si="32"/>
        <v>0</v>
      </c>
    </row>
    <row r="125" spans="6:14" ht="12.6" thickBot="1" x14ac:dyDescent="0.25">
      <c r="F125" s="445"/>
      <c r="G125" s="275" t="str">
        <f>STRAT6_IND5</f>
        <v>Objetivo estratégico 6 Indicador 5</v>
      </c>
      <c r="H125" s="270" t="str">
        <f ca="1">OFFSET(Variables_Lu!$D$10,Basic_Setup!H68,0)</f>
        <v>Nutrition-specific</v>
      </c>
      <c r="I125" s="248">
        <f t="shared" si="25"/>
        <v>0</v>
      </c>
      <c r="J125" s="232">
        <f t="shared" si="32"/>
        <v>0</v>
      </c>
      <c r="K125" s="232">
        <f t="shared" si="32"/>
        <v>0</v>
      </c>
      <c r="L125" s="232">
        <f t="shared" si="32"/>
        <v>0</v>
      </c>
      <c r="M125" s="232">
        <f t="shared" si="32"/>
        <v>0</v>
      </c>
      <c r="N125" s="232">
        <f t="shared" si="32"/>
        <v>0</v>
      </c>
    </row>
    <row r="126" spans="6:14" ht="12.6" thickBot="1" x14ac:dyDescent="0.25">
      <c r="H126" s="152" t="s">
        <v>159</v>
      </c>
      <c r="I126" s="249">
        <f t="shared" si="25"/>
        <v>0</v>
      </c>
      <c r="J126" s="247">
        <f>SUM(J121:J125)</f>
        <v>0</v>
      </c>
      <c r="K126" s="247">
        <f>SUM(K121:K125)</f>
        <v>0</v>
      </c>
      <c r="L126" s="247">
        <f>SUM(L121:L125)</f>
        <v>0</v>
      </c>
      <c r="M126" s="247">
        <f>SUM(M121:M125)</f>
        <v>0</v>
      </c>
      <c r="N126" s="247">
        <f>SUM(N121:N125)</f>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248">
        <f t="shared" si="25"/>
        <v>0</v>
      </c>
      <c r="J127" s="220">
        <f t="shared" ref="J127:N131" si="33">J56*EXCHANGE_RATE</f>
        <v>0</v>
      </c>
      <c r="K127" s="220">
        <f t="shared" si="33"/>
        <v>0</v>
      </c>
      <c r="L127" s="220">
        <f t="shared" si="33"/>
        <v>0</v>
      </c>
      <c r="M127" s="220">
        <f t="shared" si="33"/>
        <v>0</v>
      </c>
      <c r="N127" s="220">
        <f t="shared" si="33"/>
        <v>0</v>
      </c>
    </row>
    <row r="128" spans="6:14" ht="12" x14ac:dyDescent="0.2">
      <c r="F128" s="444"/>
      <c r="G128" s="42" t="str">
        <f>STRAT7_IND2</f>
        <v>Objetivo estratégico 7 Indicador 2</v>
      </c>
      <c r="H128" s="268" t="str">
        <f ca="1">OFFSET(Variables_Lu!$D$10,Basic_Setup!H71,0)</f>
        <v>Nutrition-specific</v>
      </c>
      <c r="I128" s="248">
        <f t="shared" si="25"/>
        <v>0</v>
      </c>
      <c r="J128" s="220">
        <f t="shared" si="33"/>
        <v>0</v>
      </c>
      <c r="K128" s="220">
        <f t="shared" si="33"/>
        <v>0</v>
      </c>
      <c r="L128" s="220">
        <f t="shared" si="33"/>
        <v>0</v>
      </c>
      <c r="M128" s="220">
        <f t="shared" si="33"/>
        <v>0</v>
      </c>
      <c r="N128" s="220">
        <f t="shared" si="33"/>
        <v>0</v>
      </c>
    </row>
    <row r="129" spans="6:14" ht="12" x14ac:dyDescent="0.2">
      <c r="F129" s="444"/>
      <c r="G129" s="42" t="str">
        <f>STRAT7_IND3</f>
        <v>Objetivo estratégico 7 Indicador 3</v>
      </c>
      <c r="H129" s="268" t="str">
        <f ca="1">OFFSET(Variables_Lu!$D$10,Basic_Setup!H72,0)</f>
        <v>Nutrition-specific</v>
      </c>
      <c r="I129" s="248">
        <f t="shared" si="25"/>
        <v>0</v>
      </c>
      <c r="J129" s="220">
        <f t="shared" si="33"/>
        <v>0</v>
      </c>
      <c r="K129" s="220">
        <f t="shared" si="33"/>
        <v>0</v>
      </c>
      <c r="L129" s="220">
        <f t="shared" si="33"/>
        <v>0</v>
      </c>
      <c r="M129" s="220">
        <f t="shared" si="33"/>
        <v>0</v>
      </c>
      <c r="N129" s="220">
        <f t="shared" si="33"/>
        <v>0</v>
      </c>
    </row>
    <row r="130" spans="6:14" ht="12" x14ac:dyDescent="0.2">
      <c r="F130" s="444"/>
      <c r="G130" s="41" t="str">
        <f>STRAT7_IND4</f>
        <v>Objetivo estratégico 7 Indicador 4</v>
      </c>
      <c r="H130" s="268" t="str">
        <f ca="1">OFFSET(Variables_Lu!$D$10,Basic_Setup!H73,0)</f>
        <v>Nutrition-specific</v>
      </c>
      <c r="I130" s="248">
        <f t="shared" si="25"/>
        <v>0</v>
      </c>
      <c r="J130" s="220">
        <f t="shared" si="33"/>
        <v>0</v>
      </c>
      <c r="K130" s="220">
        <f t="shared" si="33"/>
        <v>0</v>
      </c>
      <c r="L130" s="220">
        <f t="shared" si="33"/>
        <v>0</v>
      </c>
      <c r="M130" s="220">
        <f t="shared" si="33"/>
        <v>0</v>
      </c>
      <c r="N130" s="220">
        <f t="shared" si="33"/>
        <v>0</v>
      </c>
    </row>
    <row r="131" spans="6:14" ht="12.6" thickBot="1" x14ac:dyDescent="0.25">
      <c r="F131" s="445"/>
      <c r="G131" s="275" t="str">
        <f>STRAT7_IND5</f>
        <v>Objetivo estratégico 7 Indicador 5</v>
      </c>
      <c r="H131" s="270" t="str">
        <f ca="1">OFFSET(Variables_Lu!$D$10,Basic_Setup!H74,0)</f>
        <v>Nutrition-specific</v>
      </c>
      <c r="I131" s="248">
        <f t="shared" si="25"/>
        <v>0</v>
      </c>
      <c r="J131" s="232">
        <f t="shared" si="33"/>
        <v>0</v>
      </c>
      <c r="K131" s="232">
        <f t="shared" si="33"/>
        <v>0</v>
      </c>
      <c r="L131" s="232">
        <f t="shared" si="33"/>
        <v>0</v>
      </c>
      <c r="M131" s="232">
        <f t="shared" si="33"/>
        <v>0</v>
      </c>
      <c r="N131" s="232">
        <f t="shared" si="33"/>
        <v>0</v>
      </c>
    </row>
    <row r="132" spans="6:14" ht="12.6" thickBot="1" x14ac:dyDescent="0.25">
      <c r="H132" s="152" t="s">
        <v>160</v>
      </c>
      <c r="I132" s="249">
        <f t="shared" si="25"/>
        <v>0</v>
      </c>
      <c r="J132" s="247">
        <f>SUM(J127:J131)</f>
        <v>0</v>
      </c>
      <c r="K132" s="247">
        <f>SUM(K127:K131)</f>
        <v>0</v>
      </c>
      <c r="L132" s="247">
        <f>SUM(L127:L131)</f>
        <v>0</v>
      </c>
      <c r="M132" s="247">
        <f>SUM(M127:M131)</f>
        <v>0</v>
      </c>
      <c r="N132" s="247">
        <f>SUM(N127:N131)</f>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248">
        <f t="shared" si="25"/>
        <v>0</v>
      </c>
      <c r="J133" s="220">
        <f t="shared" ref="J133:N137" si="34">J62*EXCHANGE_RATE</f>
        <v>0</v>
      </c>
      <c r="K133" s="220">
        <f t="shared" si="34"/>
        <v>0</v>
      </c>
      <c r="L133" s="220">
        <f t="shared" si="34"/>
        <v>0</v>
      </c>
      <c r="M133" s="220">
        <f t="shared" si="34"/>
        <v>0</v>
      </c>
      <c r="N133" s="220">
        <f t="shared" si="34"/>
        <v>0</v>
      </c>
    </row>
    <row r="134" spans="6:14" ht="12" x14ac:dyDescent="0.2">
      <c r="F134" s="444"/>
      <c r="G134" s="42" t="str">
        <f>STRAT8_IND2</f>
        <v>Objetivo estratégico 8 Indicador 2</v>
      </c>
      <c r="H134" s="268" t="str">
        <f ca="1">OFFSET(Variables_Lu!$D$10,Basic_Setup!H77,0)</f>
        <v>Nutrition-specific</v>
      </c>
      <c r="I134" s="248">
        <f t="shared" ref="I134:I150" si="35">I63*EXCHANGE_RATE</f>
        <v>0</v>
      </c>
      <c r="J134" s="220">
        <f t="shared" si="34"/>
        <v>0</v>
      </c>
      <c r="K134" s="220">
        <f t="shared" si="34"/>
        <v>0</v>
      </c>
      <c r="L134" s="220">
        <f t="shared" si="34"/>
        <v>0</v>
      </c>
      <c r="M134" s="220">
        <f t="shared" si="34"/>
        <v>0</v>
      </c>
      <c r="N134" s="220">
        <f t="shared" si="34"/>
        <v>0</v>
      </c>
    </row>
    <row r="135" spans="6:14" ht="12" x14ac:dyDescent="0.2">
      <c r="F135" s="444"/>
      <c r="G135" s="42" t="str">
        <f>STRAT8_IND3</f>
        <v>Objetivo estratégico 8 Indicador 3</v>
      </c>
      <c r="H135" s="268" t="str">
        <f ca="1">OFFSET(Variables_Lu!$D$10,Basic_Setup!H78,0)</f>
        <v>Nutrition-specific</v>
      </c>
      <c r="I135" s="248">
        <f t="shared" si="35"/>
        <v>0</v>
      </c>
      <c r="J135" s="220">
        <f t="shared" si="34"/>
        <v>0</v>
      </c>
      <c r="K135" s="220">
        <f t="shared" si="34"/>
        <v>0</v>
      </c>
      <c r="L135" s="220">
        <f t="shared" si="34"/>
        <v>0</v>
      </c>
      <c r="M135" s="220">
        <f t="shared" si="34"/>
        <v>0</v>
      </c>
      <c r="N135" s="220">
        <f t="shared" si="34"/>
        <v>0</v>
      </c>
    </row>
    <row r="136" spans="6:14" ht="12" x14ac:dyDescent="0.2">
      <c r="F136" s="444"/>
      <c r="G136" s="41" t="str">
        <f>STRAT8_IND4</f>
        <v>Objetivo estratégico 8 Indicador 4</v>
      </c>
      <c r="H136" s="268" t="str">
        <f ca="1">OFFSET(Variables_Lu!$D$10,Basic_Setup!H79,0)</f>
        <v>Nutrition-specific</v>
      </c>
      <c r="I136" s="248">
        <f t="shared" si="35"/>
        <v>0</v>
      </c>
      <c r="J136" s="220">
        <f t="shared" si="34"/>
        <v>0</v>
      </c>
      <c r="K136" s="220">
        <f t="shared" si="34"/>
        <v>0</v>
      </c>
      <c r="L136" s="220">
        <f t="shared" si="34"/>
        <v>0</v>
      </c>
      <c r="M136" s="220">
        <f t="shared" si="34"/>
        <v>0</v>
      </c>
      <c r="N136" s="220">
        <f t="shared" si="34"/>
        <v>0</v>
      </c>
    </row>
    <row r="137" spans="6:14" ht="12.6" thickBot="1" x14ac:dyDescent="0.25">
      <c r="F137" s="445"/>
      <c r="G137" s="275" t="str">
        <f>STRAT8_IND5</f>
        <v>Objetivo estratégico 8 Indicador 5</v>
      </c>
      <c r="H137" s="270" t="str">
        <f ca="1">OFFSET(Variables_Lu!$D$10,Basic_Setup!H80,0)</f>
        <v>Nutrition-specific</v>
      </c>
      <c r="I137" s="248">
        <f t="shared" si="35"/>
        <v>0</v>
      </c>
      <c r="J137" s="232">
        <f t="shared" si="34"/>
        <v>0</v>
      </c>
      <c r="K137" s="232">
        <f t="shared" si="34"/>
        <v>0</v>
      </c>
      <c r="L137" s="232">
        <f t="shared" si="34"/>
        <v>0</v>
      </c>
      <c r="M137" s="232">
        <f t="shared" si="34"/>
        <v>0</v>
      </c>
      <c r="N137" s="232">
        <f t="shared" si="34"/>
        <v>0</v>
      </c>
    </row>
    <row r="138" spans="6:14" ht="12.6" thickBot="1" x14ac:dyDescent="0.25">
      <c r="H138" s="152" t="s">
        <v>161</v>
      </c>
      <c r="I138" s="249">
        <f t="shared" si="35"/>
        <v>0</v>
      </c>
      <c r="J138" s="247">
        <f>SUM(J133:J137)</f>
        <v>0</v>
      </c>
      <c r="K138" s="247">
        <f>SUM(K133:K137)</f>
        <v>0</v>
      </c>
      <c r="L138" s="247">
        <f>SUM(L133:L137)</f>
        <v>0</v>
      </c>
      <c r="M138" s="247">
        <f>SUM(M133:M137)</f>
        <v>0</v>
      </c>
      <c r="N138" s="247">
        <f>SUM(N133:N137)</f>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248">
        <f t="shared" si="35"/>
        <v>0</v>
      </c>
      <c r="J139" s="220">
        <f t="shared" ref="J139:N143" si="36">J68*EXCHANGE_RATE</f>
        <v>0</v>
      </c>
      <c r="K139" s="220">
        <f t="shared" si="36"/>
        <v>0</v>
      </c>
      <c r="L139" s="220">
        <f t="shared" si="36"/>
        <v>0</v>
      </c>
      <c r="M139" s="220">
        <f t="shared" si="36"/>
        <v>0</v>
      </c>
      <c r="N139" s="220">
        <f t="shared" si="36"/>
        <v>0</v>
      </c>
    </row>
    <row r="140" spans="6:14" ht="12" x14ac:dyDescent="0.2">
      <c r="F140" s="444"/>
      <c r="G140" s="42" t="str">
        <f>STRAT9_IND2</f>
        <v>Objetivo estratégico 9 Indicador 2</v>
      </c>
      <c r="H140" s="268" t="str">
        <f ca="1">OFFSET(Variables_Lu!$D$10,Basic_Setup!H83,0)</f>
        <v>Nutrition-specific</v>
      </c>
      <c r="I140" s="248">
        <f t="shared" si="35"/>
        <v>0</v>
      </c>
      <c r="J140" s="220">
        <f t="shared" si="36"/>
        <v>0</v>
      </c>
      <c r="K140" s="220">
        <f t="shared" si="36"/>
        <v>0</v>
      </c>
      <c r="L140" s="220">
        <f t="shared" si="36"/>
        <v>0</v>
      </c>
      <c r="M140" s="220">
        <f t="shared" si="36"/>
        <v>0</v>
      </c>
      <c r="N140" s="220">
        <f t="shared" si="36"/>
        <v>0</v>
      </c>
    </row>
    <row r="141" spans="6:14" ht="12" x14ac:dyDescent="0.2">
      <c r="F141" s="444"/>
      <c r="G141" s="42" t="str">
        <f>STRAT9_IND3</f>
        <v>Objetivo estratégico 9 Indicador 3</v>
      </c>
      <c r="H141" s="268" t="str">
        <f ca="1">OFFSET(Variables_Lu!$D$10,Basic_Setup!H84,0)</f>
        <v>Nutrition-specific</v>
      </c>
      <c r="I141" s="248">
        <f t="shared" si="35"/>
        <v>0</v>
      </c>
      <c r="J141" s="220">
        <f t="shared" si="36"/>
        <v>0</v>
      </c>
      <c r="K141" s="220">
        <f t="shared" si="36"/>
        <v>0</v>
      </c>
      <c r="L141" s="220">
        <f t="shared" si="36"/>
        <v>0</v>
      </c>
      <c r="M141" s="220">
        <f t="shared" si="36"/>
        <v>0</v>
      </c>
      <c r="N141" s="220">
        <f t="shared" si="36"/>
        <v>0</v>
      </c>
    </row>
    <row r="142" spans="6:14" ht="12" x14ac:dyDescent="0.2">
      <c r="F142" s="444"/>
      <c r="G142" s="41" t="str">
        <f>STRAT9_IND4</f>
        <v>Objetivo estratégico 9 Indicador 4</v>
      </c>
      <c r="H142" s="268" t="str">
        <f ca="1">OFFSET(Variables_Lu!$D$10,Basic_Setup!H85,0)</f>
        <v>Nutrition-specific</v>
      </c>
      <c r="I142" s="248">
        <f t="shared" si="35"/>
        <v>0</v>
      </c>
      <c r="J142" s="220">
        <f t="shared" si="36"/>
        <v>0</v>
      </c>
      <c r="K142" s="220">
        <f t="shared" si="36"/>
        <v>0</v>
      </c>
      <c r="L142" s="220">
        <f t="shared" si="36"/>
        <v>0</v>
      </c>
      <c r="M142" s="220">
        <f t="shared" si="36"/>
        <v>0</v>
      </c>
      <c r="N142" s="220">
        <f t="shared" si="36"/>
        <v>0</v>
      </c>
    </row>
    <row r="143" spans="6:14" ht="12.6" thickBot="1" x14ac:dyDescent="0.25">
      <c r="F143" s="445"/>
      <c r="G143" s="275" t="str">
        <f>STRAT9_IND5</f>
        <v>Objetivo estratégico 9 Indicador 5</v>
      </c>
      <c r="H143" s="270" t="str">
        <f ca="1">OFFSET(Variables_Lu!$D$10,Basic_Setup!H86,0)</f>
        <v>Nutrition-specific</v>
      </c>
      <c r="I143" s="248">
        <f t="shared" si="35"/>
        <v>0</v>
      </c>
      <c r="J143" s="232">
        <f t="shared" si="36"/>
        <v>0</v>
      </c>
      <c r="K143" s="232">
        <f t="shared" si="36"/>
        <v>0</v>
      </c>
      <c r="L143" s="232">
        <f t="shared" si="36"/>
        <v>0</v>
      </c>
      <c r="M143" s="232">
        <f t="shared" si="36"/>
        <v>0</v>
      </c>
      <c r="N143" s="232">
        <f t="shared" si="36"/>
        <v>0</v>
      </c>
    </row>
    <row r="144" spans="6:14" ht="12.6" thickBot="1" x14ac:dyDescent="0.25">
      <c r="H144" s="152" t="s">
        <v>162</v>
      </c>
      <c r="I144" s="249">
        <f t="shared" si="35"/>
        <v>0</v>
      </c>
      <c r="J144" s="247">
        <f>SUM(J139:J143)</f>
        <v>0</v>
      </c>
      <c r="K144" s="247">
        <f>SUM(K139:K143)</f>
        <v>0</v>
      </c>
      <c r="L144" s="247">
        <f>SUM(L139:L143)</f>
        <v>0</v>
      </c>
      <c r="M144" s="247">
        <f>SUM(M139:M143)</f>
        <v>0</v>
      </c>
      <c r="N144" s="247">
        <f>SUM(N139:N143)</f>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248">
        <f t="shared" si="35"/>
        <v>0</v>
      </c>
      <c r="J145" s="220">
        <f t="shared" ref="J145:N149" si="37">J74*EXCHANGE_RATE</f>
        <v>0</v>
      </c>
      <c r="K145" s="220">
        <f t="shared" si="37"/>
        <v>0</v>
      </c>
      <c r="L145" s="220">
        <f t="shared" si="37"/>
        <v>0</v>
      </c>
      <c r="M145" s="220">
        <f t="shared" si="37"/>
        <v>0</v>
      </c>
      <c r="N145" s="220">
        <f t="shared" si="37"/>
        <v>0</v>
      </c>
    </row>
    <row r="146" spans="1:14" ht="12" x14ac:dyDescent="0.2">
      <c r="F146" s="444"/>
      <c r="G146" s="42" t="str">
        <f>STRAT10_IND2</f>
        <v>Objetivo estratégico 10 Indicador 2</v>
      </c>
      <c r="H146" s="268" t="str">
        <f ca="1">OFFSET(Variables_Lu!$D$10,Basic_Setup!H89,0)</f>
        <v>Nutrition-specific</v>
      </c>
      <c r="I146" s="248">
        <f t="shared" si="35"/>
        <v>0</v>
      </c>
      <c r="J146" s="220">
        <f t="shared" si="37"/>
        <v>0</v>
      </c>
      <c r="K146" s="220">
        <f t="shared" si="37"/>
        <v>0</v>
      </c>
      <c r="L146" s="220">
        <f t="shared" si="37"/>
        <v>0</v>
      </c>
      <c r="M146" s="220">
        <f t="shared" si="37"/>
        <v>0</v>
      </c>
      <c r="N146" s="220">
        <f t="shared" si="37"/>
        <v>0</v>
      </c>
    </row>
    <row r="147" spans="1:14" ht="12" x14ac:dyDescent="0.2">
      <c r="F147" s="444"/>
      <c r="G147" s="42" t="str">
        <f>STRAT10_IND3</f>
        <v>Objetivo estratégico 10 Indicador 3</v>
      </c>
      <c r="H147" s="268" t="str">
        <f ca="1">OFFSET(Variables_Lu!$D$10,Basic_Setup!H90,0)</f>
        <v>Nutrition-specific</v>
      </c>
      <c r="I147" s="248">
        <f t="shared" si="35"/>
        <v>0</v>
      </c>
      <c r="J147" s="220">
        <f t="shared" si="37"/>
        <v>0</v>
      </c>
      <c r="K147" s="220">
        <f t="shared" si="37"/>
        <v>0</v>
      </c>
      <c r="L147" s="220">
        <f t="shared" si="37"/>
        <v>0</v>
      </c>
      <c r="M147" s="220">
        <f t="shared" si="37"/>
        <v>0</v>
      </c>
      <c r="N147" s="220">
        <f t="shared" si="37"/>
        <v>0</v>
      </c>
    </row>
    <row r="148" spans="1:14" ht="12" x14ac:dyDescent="0.2">
      <c r="F148" s="444"/>
      <c r="G148" s="41" t="str">
        <f>STRAT10_IND4</f>
        <v>Objetivo estratégico 10 Indicador 4</v>
      </c>
      <c r="H148" s="268" t="str">
        <f ca="1">OFFSET(Variables_Lu!$D$10,Basic_Setup!H91,0)</f>
        <v>Nutrition-specific</v>
      </c>
      <c r="I148" s="248">
        <f t="shared" si="35"/>
        <v>0</v>
      </c>
      <c r="J148" s="220">
        <f t="shared" si="37"/>
        <v>0</v>
      </c>
      <c r="K148" s="220">
        <f t="shared" si="37"/>
        <v>0</v>
      </c>
      <c r="L148" s="220">
        <f t="shared" si="37"/>
        <v>0</v>
      </c>
      <c r="M148" s="220">
        <f t="shared" si="37"/>
        <v>0</v>
      </c>
      <c r="N148" s="220">
        <f t="shared" si="37"/>
        <v>0</v>
      </c>
    </row>
    <row r="149" spans="1:14" ht="12.6" thickBot="1" x14ac:dyDescent="0.25">
      <c r="F149" s="445"/>
      <c r="G149" s="275" t="str">
        <f>STRAT10_IND5</f>
        <v>Objetivo estratégico 10 Indicador 5</v>
      </c>
      <c r="H149" s="270" t="str">
        <f ca="1">OFFSET(Variables_Lu!$D$10,Basic_Setup!H92,0)</f>
        <v>Nutrition-specific</v>
      </c>
      <c r="I149" s="248">
        <f t="shared" si="35"/>
        <v>0</v>
      </c>
      <c r="J149" s="232">
        <f t="shared" si="37"/>
        <v>0</v>
      </c>
      <c r="K149" s="232">
        <f t="shared" si="37"/>
        <v>0</v>
      </c>
      <c r="L149" s="232">
        <f t="shared" si="37"/>
        <v>0</v>
      </c>
      <c r="M149" s="232">
        <f t="shared" si="37"/>
        <v>0</v>
      </c>
      <c r="N149" s="232">
        <f t="shared" si="37"/>
        <v>0</v>
      </c>
    </row>
    <row r="150" spans="1:14" ht="12" x14ac:dyDescent="0.2">
      <c r="H150" s="152" t="s">
        <v>163</v>
      </c>
      <c r="I150" s="249">
        <f t="shared" si="35"/>
        <v>0</v>
      </c>
      <c r="J150" s="247">
        <f>SUM(J145:J149)</f>
        <v>0</v>
      </c>
      <c r="K150" s="247">
        <f>SUM(K145:K149)</f>
        <v>0</v>
      </c>
      <c r="L150" s="247">
        <f>SUM(L145:L149)</f>
        <v>0</v>
      </c>
      <c r="M150" s="247">
        <f>SUM(M145:M149)</f>
        <v>0</v>
      </c>
      <c r="N150" s="247">
        <f>SUM(N145:N149)</f>
        <v>0</v>
      </c>
    </row>
    <row r="151" spans="1:14" x14ac:dyDescent="0.2">
      <c r="I151" s="231"/>
      <c r="J151" s="231"/>
      <c r="K151" s="231"/>
      <c r="L151" s="231"/>
      <c r="M151" s="231"/>
      <c r="N151" s="231"/>
    </row>
    <row r="152" spans="1:14" ht="12.6" thickBot="1" x14ac:dyDescent="0.25">
      <c r="H152" s="149" t="str">
        <f>"TOTAL - "&amp;$F$12</f>
        <v>TOTAL - Organización Mundial de la Salud</v>
      </c>
      <c r="I152" s="222">
        <f t="shared" ref="I152:N152" si="38">I81*EXCHANGE_RATE</f>
        <v>180000000</v>
      </c>
      <c r="J152" s="222">
        <f t="shared" si="38"/>
        <v>36000000</v>
      </c>
      <c r="K152" s="222">
        <f t="shared" si="38"/>
        <v>63000000</v>
      </c>
      <c r="L152" s="222">
        <f t="shared" si="38"/>
        <v>63000000</v>
      </c>
      <c r="M152" s="222">
        <f t="shared" si="38"/>
        <v>18000000</v>
      </c>
      <c r="N152" s="222">
        <f t="shared" si="38"/>
        <v>0</v>
      </c>
    </row>
    <row r="153" spans="1:14" ht="12" x14ac:dyDescent="0.2">
      <c r="I153" s="149"/>
    </row>
    <row r="155" spans="1:14" x14ac:dyDescent="0.2">
      <c r="A155" s="39" t="s">
        <v>76</v>
      </c>
      <c r="B155" s="40" t="str">
        <f>"Summary of "&amp;Partner2&amp;" - by Result/Indicator Type"</f>
        <v>Summary of Organización Mundial de la Salud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f ca="1">I159/$I$162</f>
        <v>0.3</v>
      </c>
      <c r="I159" s="68">
        <f ca="1">SUM(J159:N159)</f>
        <v>54000000</v>
      </c>
      <c r="J159" s="325">
        <f ca="1">SUMIF($H$91:$H$149,Lu_Nutrition_Specific,J$91:J$149)</f>
        <v>9000000</v>
      </c>
      <c r="K159" s="325">
        <f ca="1">SUMIF($H$91:$H$149,Lu_Nutrition_Specific,K$91:K$149)</f>
        <v>18000000</v>
      </c>
      <c r="L159" s="325">
        <f ca="1">SUMIF($H$91:$H$149,Lu_Nutrition_Specific,L$91:L$149)</f>
        <v>27000000</v>
      </c>
      <c r="M159" s="325">
        <f ca="1">SUMIF($H$91:$H$149,Lu_Nutrition_Specific,M$91:M$149)</f>
        <v>0</v>
      </c>
      <c r="N159" s="325">
        <f ca="1">SUMIF($H$91:$H$149,Lu_Nutrition_Specific,N$91:N$149)</f>
        <v>0</v>
      </c>
    </row>
    <row r="160" spans="1:14" ht="12" x14ac:dyDescent="0.2">
      <c r="F160" s="38" t="str">
        <f>Lu_Nutrition_Sensitive</f>
        <v>Nutrition-sensitive</v>
      </c>
      <c r="G160" s="38"/>
      <c r="H160" s="289">
        <f t="shared" ref="H160:H161" ca="1" si="39">I160/$I$162</f>
        <v>0.45</v>
      </c>
      <c r="I160" s="69">
        <f t="shared" ref="I160:I161" ca="1" si="40">SUM(J160:N160)</f>
        <v>81000000</v>
      </c>
      <c r="J160" s="325">
        <f ca="1">SUMIF($H$91:$H$149,Lu_Nutrition_Sensitive,J$91:J$149)</f>
        <v>18000000</v>
      </c>
      <c r="K160" s="325">
        <f ca="1">SUMIF($H$91:$H$149,Lu_Nutrition_Sensitive,K$91:K$149)</f>
        <v>36000000</v>
      </c>
      <c r="L160" s="325">
        <f ca="1">SUMIF($H$91:$H$149,Lu_Nutrition_Sensitive,L$91:L$149)</f>
        <v>18000000</v>
      </c>
      <c r="M160" s="325">
        <f ca="1">SUMIF($H$91:$H$149,Lu_Nutrition_Sensitive,M$91:M$149)</f>
        <v>9000000</v>
      </c>
      <c r="N160" s="325">
        <f ca="1">SUMIF($H$91:$H$149,Lu_Nutrition_Sensitive,N$91:N$149)</f>
        <v>0</v>
      </c>
    </row>
    <row r="161" spans="6:14" ht="12" x14ac:dyDescent="0.2">
      <c r="F161" s="38" t="str">
        <f>Lu_Governance</f>
        <v>Governance</v>
      </c>
      <c r="G161" s="38"/>
      <c r="H161" s="289">
        <f t="shared" ca="1" si="39"/>
        <v>0.25</v>
      </c>
      <c r="I161" s="396">
        <f t="shared" ca="1" si="40"/>
        <v>45000000</v>
      </c>
      <c r="J161" s="325">
        <f ca="1">SUMIF($H$91:$H$149,Lu_Governance,J$91:J$149)</f>
        <v>9000000</v>
      </c>
      <c r="K161" s="325">
        <f ca="1">SUMIF($H$91:$H$149,Lu_Governance,K$91:K$149)</f>
        <v>9000000</v>
      </c>
      <c r="L161" s="325">
        <f ca="1">SUMIF($H$91:$H$149,Lu_Governance,L$91:L$149)</f>
        <v>18000000</v>
      </c>
      <c r="M161" s="325">
        <f ca="1">SUMIF($H$91:$H$149,Lu_Governance,M$91:M$149)</f>
        <v>9000000</v>
      </c>
      <c r="N161" s="325">
        <f ca="1">SUMIF($H$91:$H$149,Lu_Governance,N$91:N$149)</f>
        <v>0</v>
      </c>
    </row>
    <row r="162" spans="6:14" ht="12" x14ac:dyDescent="0.2">
      <c r="F162" s="324" t="str">
        <f>"TOTAL - "&amp;Summary_Govt_Contributions!$F$12&amp;" ("&amp;CURR_LCU_ABBR&amp;")"</f>
        <v>TOTAL - TODAS las contribuciones de las agencias gubernamentales (GOZ)</v>
      </c>
      <c r="G162" s="74"/>
      <c r="H162" s="291">
        <f ca="1">SUM(H159:H161)</f>
        <v>1</v>
      </c>
      <c r="I162" s="57">
        <f ca="1">SUM(J162:N162)</f>
        <v>180000000</v>
      </c>
      <c r="J162" s="55">
        <f ca="1">SUM(J159:J161)</f>
        <v>36000000</v>
      </c>
      <c r="K162" s="55">
        <f t="shared" ref="K162:N162" ca="1" si="41">SUM(K159:K161)</f>
        <v>63000000</v>
      </c>
      <c r="L162" s="55">
        <f t="shared" ca="1" si="41"/>
        <v>63000000</v>
      </c>
      <c r="M162" s="55">
        <f t="shared" ca="1" si="41"/>
        <v>18000000</v>
      </c>
      <c r="N162" s="55">
        <f t="shared" ca="1" si="41"/>
        <v>0</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f ca="1">I166/$I$169</f>
        <v>0.3</v>
      </c>
      <c r="I166" s="404">
        <f ca="1">SUM(J166:N166)</f>
        <v>30000</v>
      </c>
      <c r="J166" s="407">
        <f t="shared" ref="J166:N168" ca="1" si="42">J159/EXCHANGE_RATE</f>
        <v>5000</v>
      </c>
      <c r="K166" s="407">
        <f t="shared" ca="1" si="42"/>
        <v>10000</v>
      </c>
      <c r="L166" s="407">
        <f t="shared" ca="1" si="42"/>
        <v>15000</v>
      </c>
      <c r="M166" s="407">
        <f t="shared" ca="1" si="42"/>
        <v>0</v>
      </c>
      <c r="N166" s="407">
        <f t="shared" ca="1" si="42"/>
        <v>0</v>
      </c>
    </row>
    <row r="167" spans="6:14" ht="12" x14ac:dyDescent="0.2">
      <c r="F167" t="str">
        <f>Lu_Nutrition_Sensitive</f>
        <v>Nutrition-sensitive</v>
      </c>
      <c r="H167" s="289">
        <f t="shared" ref="H167:H168" ca="1" si="43">I167/$I$169</f>
        <v>0.45</v>
      </c>
      <c r="I167" s="404">
        <f t="shared" ref="I167:I168" ca="1" si="44">SUM(J167:N167)</f>
        <v>45000</v>
      </c>
      <c r="J167" s="407">
        <f t="shared" ca="1" si="42"/>
        <v>10000</v>
      </c>
      <c r="K167" s="407">
        <f t="shared" ca="1" si="42"/>
        <v>20000</v>
      </c>
      <c r="L167" s="407">
        <f t="shared" ca="1" si="42"/>
        <v>10000</v>
      </c>
      <c r="M167" s="407">
        <f t="shared" ca="1" si="42"/>
        <v>5000</v>
      </c>
      <c r="N167" s="407">
        <f t="shared" ca="1" si="42"/>
        <v>0</v>
      </c>
    </row>
    <row r="168" spans="6:14" ht="12" x14ac:dyDescent="0.2">
      <c r="F168" t="str">
        <f>Lu_Governance</f>
        <v>Governance</v>
      </c>
      <c r="H168" s="289">
        <f t="shared" ca="1" si="43"/>
        <v>0.25</v>
      </c>
      <c r="I168" s="404">
        <f t="shared" ca="1" si="44"/>
        <v>25000</v>
      </c>
      <c r="J168" s="407">
        <f t="shared" ca="1" si="42"/>
        <v>5000</v>
      </c>
      <c r="K168" s="407">
        <f t="shared" ca="1" si="42"/>
        <v>5000</v>
      </c>
      <c r="L168" s="407">
        <f t="shared" ca="1" si="42"/>
        <v>10000</v>
      </c>
      <c r="M168" s="407">
        <f t="shared" ca="1" si="42"/>
        <v>5000</v>
      </c>
      <c r="N168" s="407">
        <f t="shared" ca="1" si="42"/>
        <v>0</v>
      </c>
    </row>
    <row r="169" spans="6:14" ht="12" x14ac:dyDescent="0.2">
      <c r="F169" s="324" t="str">
        <f>"TOTAL - "&amp;Summary_Govt_Contributions!$F$12&amp;" ("&amp;CURR_INT_ABBR&amp;")"</f>
        <v>TOTAL - TODAS las contribuciones de las agencias gubernamentales (USD)</v>
      </c>
      <c r="G169" s="74"/>
      <c r="H169" s="291">
        <f ca="1">SUM(H166:H168)</f>
        <v>1</v>
      </c>
      <c r="I169" s="295">
        <f ca="1">SUM(J169:N169)</f>
        <v>100000</v>
      </c>
      <c r="J169" s="408">
        <f ca="1">SUM(J166:J168)</f>
        <v>20000</v>
      </c>
      <c r="K169" s="408">
        <f t="shared" ref="K169:N169" ca="1" si="45">SUM(K166:K168)</f>
        <v>35000</v>
      </c>
      <c r="L169" s="408">
        <f t="shared" ca="1" si="45"/>
        <v>35000</v>
      </c>
      <c r="M169" s="408">
        <f t="shared" ca="1" si="45"/>
        <v>10000</v>
      </c>
      <c r="N169" s="408">
        <f t="shared" ca="1" si="45"/>
        <v>0</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3 J32:N36 J26:N30 J44:N48 J50:N54 J56:N60 J62:N66 J68:N72 J74:N78 J38:N42 J103:N107 J97:N101 J91:N95 J109:N113 J115:N119 J121:N125 J127:N131 J133:N137 J139:N143 J145:N149" xr:uid="{00000000-0002-0000-1600-000000000000}">
      <formula1>NOT(ISERROR(J20/1))</formula1>
    </dataValidation>
  </dataValidations>
  <hyperlinks>
    <hyperlink ref="A14" location="HL_Mod_Out" tooltip="Click to follow hyperlink." display="ð" xr:uid="{00000000-0004-0000-1600-000000000000}"/>
    <hyperlink ref="C4" location="Partner3!HL_Sheet_Main_13" tooltip="Go to Next Sheet" display="è" xr:uid="{00000000-0004-0000-1600-000001000000}"/>
    <hyperlink ref="A4" r:id="rId1" tooltip="Go to Top of Sheet" xr:uid="{00000000-0004-0000-1600-000002000000}"/>
    <hyperlink ref="B4" location="HL_Sheet_Main_13" tooltip="Go to Previous Sheet" display="ç" xr:uid="{00000000-0004-0000-1600-000003000000}"/>
    <hyperlink ref="B3" location="HL_Home" tooltip="Go to Table of Contents" display="Go to Table of Contents" xr:uid="{00000000-0004-0000-1600-000004000000}"/>
    <hyperlink ref="A155" location="HL_Mod_Out" tooltip="Click to follow hyperlink." display="ð" xr:uid="{00000000-0004-0000-1600-000005000000}"/>
  </hyperlinks>
  <pageMargins left="0.4" right="0.4" top="0.6" bottom="1" header="0" footer="0.3"/>
  <pageSetup orientation="landscape" r:id="rId2"/>
  <headerFooter>
    <oddFooter>&amp;L&amp;F
&amp;A
Printed: &amp;T on &amp;D&amp;C&amp;",Bold"Sheet 2.n.
Page &amp;P of &amp;N</oddFooter>
  </headerFooter>
  <drawing r:id="rId3"/>
  <legacy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1:N169"/>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0.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Partner3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F12" s="198" t="str">
        <f>Partner3</f>
        <v>Banco Mundial</v>
      </c>
      <c r="G12" s="60">
        <v>1</v>
      </c>
    </row>
    <row r="13" spans="1:14" s="38" customFormat="1" x14ac:dyDescent="0.2">
      <c r="G13"/>
    </row>
    <row r="14" spans="1:14" s="38" customFormat="1" x14ac:dyDescent="0.2">
      <c r="A14" s="39" t="s">
        <v>76</v>
      </c>
      <c r="B14" s="40" t="str">
        <f>"Planned Annual Contributions by "&amp;Partner3&amp;" - by Strategic Objective and Result/Indicator"</f>
        <v>Planned Annual Contributions by Banco Mundial - by Strategic Objective and Result/Indicator</v>
      </c>
      <c r="C14" s="40"/>
      <c r="D14" s="40"/>
      <c r="E14" s="40"/>
      <c r="F14" s="40"/>
      <c r="G14" s="40"/>
      <c r="H14" s="40"/>
      <c r="I14" s="40"/>
      <c r="J14" s="40"/>
      <c r="K14" s="40"/>
      <c r="L14" s="40"/>
      <c r="M14" s="40"/>
      <c r="N14" s="40"/>
    </row>
    <row r="19" spans="1:14" s="38" customFormat="1" ht="12" x14ac:dyDescent="0.2">
      <c r="F19" s="416" t="s">
        <v>389</v>
      </c>
      <c r="G19" s="416" t="s">
        <v>399</v>
      </c>
      <c r="H19" s="416" t="s">
        <v>559</v>
      </c>
      <c r="I19" s="409" t="s">
        <v>106</v>
      </c>
      <c r="J19" s="54" t="str">
        <f>CURR_INT_ABBR</f>
        <v>USD</v>
      </c>
      <c r="K19" s="54" t="str">
        <f>CURR_INT_ABBR</f>
        <v>USD</v>
      </c>
      <c r="L19" s="54" t="str">
        <f>CURR_INT_ABBR</f>
        <v>USD</v>
      </c>
      <c r="M19" s="54" t="str">
        <f>CURR_INT_ABBR</f>
        <v>USD</v>
      </c>
      <c r="N19" s="54" t="str">
        <f>CURR_INT_ABBR</f>
        <v>USD</v>
      </c>
    </row>
    <row r="20" spans="1: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67">
        <f>SUM(J20:N20)</f>
        <v>1136844</v>
      </c>
      <c r="J20" s="61">
        <v>283873</v>
      </c>
      <c r="K20" s="61">
        <v>569098</v>
      </c>
      <c r="L20" s="61">
        <v>283873</v>
      </c>
      <c r="M20" s="61"/>
      <c r="N20" s="61"/>
    </row>
    <row r="21" spans="1: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67">
        <f t="shared" ref="I21:I22" si="2">SUM(J21:N21)</f>
        <v>0</v>
      </c>
      <c r="J21" s="61"/>
      <c r="K21" s="61"/>
      <c r="L21" s="61"/>
      <c r="M21" s="61"/>
      <c r="N21" s="61"/>
    </row>
    <row r="22" spans="1:14" s="38" customFormat="1" ht="22.8" x14ac:dyDescent="0.2">
      <c r="F22" s="447"/>
      <c r="G22" s="42" t="str">
        <f>STRAT1_IND3</f>
        <v>La investigación en nutrición se utiliza para aclarar que la toma de decisiones se mejora y se refuerza.</v>
      </c>
      <c r="H22" s="260" t="str">
        <f ca="1">OFFSET(Variables_Lu!$D$10,Basic_Setup!H36,0)</f>
        <v>Governance</v>
      </c>
      <c r="I22" s="67">
        <f t="shared" si="2"/>
        <v>0</v>
      </c>
      <c r="J22" s="61"/>
      <c r="K22" s="61"/>
      <c r="L22" s="61"/>
      <c r="M22" s="61"/>
      <c r="N22" s="61"/>
    </row>
    <row r="23" spans="1:14" s="38" customFormat="1" ht="22.8" x14ac:dyDescent="0.2">
      <c r="F23" s="447"/>
      <c r="G23" s="41" t="str">
        <f>STRAT1_IND4</f>
        <v>El marco legislativo y reglamentario de la nutrición se ha fortalecido y está en funcionamiento.</v>
      </c>
      <c r="H23" s="260" t="str">
        <f ca="1">OFFSET(Variables_Lu!$D$10,Basic_Setup!H37,0)</f>
        <v>Governance</v>
      </c>
      <c r="I23" s="67">
        <f>SUM(J23:N23)</f>
        <v>0</v>
      </c>
      <c r="J23" s="61"/>
      <c r="K23" s="61"/>
      <c r="L23" s="61"/>
      <c r="M23" s="61"/>
      <c r="N23" s="61"/>
    </row>
    <row r="24" spans="1:14" s="38" customFormat="1" ht="12" x14ac:dyDescent="0.2">
      <c r="F24" s="448"/>
      <c r="G24" s="41" t="str">
        <f>STRAT1_IND5</f>
        <v>Objetivo estratégico 1 Indicador 5</v>
      </c>
      <c r="H24" s="260" t="str">
        <f ca="1">OFFSET(Variables_Lu!$D$10,Basic_Setup!H38,0)</f>
        <v>Governance</v>
      </c>
      <c r="I24" s="67">
        <f>SUM(J24:N24)</f>
        <v>0</v>
      </c>
      <c r="J24" s="61"/>
      <c r="K24" s="61"/>
      <c r="L24" s="61"/>
      <c r="M24" s="61"/>
      <c r="N24" s="61"/>
    </row>
    <row r="25" spans="1:14" s="38" customFormat="1" ht="12" x14ac:dyDescent="0.2">
      <c r="H25" s="152" t="s">
        <v>107</v>
      </c>
      <c r="I25" s="250">
        <f>SUM(I20:I24)</f>
        <v>1136844</v>
      </c>
      <c r="J25" s="64">
        <f>SUM(J20:J24)</f>
        <v>283873</v>
      </c>
      <c r="K25" s="64">
        <f t="shared" ref="K25:N25" si="3">SUM(K20:K24)</f>
        <v>569098</v>
      </c>
      <c r="L25" s="64">
        <f t="shared" si="3"/>
        <v>283873</v>
      </c>
      <c r="M25" s="64">
        <f t="shared" si="3"/>
        <v>0</v>
      </c>
      <c r="N25" s="64">
        <f t="shared" si="3"/>
        <v>0</v>
      </c>
    </row>
    <row r="26" spans="1: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67">
        <f>SUM(J26:N26)</f>
        <v>0</v>
      </c>
      <c r="J26" s="61"/>
      <c r="K26" s="61"/>
      <c r="L26" s="61"/>
      <c r="M26" s="61"/>
      <c r="N26" s="61"/>
    </row>
    <row r="27" spans="1: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67">
        <f t="shared" ref="I27:I30" si="4">SUM(J27:N27)</f>
        <v>11522937</v>
      </c>
      <c r="J27" s="61">
        <v>2823054.5</v>
      </c>
      <c r="K27" s="61">
        <v>5876828</v>
      </c>
      <c r="L27" s="61">
        <v>2823054.5</v>
      </c>
      <c r="M27" s="61"/>
      <c r="N27" s="61"/>
    </row>
    <row r="28" spans="1:14" s="38" customFormat="1" ht="22.8" x14ac:dyDescent="0.2">
      <c r="F28" s="447"/>
      <c r="G28" s="42" t="str">
        <f>STRAT2_IND3</f>
        <v>Se refuerzan las intervenciones comunitarias en materia de nutrición.</v>
      </c>
      <c r="H28" s="260" t="str">
        <f ca="1">OFFSET(Variables_Lu!$D$10,Basic_Setup!H42,0)</f>
        <v>Nutrition-specific</v>
      </c>
      <c r="I28" s="67">
        <f t="shared" si="4"/>
        <v>0</v>
      </c>
      <c r="J28" s="61"/>
      <c r="K28" s="61"/>
      <c r="L28" s="61"/>
      <c r="M28" s="61"/>
      <c r="N28" s="61"/>
    </row>
    <row r="29" spans="1:14" s="38" customFormat="1" ht="12" x14ac:dyDescent="0.2">
      <c r="A29"/>
      <c r="F29" s="447"/>
      <c r="G29" s="41" t="str">
        <f>STRAT2_IND4</f>
        <v>Objetivo estratégico 2 Indicador 4</v>
      </c>
      <c r="H29" s="260" t="str">
        <f ca="1">OFFSET(Variables_Lu!$D$10,Basic_Setup!H43,0)</f>
        <v>Nutrition-specific</v>
      </c>
      <c r="I29" s="67">
        <f t="shared" si="4"/>
        <v>0</v>
      </c>
      <c r="J29" s="61"/>
      <c r="K29" s="61"/>
      <c r="L29" s="61"/>
      <c r="M29" s="61"/>
      <c r="N29" s="61"/>
    </row>
    <row r="30" spans="1:14" s="38" customFormat="1" ht="12" x14ac:dyDescent="0.2">
      <c r="F30" s="448"/>
      <c r="G30" s="41" t="str">
        <f>STRAT2_IND5</f>
        <v>Objetivo estratégico 2 Indicador 5</v>
      </c>
      <c r="H30" s="260" t="str">
        <f ca="1">OFFSET(Variables_Lu!$D$10,Basic_Setup!H44,0)</f>
        <v>Nutrition-specific</v>
      </c>
      <c r="I30" s="67">
        <f t="shared" si="4"/>
        <v>0</v>
      </c>
      <c r="J30" s="61"/>
      <c r="K30" s="61"/>
      <c r="L30" s="61"/>
      <c r="M30" s="61"/>
      <c r="N30" s="61"/>
    </row>
    <row r="31" spans="1:14" s="38" customFormat="1" ht="12" x14ac:dyDescent="0.2">
      <c r="H31" s="152" t="s">
        <v>108</v>
      </c>
      <c r="I31" s="250">
        <f t="shared" ref="I31" si="5">SUM(I26:I30)</f>
        <v>11522937</v>
      </c>
      <c r="J31" s="64">
        <f t="shared" ref="J31:N31" si="6">SUM(J26:J30)</f>
        <v>2823054.5</v>
      </c>
      <c r="K31" s="64">
        <f t="shared" si="6"/>
        <v>5876828</v>
      </c>
      <c r="L31" s="64">
        <f t="shared" si="6"/>
        <v>2823054.5</v>
      </c>
      <c r="M31" s="64">
        <f t="shared" si="6"/>
        <v>0</v>
      </c>
      <c r="N31" s="64">
        <f t="shared" si="6"/>
        <v>0</v>
      </c>
    </row>
    <row r="32" spans="1: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67">
        <f>SUM(J32:N32)</f>
        <v>72652855</v>
      </c>
      <c r="J32" s="61">
        <v>18035400</v>
      </c>
      <c r="K32" s="61">
        <v>36582055</v>
      </c>
      <c r="L32" s="61">
        <v>18035400</v>
      </c>
      <c r="M32" s="61"/>
      <c r="N32" s="61"/>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67">
        <f t="shared" ref="I33:I36" si="7">SUM(J33:N33)</f>
        <v>0</v>
      </c>
      <c r="J33" s="61"/>
      <c r="K33" s="61"/>
      <c r="L33" s="61"/>
      <c r="M33" s="61"/>
      <c r="N33" s="61"/>
    </row>
    <row r="34" spans="6:14" s="38" customFormat="1" ht="12" x14ac:dyDescent="0.2">
      <c r="F34" s="447"/>
      <c r="G34" s="42" t="str">
        <f>STRAT3_IND3</f>
        <v>Objetivo estratégico 3 Indicador 3</v>
      </c>
      <c r="H34" s="260" t="str">
        <f ca="1">OFFSET(Variables_Lu!$D$10,Basic_Setup!H48,0)</f>
        <v>Nutrition-specific</v>
      </c>
      <c r="I34" s="67">
        <f t="shared" si="7"/>
        <v>0</v>
      </c>
      <c r="J34" s="61"/>
      <c r="K34" s="61"/>
      <c r="L34" s="61"/>
      <c r="M34" s="61"/>
      <c r="N34" s="61"/>
    </row>
    <row r="35" spans="6:14" s="38" customFormat="1" ht="12" x14ac:dyDescent="0.2">
      <c r="F35" s="447"/>
      <c r="G35" s="41" t="str">
        <f>STRAT3_IND4</f>
        <v>Objetivo estratégico 3 Indicador 4</v>
      </c>
      <c r="H35" s="260" t="str">
        <f ca="1">OFFSET(Variables_Lu!$D$10,Basic_Setup!H49,0)</f>
        <v>Nutrition-specific</v>
      </c>
      <c r="I35" s="67">
        <f t="shared" si="7"/>
        <v>0</v>
      </c>
      <c r="J35" s="61"/>
      <c r="K35" s="61"/>
      <c r="L35" s="61"/>
      <c r="M35" s="61"/>
      <c r="N35" s="61"/>
    </row>
    <row r="36" spans="6:14" s="38" customFormat="1" ht="12" x14ac:dyDescent="0.2">
      <c r="F36" s="448"/>
      <c r="G36" s="41" t="str">
        <f>STRAT3_IND5</f>
        <v>Objetivo estratégico 3 Indicador 5</v>
      </c>
      <c r="H36" s="260" t="str">
        <f ca="1">OFFSET(Variables_Lu!$D$10,Basic_Setup!H50,0)</f>
        <v>Nutrition-specific</v>
      </c>
      <c r="I36" s="67">
        <f t="shared" si="7"/>
        <v>0</v>
      </c>
      <c r="J36" s="61"/>
      <c r="K36" s="61"/>
      <c r="L36" s="61"/>
      <c r="M36" s="61"/>
      <c r="N36" s="61"/>
    </row>
    <row r="37" spans="6:14" ht="12" x14ac:dyDescent="0.2">
      <c r="H37" s="152" t="s">
        <v>109</v>
      </c>
      <c r="I37" s="250">
        <f>SUM(I32:I36)</f>
        <v>72652855</v>
      </c>
      <c r="J37" s="64">
        <f>SUM(J32:J36)</f>
        <v>18035400</v>
      </c>
      <c r="K37" s="64">
        <f t="shared" ref="K37:N37" si="8">SUM(K32:K36)</f>
        <v>36582055</v>
      </c>
      <c r="L37" s="64">
        <f t="shared" si="8"/>
        <v>18035400</v>
      </c>
      <c r="M37" s="64">
        <f t="shared" si="8"/>
        <v>0</v>
      </c>
      <c r="N37" s="64">
        <f t="shared" si="8"/>
        <v>0</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67">
        <f>SUM(J38:N38)</f>
        <v>13883068</v>
      </c>
      <c r="J38" s="61">
        <v>3483077.5</v>
      </c>
      <c r="K38" s="61">
        <v>6916913</v>
      </c>
      <c r="L38" s="61">
        <v>3483077.5</v>
      </c>
      <c r="M38" s="61"/>
      <c r="N38" s="61"/>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67">
        <f t="shared" ref="I39:I42" si="9">SUM(J39:N39)</f>
        <v>0</v>
      </c>
      <c r="J39" s="61"/>
      <c r="K39" s="61"/>
      <c r="L39" s="61"/>
      <c r="M39" s="61"/>
      <c r="N39" s="61"/>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67">
        <f>SUM(J40:N40)</f>
        <v>0</v>
      </c>
      <c r="J40" s="61"/>
      <c r="K40" s="61"/>
      <c r="L40" s="61"/>
      <c r="M40" s="61"/>
      <c r="N40" s="61"/>
    </row>
    <row r="41" spans="6:14" ht="12" x14ac:dyDescent="0.2">
      <c r="F41" s="447"/>
      <c r="G41" s="41" t="str">
        <f>STRAT4_IND4</f>
        <v>Objetivo estratégico 4 Indicador 4</v>
      </c>
      <c r="H41" s="260" t="str">
        <f ca="1">OFFSET(Variables_Lu!$D$10,Basic_Setup!H55,0)</f>
        <v>Nutrition-specific</v>
      </c>
      <c r="I41" s="67">
        <f>SUM(J41:N41)</f>
        <v>0</v>
      </c>
      <c r="J41" s="61"/>
      <c r="K41" s="61"/>
      <c r="L41" s="61"/>
      <c r="M41" s="61"/>
      <c r="N41" s="61"/>
    </row>
    <row r="42" spans="6:14" ht="12" x14ac:dyDescent="0.2">
      <c r="F42" s="448"/>
      <c r="G42" s="41" t="str">
        <f>STRAT4_IND5</f>
        <v>Objetivo estratégico 4 Indicador 5</v>
      </c>
      <c r="H42" s="260" t="str">
        <f ca="1">OFFSET(Variables_Lu!$D$10,Basic_Setup!H56,0)</f>
        <v>Nutrition-specific</v>
      </c>
      <c r="I42" s="67">
        <f t="shared" si="9"/>
        <v>0</v>
      </c>
      <c r="J42" s="61"/>
      <c r="K42" s="61"/>
      <c r="L42" s="61"/>
      <c r="M42" s="61"/>
      <c r="N42" s="61"/>
    </row>
    <row r="43" spans="6:14" ht="12" x14ac:dyDescent="0.2">
      <c r="H43" s="152" t="s">
        <v>110</v>
      </c>
      <c r="I43" s="250">
        <f>SUM(I38:I42)</f>
        <v>13883068</v>
      </c>
      <c r="J43" s="64">
        <f>SUM(J38:J42)</f>
        <v>3483077.5</v>
      </c>
      <c r="K43" s="64">
        <f t="shared" ref="K43:N43" si="10">SUM(K38:K42)</f>
        <v>6916913</v>
      </c>
      <c r="L43" s="64">
        <f t="shared" si="10"/>
        <v>3483077.5</v>
      </c>
      <c r="M43" s="64">
        <f t="shared" si="10"/>
        <v>0</v>
      </c>
      <c r="N43" s="64">
        <f t="shared" si="10"/>
        <v>0</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67">
        <f>SUM(J44:N44)</f>
        <v>1136844</v>
      </c>
      <c r="J44" s="61">
        <v>283873</v>
      </c>
      <c r="K44" s="61">
        <v>569098</v>
      </c>
      <c r="L44" s="61">
        <v>283873</v>
      </c>
      <c r="M44" s="61"/>
      <c r="N44" s="61"/>
    </row>
    <row r="45" spans="6:14" ht="22.8" x14ac:dyDescent="0.2">
      <c r="F45" s="447"/>
      <c r="G45" s="42" t="str">
        <f>STRAT5_IND2</f>
        <v>Se promueven dietas saludables y estilos de vida saludables para las personas.</v>
      </c>
      <c r="H45" s="260" t="str">
        <f ca="1">OFFSET(Variables_Lu!$D$10,Basic_Setup!H59,0)</f>
        <v>Nutrition-specific</v>
      </c>
      <c r="I45" s="67">
        <f t="shared" ref="I45:I48" si="11">SUM(J45:N45)</f>
        <v>0</v>
      </c>
      <c r="J45" s="61"/>
      <c r="K45" s="61"/>
      <c r="L45" s="61"/>
      <c r="M45" s="61"/>
      <c r="N45" s="61"/>
    </row>
    <row r="46" spans="6:14" ht="22.8" x14ac:dyDescent="0.2">
      <c r="F46" s="447"/>
      <c r="G46" s="42" t="str">
        <f>STRAT5_IND3</f>
        <v>Se promueven las buenas prácticas WASH a nivel comunitario y doméstico</v>
      </c>
      <c r="H46" s="260" t="str">
        <f ca="1">OFFSET(Variables_Lu!$D$10,Basic_Setup!H60,0)</f>
        <v>Nutrition-sensitive</v>
      </c>
      <c r="I46" s="67">
        <f t="shared" si="11"/>
        <v>0</v>
      </c>
      <c r="J46" s="61"/>
      <c r="K46" s="61"/>
      <c r="L46" s="61"/>
      <c r="M46" s="61"/>
      <c r="N46" s="61"/>
    </row>
    <row r="47" spans="6:14" ht="12" x14ac:dyDescent="0.2">
      <c r="F47" s="447"/>
      <c r="G47" s="41" t="str">
        <f>STRAT5_IND4</f>
        <v>Objetivo estratégico 5 Indicador 4</v>
      </c>
      <c r="H47" s="260" t="str">
        <f ca="1">OFFSET(Variables_Lu!$D$10,Basic_Setup!H61,0)</f>
        <v>Nutrition-specific</v>
      </c>
      <c r="I47" s="67">
        <f t="shared" si="11"/>
        <v>0</v>
      </c>
      <c r="J47" s="61"/>
      <c r="K47" s="61"/>
      <c r="L47" s="61"/>
      <c r="M47" s="61"/>
      <c r="N47" s="61"/>
    </row>
    <row r="48" spans="6:14" ht="12" x14ac:dyDescent="0.2">
      <c r="F48" s="448"/>
      <c r="G48" s="41" t="str">
        <f>STRAT5_IND5</f>
        <v>Objetivo estratégico 5 Indicador 5</v>
      </c>
      <c r="H48" s="260" t="str">
        <f ca="1">OFFSET(Variables_Lu!$D$10,Basic_Setup!H62,0)</f>
        <v>Nutrition-specific</v>
      </c>
      <c r="I48" s="67">
        <f t="shared" si="11"/>
        <v>0</v>
      </c>
      <c r="J48" s="61"/>
      <c r="K48" s="61"/>
      <c r="L48" s="61"/>
      <c r="M48" s="61"/>
      <c r="N48" s="61"/>
    </row>
    <row r="49" spans="6:14" ht="12" x14ac:dyDescent="0.2">
      <c r="H49" s="152" t="s">
        <v>111</v>
      </c>
      <c r="I49" s="250">
        <f>SUM(I44:I48)</f>
        <v>1136844</v>
      </c>
      <c r="J49" s="64">
        <f>SUM(J44:J48)</f>
        <v>283873</v>
      </c>
      <c r="K49" s="64">
        <f t="shared" ref="K49:N49" si="12">SUM(K44:K48)</f>
        <v>569098</v>
      </c>
      <c r="L49" s="64">
        <f t="shared" si="12"/>
        <v>283873</v>
      </c>
      <c r="M49" s="64">
        <f t="shared" si="12"/>
        <v>0</v>
      </c>
      <c r="N49" s="64">
        <f t="shared" si="12"/>
        <v>0</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67">
        <f>SUM(J50:N50)</f>
        <v>0</v>
      </c>
      <c r="J50" s="61"/>
      <c r="K50" s="61"/>
      <c r="L50" s="61"/>
      <c r="M50" s="61"/>
      <c r="N50" s="61"/>
    </row>
    <row r="51" spans="6:14" ht="12" x14ac:dyDescent="0.2">
      <c r="F51" s="447"/>
      <c r="G51" s="42" t="str">
        <f>STRAT6_IND2</f>
        <v>Objetivo estratégico 6 Indicador 2</v>
      </c>
      <c r="H51" s="260" t="str">
        <f ca="1">OFFSET(Variables_Lu!$D$10,Basic_Setup!H65,0)</f>
        <v>Nutrition-specific</v>
      </c>
      <c r="I51" s="67">
        <f>SUM(J51:N51)</f>
        <v>0</v>
      </c>
      <c r="J51" s="61"/>
      <c r="K51" s="61"/>
      <c r="L51" s="61"/>
      <c r="M51" s="61"/>
      <c r="N51" s="61"/>
    </row>
    <row r="52" spans="6:14" ht="12" x14ac:dyDescent="0.2">
      <c r="F52" s="447"/>
      <c r="G52" s="42" t="str">
        <f>STRAT6_IND3</f>
        <v>Objetivo estratégico 6 Indicador 3</v>
      </c>
      <c r="H52" s="260" t="str">
        <f ca="1">OFFSET(Variables_Lu!$D$10,Basic_Setup!H66,0)</f>
        <v>Nutrition-specific</v>
      </c>
      <c r="I52" s="67">
        <f>SUM(J52:N52)</f>
        <v>0</v>
      </c>
      <c r="J52" s="61"/>
      <c r="K52" s="61"/>
      <c r="L52" s="61"/>
      <c r="M52" s="61"/>
      <c r="N52" s="61"/>
    </row>
    <row r="53" spans="6:14" ht="12" x14ac:dyDescent="0.2">
      <c r="F53" s="447"/>
      <c r="G53" s="41" t="str">
        <f>STRAT6_IND4</f>
        <v>Objetivo estratégico 6 Indicador 4</v>
      </c>
      <c r="H53" s="260" t="str">
        <f ca="1">OFFSET(Variables_Lu!$D$10,Basic_Setup!H67,0)</f>
        <v>Nutrition-specific</v>
      </c>
      <c r="I53" s="67">
        <f>SUM(J53:N53)</f>
        <v>0</v>
      </c>
      <c r="J53" s="61"/>
      <c r="K53" s="61"/>
      <c r="L53" s="61"/>
      <c r="M53" s="61"/>
      <c r="N53" s="61"/>
    </row>
    <row r="54" spans="6:14" ht="12" x14ac:dyDescent="0.2">
      <c r="F54" s="448"/>
      <c r="G54" s="41" t="str">
        <f>STRAT6_IND5</f>
        <v>Objetivo estratégico 6 Indicador 5</v>
      </c>
      <c r="H54" s="260" t="str">
        <f ca="1">OFFSET(Variables_Lu!$D$10,Basic_Setup!H68,0)</f>
        <v>Nutrition-specific</v>
      </c>
      <c r="I54" s="67">
        <f>SUM(J54:N54)</f>
        <v>0</v>
      </c>
      <c r="J54" s="61"/>
      <c r="K54" s="61"/>
      <c r="L54" s="61"/>
      <c r="M54" s="61"/>
      <c r="N54" s="61"/>
    </row>
    <row r="55" spans="6:14" ht="12" x14ac:dyDescent="0.2">
      <c r="H55" s="152" t="s">
        <v>159</v>
      </c>
      <c r="I55" s="250">
        <f t="shared" ref="I55" si="13">SUM(I50:I54)</f>
        <v>0</v>
      </c>
      <c r="J55" s="64">
        <f t="shared" ref="J55:N55" si="14">SUM(J50:J54)</f>
        <v>0</v>
      </c>
      <c r="K55" s="64">
        <f t="shared" si="14"/>
        <v>0</v>
      </c>
      <c r="L55" s="64">
        <f t="shared" si="14"/>
        <v>0</v>
      </c>
      <c r="M55" s="64">
        <f t="shared" si="14"/>
        <v>0</v>
      </c>
      <c r="N55" s="64">
        <f t="shared" si="14"/>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67">
        <f>SUM(J56:N56)</f>
        <v>0</v>
      </c>
      <c r="J56" s="61"/>
      <c r="K56" s="61"/>
      <c r="L56" s="61"/>
      <c r="M56" s="61"/>
      <c r="N56" s="61"/>
    </row>
    <row r="57" spans="6:14" ht="12" x14ac:dyDescent="0.2">
      <c r="F57" s="447"/>
      <c r="G57" s="42" t="str">
        <f>STRAT7_IND2</f>
        <v>Objetivo estratégico 7 Indicador 2</v>
      </c>
      <c r="H57" s="260" t="str">
        <f ca="1">OFFSET(Variables_Lu!$D$10,Basic_Setup!H71,0)</f>
        <v>Nutrition-specific</v>
      </c>
      <c r="I57" s="67">
        <f>SUM(J57:N57)</f>
        <v>0</v>
      </c>
      <c r="J57" s="61"/>
      <c r="K57" s="61"/>
      <c r="L57" s="61"/>
      <c r="M57" s="61"/>
      <c r="N57" s="61"/>
    </row>
    <row r="58" spans="6:14" ht="12" x14ac:dyDescent="0.2">
      <c r="F58" s="447"/>
      <c r="G58" s="42" t="str">
        <f>STRAT7_IND3</f>
        <v>Objetivo estratégico 7 Indicador 3</v>
      </c>
      <c r="H58" s="260" t="str">
        <f ca="1">OFFSET(Variables_Lu!$D$10,Basic_Setup!H72,0)</f>
        <v>Nutrition-specific</v>
      </c>
      <c r="I58" s="67">
        <f>SUM(J58:N58)</f>
        <v>0</v>
      </c>
      <c r="J58" s="61"/>
      <c r="K58" s="61"/>
      <c r="L58" s="61"/>
      <c r="M58" s="61"/>
      <c r="N58" s="61"/>
    </row>
    <row r="59" spans="6:14" ht="12" x14ac:dyDescent="0.2">
      <c r="F59" s="447"/>
      <c r="G59" s="41" t="str">
        <f>STRAT7_IND4</f>
        <v>Objetivo estratégico 7 Indicador 4</v>
      </c>
      <c r="H59" s="260" t="str">
        <f ca="1">OFFSET(Variables_Lu!$D$10,Basic_Setup!H73,0)</f>
        <v>Nutrition-specific</v>
      </c>
      <c r="I59" s="67">
        <f>SUM(J59:N59)</f>
        <v>0</v>
      </c>
      <c r="J59" s="61"/>
      <c r="K59" s="61"/>
      <c r="L59" s="61"/>
      <c r="M59" s="61"/>
      <c r="N59" s="61"/>
    </row>
    <row r="60" spans="6:14" ht="12" x14ac:dyDescent="0.2">
      <c r="F60" s="448"/>
      <c r="G60" s="41" t="str">
        <f>STRAT7_IND5</f>
        <v>Objetivo estratégico 7 Indicador 5</v>
      </c>
      <c r="H60" s="260" t="str">
        <f ca="1">OFFSET(Variables_Lu!$D$10,Basic_Setup!H74,0)</f>
        <v>Nutrition-specific</v>
      </c>
      <c r="I60" s="67">
        <f>SUM(J60:N60)</f>
        <v>0</v>
      </c>
      <c r="J60" s="61"/>
      <c r="K60" s="61"/>
      <c r="L60" s="61"/>
      <c r="M60" s="61"/>
      <c r="N60" s="61"/>
    </row>
    <row r="61" spans="6:14" ht="12" x14ac:dyDescent="0.2">
      <c r="H61" s="152" t="s">
        <v>160</v>
      </c>
      <c r="I61" s="250">
        <f t="shared" ref="I61" si="15">SUM(I56:I60)</f>
        <v>0</v>
      </c>
      <c r="J61" s="64">
        <f t="shared" ref="J61:N61" si="16">SUM(J56:J60)</f>
        <v>0</v>
      </c>
      <c r="K61" s="64">
        <f t="shared" si="16"/>
        <v>0</v>
      </c>
      <c r="L61" s="64">
        <f t="shared" si="16"/>
        <v>0</v>
      </c>
      <c r="M61" s="64">
        <f t="shared" si="16"/>
        <v>0</v>
      </c>
      <c r="N61" s="64">
        <f t="shared" si="16"/>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67">
        <f>SUM(J62:N62)</f>
        <v>0</v>
      </c>
      <c r="J62" s="61"/>
      <c r="K62" s="61"/>
      <c r="L62" s="61"/>
      <c r="M62" s="61"/>
      <c r="N62" s="61"/>
    </row>
    <row r="63" spans="6:14" ht="12" x14ac:dyDescent="0.2">
      <c r="F63" s="447"/>
      <c r="G63" s="42" t="str">
        <f>STRAT8_IND2</f>
        <v>Objetivo estratégico 8 Indicador 2</v>
      </c>
      <c r="H63" s="260" t="str">
        <f ca="1">OFFSET(Variables_Lu!$D$10,Basic_Setup!H77,0)</f>
        <v>Nutrition-specific</v>
      </c>
      <c r="I63" s="67">
        <f>SUM(J63:N63)</f>
        <v>0</v>
      </c>
      <c r="J63" s="61"/>
      <c r="K63" s="61"/>
      <c r="L63" s="61"/>
      <c r="M63" s="61"/>
      <c r="N63" s="61"/>
    </row>
    <row r="64" spans="6:14" ht="12" x14ac:dyDescent="0.2">
      <c r="F64" s="447"/>
      <c r="G64" s="42" t="str">
        <f>STRAT8_IND3</f>
        <v>Objetivo estratégico 8 Indicador 3</v>
      </c>
      <c r="H64" s="260" t="str">
        <f ca="1">OFFSET(Variables_Lu!$D$10,Basic_Setup!H78,0)</f>
        <v>Nutrition-specific</v>
      </c>
      <c r="I64" s="67">
        <f>SUM(J64:N64)</f>
        <v>0</v>
      </c>
      <c r="J64" s="61"/>
      <c r="K64" s="61"/>
      <c r="L64" s="61"/>
      <c r="M64" s="61"/>
      <c r="N64" s="61"/>
    </row>
    <row r="65" spans="6:14" ht="12" x14ac:dyDescent="0.2">
      <c r="F65" s="447"/>
      <c r="G65" s="41" t="str">
        <f>STRAT8_IND4</f>
        <v>Objetivo estratégico 8 Indicador 4</v>
      </c>
      <c r="H65" s="260" t="str">
        <f ca="1">OFFSET(Variables_Lu!$D$10,Basic_Setup!H79,0)</f>
        <v>Nutrition-specific</v>
      </c>
      <c r="I65" s="67">
        <f>SUM(J65:N65)</f>
        <v>0</v>
      </c>
      <c r="J65" s="61"/>
      <c r="K65" s="61"/>
      <c r="L65" s="61"/>
      <c r="M65" s="61"/>
      <c r="N65" s="61"/>
    </row>
    <row r="66" spans="6:14" ht="12" x14ac:dyDescent="0.2">
      <c r="F66" s="448"/>
      <c r="G66" s="41" t="str">
        <f>STRAT8_IND5</f>
        <v>Objetivo estratégico 8 Indicador 5</v>
      </c>
      <c r="H66" s="260" t="str">
        <f ca="1">OFFSET(Variables_Lu!$D$10,Basic_Setup!H80,0)</f>
        <v>Nutrition-specific</v>
      </c>
      <c r="I66" s="67">
        <f>SUM(J66:N66)</f>
        <v>0</v>
      </c>
      <c r="J66" s="61"/>
      <c r="K66" s="61"/>
      <c r="L66" s="61"/>
      <c r="M66" s="61"/>
      <c r="N66" s="61"/>
    </row>
    <row r="67" spans="6:14" ht="12" x14ac:dyDescent="0.2">
      <c r="H67" s="152" t="s">
        <v>161</v>
      </c>
      <c r="I67" s="250">
        <f t="shared" ref="I67" si="17">SUM(I62:I66)</f>
        <v>0</v>
      </c>
      <c r="J67" s="64">
        <f t="shared" ref="J67:N67" si="18">SUM(J62:J66)</f>
        <v>0</v>
      </c>
      <c r="K67" s="64">
        <f t="shared" si="18"/>
        <v>0</v>
      </c>
      <c r="L67" s="64">
        <f t="shared" si="18"/>
        <v>0</v>
      </c>
      <c r="M67" s="64">
        <f t="shared" si="18"/>
        <v>0</v>
      </c>
      <c r="N67" s="64">
        <f t="shared" si="18"/>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67">
        <f>SUM(J68:N68)</f>
        <v>0</v>
      </c>
      <c r="J68" s="61"/>
      <c r="K68" s="61"/>
      <c r="L68" s="61"/>
      <c r="M68" s="61"/>
      <c r="N68" s="61"/>
    </row>
    <row r="69" spans="6:14" ht="12" x14ac:dyDescent="0.2">
      <c r="F69" s="447"/>
      <c r="G69" s="42" t="str">
        <f>STRAT9_IND2</f>
        <v>Objetivo estratégico 9 Indicador 2</v>
      </c>
      <c r="H69" s="260" t="str">
        <f ca="1">OFFSET(Variables_Lu!$D$10,Basic_Setup!H83,0)</f>
        <v>Nutrition-specific</v>
      </c>
      <c r="I69" s="67">
        <f>SUM(J69:N69)</f>
        <v>0</v>
      </c>
      <c r="J69" s="61"/>
      <c r="K69" s="61"/>
      <c r="L69" s="61"/>
      <c r="M69" s="61"/>
      <c r="N69" s="61"/>
    </row>
    <row r="70" spans="6:14" ht="12" x14ac:dyDescent="0.2">
      <c r="F70" s="447"/>
      <c r="G70" s="42" t="str">
        <f>STRAT9_IND3</f>
        <v>Objetivo estratégico 9 Indicador 3</v>
      </c>
      <c r="H70" s="260" t="str">
        <f ca="1">OFFSET(Variables_Lu!$D$10,Basic_Setup!H84,0)</f>
        <v>Nutrition-specific</v>
      </c>
      <c r="I70" s="67">
        <f>SUM(J70:N70)</f>
        <v>0</v>
      </c>
      <c r="J70" s="61"/>
      <c r="K70" s="61"/>
      <c r="L70" s="61"/>
      <c r="M70" s="61"/>
      <c r="N70" s="61"/>
    </row>
    <row r="71" spans="6:14" ht="12" x14ac:dyDescent="0.2">
      <c r="F71" s="447"/>
      <c r="G71" s="41" t="str">
        <f>STRAT9_IND4</f>
        <v>Objetivo estratégico 9 Indicador 4</v>
      </c>
      <c r="H71" s="260" t="str">
        <f ca="1">OFFSET(Variables_Lu!$D$10,Basic_Setup!H85,0)</f>
        <v>Nutrition-specific</v>
      </c>
      <c r="I71" s="67">
        <f>SUM(J71:N71)</f>
        <v>0</v>
      </c>
      <c r="J71" s="61"/>
      <c r="K71" s="61"/>
      <c r="L71" s="61"/>
      <c r="M71" s="61"/>
      <c r="N71" s="61"/>
    </row>
    <row r="72" spans="6:14" ht="12" x14ac:dyDescent="0.2">
      <c r="F72" s="448"/>
      <c r="G72" s="41" t="str">
        <f>STRAT9_IND5</f>
        <v>Objetivo estratégico 9 Indicador 5</v>
      </c>
      <c r="H72" s="260" t="str">
        <f ca="1">OFFSET(Variables_Lu!$D$10,Basic_Setup!H86,0)</f>
        <v>Nutrition-specific</v>
      </c>
      <c r="I72" s="67">
        <f>SUM(J72:N72)</f>
        <v>0</v>
      </c>
      <c r="J72" s="61"/>
      <c r="K72" s="61"/>
      <c r="L72" s="61"/>
      <c r="M72" s="61"/>
      <c r="N72" s="61"/>
    </row>
    <row r="73" spans="6:14" ht="12" x14ac:dyDescent="0.2">
      <c r="H73" s="152" t="s">
        <v>162</v>
      </c>
      <c r="I73" s="250">
        <f t="shared" ref="I73" si="19">SUM(I68:I72)</f>
        <v>0</v>
      </c>
      <c r="J73" s="64">
        <f t="shared" ref="J73:N73" si="20">SUM(J68:J72)</f>
        <v>0</v>
      </c>
      <c r="K73" s="64">
        <f t="shared" si="20"/>
        <v>0</v>
      </c>
      <c r="L73" s="64">
        <f t="shared" si="20"/>
        <v>0</v>
      </c>
      <c r="M73" s="64">
        <f t="shared" si="20"/>
        <v>0</v>
      </c>
      <c r="N73" s="64">
        <f t="shared" si="20"/>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67">
        <f>SUM(J74:N74)</f>
        <v>0</v>
      </c>
      <c r="J74" s="61"/>
      <c r="K74" s="61"/>
      <c r="L74" s="61"/>
      <c r="M74" s="61"/>
      <c r="N74" s="61"/>
    </row>
    <row r="75" spans="6:14" ht="12" x14ac:dyDescent="0.2">
      <c r="F75" s="447"/>
      <c r="G75" s="42" t="str">
        <f>STRAT10_IND2</f>
        <v>Objetivo estratégico 10 Indicador 2</v>
      </c>
      <c r="H75" s="260" t="str">
        <f ca="1">OFFSET(Variables_Lu!$D$10,Basic_Setup!H89,0)</f>
        <v>Nutrition-specific</v>
      </c>
      <c r="I75" s="67">
        <f>SUM(J75:N75)</f>
        <v>0</v>
      </c>
      <c r="J75" s="61"/>
      <c r="K75" s="61"/>
      <c r="L75" s="61"/>
      <c r="M75" s="61"/>
      <c r="N75" s="61"/>
    </row>
    <row r="76" spans="6:14" ht="12" x14ac:dyDescent="0.2">
      <c r="F76" s="447"/>
      <c r="G76" s="42" t="str">
        <f>STRAT10_IND3</f>
        <v>Objetivo estratégico 10 Indicador 3</v>
      </c>
      <c r="H76" s="260" t="str">
        <f ca="1">OFFSET(Variables_Lu!$D$10,Basic_Setup!H90,0)</f>
        <v>Nutrition-specific</v>
      </c>
      <c r="I76" s="67">
        <f>SUM(J76:N76)</f>
        <v>0</v>
      </c>
      <c r="J76" s="61"/>
      <c r="K76" s="61"/>
      <c r="L76" s="61"/>
      <c r="M76" s="61"/>
      <c r="N76" s="61"/>
    </row>
    <row r="77" spans="6:14" ht="11.25" customHeight="1" x14ac:dyDescent="0.2">
      <c r="F77" s="447"/>
      <c r="G77" s="41" t="str">
        <f>STRAT10_IND4</f>
        <v>Objetivo estratégico 10 Indicador 4</v>
      </c>
      <c r="H77" s="260" t="str">
        <f ca="1">OFFSET(Variables_Lu!$D$10,Basic_Setup!H91,0)</f>
        <v>Nutrition-specific</v>
      </c>
      <c r="I77" s="67">
        <f>SUM(J77:N77)</f>
        <v>0</v>
      </c>
      <c r="J77" s="61"/>
      <c r="K77" s="61"/>
      <c r="L77" s="61"/>
      <c r="M77" s="61"/>
      <c r="N77" s="61"/>
    </row>
    <row r="78" spans="6:14" ht="11.25" customHeight="1" x14ac:dyDescent="0.2">
      <c r="F78" s="448"/>
      <c r="G78" s="41" t="str">
        <f>STRAT10_IND5</f>
        <v>Objetivo estratégico 10 Indicador 5</v>
      </c>
      <c r="H78" s="260" t="str">
        <f ca="1">OFFSET(Variables_Lu!$D$10,Basic_Setup!H92,0)</f>
        <v>Nutrition-specific</v>
      </c>
      <c r="I78" s="67">
        <f>SUM(J78:N78)</f>
        <v>0</v>
      </c>
      <c r="J78" s="61"/>
      <c r="K78" s="61"/>
      <c r="L78" s="61"/>
      <c r="M78" s="61"/>
      <c r="N78" s="61"/>
    </row>
    <row r="79" spans="6:14" ht="11.25" customHeight="1" x14ac:dyDescent="0.2">
      <c r="H79" s="152" t="s">
        <v>163</v>
      </c>
      <c r="I79" s="250">
        <f t="shared" ref="I79" si="21">SUM(I74:I78)</f>
        <v>0</v>
      </c>
      <c r="J79" s="64">
        <f t="shared" ref="J79:N79" si="22">SUM(J74:J78)</f>
        <v>0</v>
      </c>
      <c r="K79" s="64">
        <f t="shared" si="22"/>
        <v>0</v>
      </c>
      <c r="L79" s="64">
        <f t="shared" si="22"/>
        <v>0</v>
      </c>
      <c r="M79" s="64">
        <f t="shared" si="22"/>
        <v>0</v>
      </c>
      <c r="N79" s="64">
        <f t="shared" si="22"/>
        <v>0</v>
      </c>
    </row>
    <row r="80" spans="6:14" ht="11.25" customHeight="1" x14ac:dyDescent="0.2"/>
    <row r="81" spans="6:14" ht="12.6" thickBot="1" x14ac:dyDescent="0.25">
      <c r="H81" s="149" t="str">
        <f>"TOTAL - "&amp;$F$12</f>
        <v>TOTAL - Banco Mundial</v>
      </c>
      <c r="I81" s="65">
        <f t="shared" ref="I81:N81" si="23">SUM(I25,I31,I37,I43,I49,I55,I61,I67,I73,I79)</f>
        <v>100332548</v>
      </c>
      <c r="J81" s="65">
        <f t="shared" si="23"/>
        <v>24909278</v>
      </c>
      <c r="K81" s="65">
        <f t="shared" si="23"/>
        <v>50513992</v>
      </c>
      <c r="L81" s="65">
        <f t="shared" si="23"/>
        <v>24909278</v>
      </c>
      <c r="M81" s="65">
        <f t="shared" si="23"/>
        <v>0</v>
      </c>
      <c r="N81" s="65">
        <f t="shared" si="23"/>
        <v>0</v>
      </c>
    </row>
    <row r="82" spans="6:14" ht="12" x14ac:dyDescent="0.2">
      <c r="I82" s="149"/>
    </row>
    <row r="83" spans="6:14" ht="12" x14ac:dyDescent="0.2">
      <c r="F83" s="44" t="s">
        <v>171</v>
      </c>
    </row>
    <row r="84" spans="6:14" x14ac:dyDescent="0.2">
      <c r="F84" s="49" t="s">
        <v>174</v>
      </c>
    </row>
    <row r="85" spans="6:14" x14ac:dyDescent="0.2">
      <c r="F85" s="49" t="s">
        <v>175</v>
      </c>
    </row>
    <row r="86" spans="6:14" x14ac:dyDescent="0.2">
      <c r="F86" s="49"/>
    </row>
    <row r="87" spans="6:14" x14ac:dyDescent="0.2">
      <c r="F87" s="49"/>
    </row>
    <row r="90" spans="6:14" ht="12.6" thickBot="1" x14ac:dyDescent="0.25">
      <c r="F90" s="1" t="s">
        <v>411</v>
      </c>
      <c r="G90" s="1" t="s">
        <v>412</v>
      </c>
      <c r="H90" s="406" t="s">
        <v>472</v>
      </c>
      <c r="I90" s="409" t="s">
        <v>106</v>
      </c>
      <c r="J90" s="54" t="str">
        <f>CURR_LCU_ABBR</f>
        <v>GOZ</v>
      </c>
      <c r="K90" s="54" t="str">
        <f>CURR_LCU_ABBR</f>
        <v>GOZ</v>
      </c>
      <c r="L90" s="54" t="str">
        <f>CURR_LCU_ABBR</f>
        <v>GOZ</v>
      </c>
      <c r="M90" s="54" t="str">
        <f>CURR_LCU_ABBR</f>
        <v>GOZ</v>
      </c>
      <c r="N90" s="54" t="str">
        <f>CURR_LCU_ABBR</f>
        <v>GOZ</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248">
        <f t="shared" ref="I91:N101" si="24">I20*EXCHANGE_RATE</f>
        <v>2046319200</v>
      </c>
      <c r="J91" s="220">
        <f t="shared" si="24"/>
        <v>510971400</v>
      </c>
      <c r="K91" s="220">
        <f t="shared" si="24"/>
        <v>1024376400</v>
      </c>
      <c r="L91" s="220">
        <f t="shared" si="24"/>
        <v>510971400</v>
      </c>
      <c r="M91" s="220">
        <f t="shared" si="24"/>
        <v>0</v>
      </c>
      <c r="N91" s="220">
        <f t="shared" si="24"/>
        <v>0</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248">
        <f t="shared" si="24"/>
        <v>0</v>
      </c>
      <c r="J92" s="220">
        <f t="shared" si="24"/>
        <v>0</v>
      </c>
      <c r="K92" s="220">
        <f t="shared" si="24"/>
        <v>0</v>
      </c>
      <c r="L92" s="220">
        <f t="shared" si="24"/>
        <v>0</v>
      </c>
      <c r="M92" s="220">
        <f t="shared" si="24"/>
        <v>0</v>
      </c>
      <c r="N92" s="220">
        <f t="shared" si="24"/>
        <v>0</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248">
        <f t="shared" si="24"/>
        <v>0</v>
      </c>
      <c r="J93" s="220">
        <f t="shared" si="24"/>
        <v>0</v>
      </c>
      <c r="K93" s="220">
        <f t="shared" si="24"/>
        <v>0</v>
      </c>
      <c r="L93" s="220">
        <f t="shared" si="24"/>
        <v>0</v>
      </c>
      <c r="M93" s="220">
        <f t="shared" si="24"/>
        <v>0</v>
      </c>
      <c r="N93" s="220">
        <f t="shared" si="24"/>
        <v>0</v>
      </c>
    </row>
    <row r="94" spans="6:14" ht="22.8" x14ac:dyDescent="0.2">
      <c r="F94" s="444"/>
      <c r="G94" s="41" t="str">
        <f>STRAT1_IND4</f>
        <v>El marco legislativo y reglamentario de la nutrición se ha fortalecido y está en funcionamiento.</v>
      </c>
      <c r="H94" s="268" t="str">
        <f ca="1">OFFSET(Variables_Lu!$D$10,Basic_Setup!H37,0)</f>
        <v>Governance</v>
      </c>
      <c r="I94" s="248">
        <f t="shared" si="24"/>
        <v>0</v>
      </c>
      <c r="J94" s="220">
        <f t="shared" si="24"/>
        <v>0</v>
      </c>
      <c r="K94" s="220">
        <f t="shared" si="24"/>
        <v>0</v>
      </c>
      <c r="L94" s="220">
        <f t="shared" si="24"/>
        <v>0</v>
      </c>
      <c r="M94" s="220">
        <f t="shared" si="24"/>
        <v>0</v>
      </c>
      <c r="N94" s="220">
        <f t="shared" si="24"/>
        <v>0</v>
      </c>
    </row>
    <row r="95" spans="6:14" ht="12.6" thickBot="1" x14ac:dyDescent="0.25">
      <c r="F95" s="445"/>
      <c r="G95" s="275" t="str">
        <f>STRAT1_IND5</f>
        <v>Objetivo estratégico 1 Indicador 5</v>
      </c>
      <c r="H95" s="270" t="str">
        <f ca="1">OFFSET(Variables_Lu!$D$10,Basic_Setup!H38,0)</f>
        <v>Governance</v>
      </c>
      <c r="I95" s="248">
        <f t="shared" si="24"/>
        <v>0</v>
      </c>
      <c r="J95" s="232">
        <f t="shared" si="24"/>
        <v>0</v>
      </c>
      <c r="K95" s="232">
        <f t="shared" si="24"/>
        <v>0</v>
      </c>
      <c r="L95" s="232">
        <f t="shared" si="24"/>
        <v>0</v>
      </c>
      <c r="M95" s="232">
        <f t="shared" si="24"/>
        <v>0</v>
      </c>
      <c r="N95" s="232">
        <f t="shared" si="24"/>
        <v>0</v>
      </c>
    </row>
    <row r="96" spans="6:14" ht="12.6" thickBot="1" x14ac:dyDescent="0.25">
      <c r="F96" s="38"/>
      <c r="G96" s="38"/>
      <c r="H96" s="152" t="s">
        <v>107</v>
      </c>
      <c r="I96" s="249">
        <f t="shared" si="24"/>
        <v>2046319200</v>
      </c>
      <c r="J96" s="221">
        <f t="shared" si="24"/>
        <v>510971400</v>
      </c>
      <c r="K96" s="221">
        <f t="shared" si="24"/>
        <v>1024376400</v>
      </c>
      <c r="L96" s="221">
        <f t="shared" si="24"/>
        <v>510971400</v>
      </c>
      <c r="M96" s="221">
        <f t="shared" si="24"/>
        <v>0</v>
      </c>
      <c r="N96" s="221">
        <f t="shared" si="24"/>
        <v>0</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248">
        <f t="shared" si="24"/>
        <v>0</v>
      </c>
      <c r="J97" s="220">
        <f t="shared" si="24"/>
        <v>0</v>
      </c>
      <c r="K97" s="220">
        <f t="shared" si="24"/>
        <v>0</v>
      </c>
      <c r="L97" s="220">
        <f t="shared" si="24"/>
        <v>0</v>
      </c>
      <c r="M97" s="220">
        <f t="shared" si="24"/>
        <v>0</v>
      </c>
      <c r="N97" s="220">
        <f t="shared" si="24"/>
        <v>0</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248">
        <f t="shared" si="24"/>
        <v>20741286600</v>
      </c>
      <c r="J98" s="220">
        <f t="shared" si="24"/>
        <v>5081498100</v>
      </c>
      <c r="K98" s="220">
        <f t="shared" si="24"/>
        <v>10578290400</v>
      </c>
      <c r="L98" s="220">
        <f t="shared" si="24"/>
        <v>5081498100</v>
      </c>
      <c r="M98" s="220">
        <f t="shared" si="24"/>
        <v>0</v>
      </c>
      <c r="N98" s="220">
        <f t="shared" si="24"/>
        <v>0</v>
      </c>
    </row>
    <row r="99" spans="6:14" ht="22.8" x14ac:dyDescent="0.2">
      <c r="F99" s="444"/>
      <c r="G99" s="42" t="str">
        <f>STRAT2_IND3</f>
        <v>Se refuerzan las intervenciones comunitarias en materia de nutrición.</v>
      </c>
      <c r="H99" s="268" t="str">
        <f ca="1">OFFSET(Variables_Lu!$D$10,Basic_Setup!H42,0)</f>
        <v>Nutrition-specific</v>
      </c>
      <c r="I99" s="248">
        <f t="shared" si="24"/>
        <v>0</v>
      </c>
      <c r="J99" s="220">
        <f t="shared" si="24"/>
        <v>0</v>
      </c>
      <c r="K99" s="220">
        <f t="shared" si="24"/>
        <v>0</v>
      </c>
      <c r="L99" s="220">
        <f t="shared" si="24"/>
        <v>0</v>
      </c>
      <c r="M99" s="220">
        <f t="shared" si="24"/>
        <v>0</v>
      </c>
      <c r="N99" s="220">
        <f t="shared" si="24"/>
        <v>0</v>
      </c>
    </row>
    <row r="100" spans="6:14" ht="12" x14ac:dyDescent="0.2">
      <c r="F100" s="444"/>
      <c r="G100" s="41" t="str">
        <f>STRAT2_IND4</f>
        <v>Objetivo estratégico 2 Indicador 4</v>
      </c>
      <c r="H100" s="268" t="str">
        <f ca="1">OFFSET(Variables_Lu!$D$10,Basic_Setup!H43,0)</f>
        <v>Nutrition-specific</v>
      </c>
      <c r="I100" s="248">
        <f t="shared" si="24"/>
        <v>0</v>
      </c>
      <c r="J100" s="220">
        <f t="shared" si="24"/>
        <v>0</v>
      </c>
      <c r="K100" s="220">
        <f t="shared" si="24"/>
        <v>0</v>
      </c>
      <c r="L100" s="220">
        <f t="shared" si="24"/>
        <v>0</v>
      </c>
      <c r="M100" s="220">
        <f t="shared" si="24"/>
        <v>0</v>
      </c>
      <c r="N100" s="220">
        <f t="shared" si="24"/>
        <v>0</v>
      </c>
    </row>
    <row r="101" spans="6:14" ht="12.6" thickBot="1" x14ac:dyDescent="0.25">
      <c r="F101" s="445"/>
      <c r="G101" s="275" t="str">
        <f>STRAT2_IND5</f>
        <v>Objetivo estratégico 2 Indicador 5</v>
      </c>
      <c r="H101" s="270" t="str">
        <f ca="1">OFFSET(Variables_Lu!$D$10,Basic_Setup!H44,0)</f>
        <v>Nutrition-specific</v>
      </c>
      <c r="I101" s="248">
        <f t="shared" si="24"/>
        <v>0</v>
      </c>
      <c r="J101" s="232">
        <f t="shared" si="24"/>
        <v>0</v>
      </c>
      <c r="K101" s="232">
        <f t="shared" si="24"/>
        <v>0</v>
      </c>
      <c r="L101" s="232">
        <f t="shared" si="24"/>
        <v>0</v>
      </c>
      <c r="M101" s="232">
        <f t="shared" si="24"/>
        <v>0</v>
      </c>
      <c r="N101" s="232">
        <f t="shared" si="24"/>
        <v>0</v>
      </c>
    </row>
    <row r="102" spans="6:14" ht="12.6" thickBot="1" x14ac:dyDescent="0.25">
      <c r="F102" s="38"/>
      <c r="G102" s="38"/>
      <c r="H102" s="152" t="s">
        <v>108</v>
      </c>
      <c r="I102" s="249">
        <f t="shared" ref="I102:I133" si="25">I31*EXCHANGE_RATE</f>
        <v>20741286600</v>
      </c>
      <c r="J102" s="247">
        <f>SUM(J97:J101)</f>
        <v>5081498100</v>
      </c>
      <c r="K102" s="247">
        <f>SUM(K97:K101)</f>
        <v>10578290400</v>
      </c>
      <c r="L102" s="247">
        <f>SUM(L97:L101)</f>
        <v>5081498100</v>
      </c>
      <c r="M102" s="247">
        <f>SUM(M97:M101)</f>
        <v>0</v>
      </c>
      <c r="N102" s="247">
        <f>SUM(N97:N101)</f>
        <v>0</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248">
        <f t="shared" si="25"/>
        <v>130775139000</v>
      </c>
      <c r="J103" s="220">
        <f t="shared" ref="J103:N107" si="26">J32*EXCHANGE_RATE</f>
        <v>32463720000</v>
      </c>
      <c r="K103" s="220">
        <f t="shared" si="26"/>
        <v>65847699000</v>
      </c>
      <c r="L103" s="220">
        <f t="shared" si="26"/>
        <v>32463720000</v>
      </c>
      <c r="M103" s="220">
        <f t="shared" si="26"/>
        <v>0</v>
      </c>
      <c r="N103" s="220">
        <f t="shared" si="26"/>
        <v>0</v>
      </c>
    </row>
    <row r="104" spans="6:14" ht="22.8" x14ac:dyDescent="0.2">
      <c r="F104" s="444"/>
      <c r="G104" s="42" t="str">
        <f>STRAT3_IND2</f>
        <v xml:space="preserve"> La seguridad alimentaria está garantizada para toda la nación.</v>
      </c>
      <c r="H104" s="268" t="str">
        <f ca="1">OFFSET(Variables_Lu!$D$10,Basic_Setup!H47,0)</f>
        <v>Nutrition-sensitive</v>
      </c>
      <c r="I104" s="248">
        <f t="shared" si="25"/>
        <v>0</v>
      </c>
      <c r="J104" s="220">
        <f t="shared" si="26"/>
        <v>0</v>
      </c>
      <c r="K104" s="220">
        <f t="shared" si="26"/>
        <v>0</v>
      </c>
      <c r="L104" s="220">
        <f t="shared" si="26"/>
        <v>0</v>
      </c>
      <c r="M104" s="220">
        <f t="shared" si="26"/>
        <v>0</v>
      </c>
      <c r="N104" s="220">
        <f t="shared" si="26"/>
        <v>0</v>
      </c>
    </row>
    <row r="105" spans="6:14" ht="12" x14ac:dyDescent="0.2">
      <c r="F105" s="444"/>
      <c r="G105" s="42" t="str">
        <f>STRAT3_IND3</f>
        <v>Objetivo estratégico 3 Indicador 3</v>
      </c>
      <c r="H105" s="268" t="str">
        <f ca="1">OFFSET(Variables_Lu!$D$10,Basic_Setup!H48,0)</f>
        <v>Nutrition-specific</v>
      </c>
      <c r="I105" s="248">
        <f t="shared" si="25"/>
        <v>0</v>
      </c>
      <c r="J105" s="220">
        <f t="shared" si="26"/>
        <v>0</v>
      </c>
      <c r="K105" s="220">
        <f t="shared" si="26"/>
        <v>0</v>
      </c>
      <c r="L105" s="220">
        <f t="shared" si="26"/>
        <v>0</v>
      </c>
      <c r="M105" s="220">
        <f t="shared" si="26"/>
        <v>0</v>
      </c>
      <c r="N105" s="220">
        <f t="shared" si="26"/>
        <v>0</v>
      </c>
    </row>
    <row r="106" spans="6:14" ht="12" x14ac:dyDescent="0.2">
      <c r="F106" s="444"/>
      <c r="G106" s="41" t="str">
        <f>STRAT3_IND4</f>
        <v>Objetivo estratégico 3 Indicador 4</v>
      </c>
      <c r="H106" s="268" t="str">
        <f ca="1">OFFSET(Variables_Lu!$D$10,Basic_Setup!H49,0)</f>
        <v>Nutrition-specific</v>
      </c>
      <c r="I106" s="248">
        <f t="shared" si="25"/>
        <v>0</v>
      </c>
      <c r="J106" s="220">
        <f t="shared" si="26"/>
        <v>0</v>
      </c>
      <c r="K106" s="220">
        <f t="shared" si="26"/>
        <v>0</v>
      </c>
      <c r="L106" s="220">
        <f t="shared" si="26"/>
        <v>0</v>
      </c>
      <c r="M106" s="220">
        <f t="shared" si="26"/>
        <v>0</v>
      </c>
      <c r="N106" s="220">
        <f t="shared" si="26"/>
        <v>0</v>
      </c>
    </row>
    <row r="107" spans="6:14" ht="12.6" thickBot="1" x14ac:dyDescent="0.25">
      <c r="F107" s="445"/>
      <c r="G107" s="275" t="str">
        <f>STRAT3_IND5</f>
        <v>Objetivo estratégico 3 Indicador 5</v>
      </c>
      <c r="H107" s="270" t="str">
        <f ca="1">OFFSET(Variables_Lu!$D$10,Basic_Setup!H50,0)</f>
        <v>Nutrition-specific</v>
      </c>
      <c r="I107" s="248">
        <f t="shared" si="25"/>
        <v>0</v>
      </c>
      <c r="J107" s="232">
        <f t="shared" si="26"/>
        <v>0</v>
      </c>
      <c r="K107" s="232">
        <f t="shared" si="26"/>
        <v>0</v>
      </c>
      <c r="L107" s="232">
        <f t="shared" si="26"/>
        <v>0</v>
      </c>
      <c r="M107" s="232">
        <f t="shared" si="26"/>
        <v>0</v>
      </c>
      <c r="N107" s="232">
        <f t="shared" si="26"/>
        <v>0</v>
      </c>
    </row>
    <row r="108" spans="6:14" ht="12.6" thickBot="1" x14ac:dyDescent="0.25">
      <c r="H108" s="152" t="s">
        <v>109</v>
      </c>
      <c r="I108" s="249">
        <f t="shared" si="25"/>
        <v>130775139000</v>
      </c>
      <c r="J108" s="247">
        <f>SUM(J103:J107)</f>
        <v>32463720000</v>
      </c>
      <c r="K108" s="247">
        <f t="shared" ref="K108:N108" si="27">SUM(K103:K107)</f>
        <v>65847699000</v>
      </c>
      <c r="L108" s="247">
        <f t="shared" si="27"/>
        <v>32463720000</v>
      </c>
      <c r="M108" s="247">
        <f t="shared" si="27"/>
        <v>0</v>
      </c>
      <c r="N108" s="247">
        <f t="shared" si="27"/>
        <v>0</v>
      </c>
    </row>
    <row r="109" spans="6:14" ht="22.95"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248">
        <f t="shared" si="25"/>
        <v>24989522400</v>
      </c>
      <c r="J109" s="220">
        <f t="shared" ref="J109:N113" si="28">J38*EXCHANGE_RATE</f>
        <v>6269539500</v>
      </c>
      <c r="K109" s="220">
        <f t="shared" si="28"/>
        <v>12450443400</v>
      </c>
      <c r="L109" s="220">
        <f t="shared" si="28"/>
        <v>6269539500</v>
      </c>
      <c r="M109" s="220">
        <f t="shared" si="28"/>
        <v>0</v>
      </c>
      <c r="N109" s="220">
        <f t="shared" si="28"/>
        <v>0</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248">
        <f t="shared" si="25"/>
        <v>0</v>
      </c>
      <c r="J110" s="220">
        <f t="shared" si="28"/>
        <v>0</v>
      </c>
      <c r="K110" s="220">
        <f t="shared" si="28"/>
        <v>0</v>
      </c>
      <c r="L110" s="220">
        <f t="shared" si="28"/>
        <v>0</v>
      </c>
      <c r="M110" s="220">
        <f t="shared" si="28"/>
        <v>0</v>
      </c>
      <c r="N110" s="220">
        <f t="shared" si="28"/>
        <v>0</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248">
        <f t="shared" si="25"/>
        <v>0</v>
      </c>
      <c r="J111" s="220">
        <f t="shared" si="28"/>
        <v>0</v>
      </c>
      <c r="K111" s="220">
        <f t="shared" si="28"/>
        <v>0</v>
      </c>
      <c r="L111" s="220">
        <f t="shared" si="28"/>
        <v>0</v>
      </c>
      <c r="M111" s="220">
        <f t="shared" si="28"/>
        <v>0</v>
      </c>
      <c r="N111" s="220">
        <f t="shared" si="28"/>
        <v>0</v>
      </c>
    </row>
    <row r="112" spans="6:14" ht="12" x14ac:dyDescent="0.2">
      <c r="F112" s="444"/>
      <c r="G112" s="41" t="str">
        <f>STRAT4_IND4</f>
        <v>Objetivo estratégico 4 Indicador 4</v>
      </c>
      <c r="H112" s="268" t="str">
        <f ca="1">OFFSET(Variables_Lu!$D$10,Basic_Setup!H55,0)</f>
        <v>Nutrition-specific</v>
      </c>
      <c r="I112" s="248">
        <f t="shared" si="25"/>
        <v>0</v>
      </c>
      <c r="J112" s="220">
        <f t="shared" si="28"/>
        <v>0</v>
      </c>
      <c r="K112" s="220">
        <f t="shared" si="28"/>
        <v>0</v>
      </c>
      <c r="L112" s="220">
        <f t="shared" si="28"/>
        <v>0</v>
      </c>
      <c r="M112" s="220">
        <f t="shared" si="28"/>
        <v>0</v>
      </c>
      <c r="N112" s="220">
        <f t="shared" si="28"/>
        <v>0</v>
      </c>
    </row>
    <row r="113" spans="6:14" ht="12.6" thickBot="1" x14ac:dyDescent="0.25">
      <c r="F113" s="445"/>
      <c r="G113" s="275" t="str">
        <f>STRAT4_IND5</f>
        <v>Objetivo estratégico 4 Indicador 5</v>
      </c>
      <c r="H113" s="270" t="str">
        <f ca="1">OFFSET(Variables_Lu!$D$10,Basic_Setup!H56,0)</f>
        <v>Nutrition-specific</v>
      </c>
      <c r="I113" s="248">
        <f t="shared" si="25"/>
        <v>0</v>
      </c>
      <c r="J113" s="232">
        <f t="shared" si="28"/>
        <v>0</v>
      </c>
      <c r="K113" s="232">
        <f t="shared" si="28"/>
        <v>0</v>
      </c>
      <c r="L113" s="232">
        <f t="shared" si="28"/>
        <v>0</v>
      </c>
      <c r="M113" s="232">
        <f t="shared" si="28"/>
        <v>0</v>
      </c>
      <c r="N113" s="232">
        <f t="shared" si="28"/>
        <v>0</v>
      </c>
    </row>
    <row r="114" spans="6:14" ht="12.6" thickBot="1" x14ac:dyDescent="0.25">
      <c r="H114" s="152" t="s">
        <v>110</v>
      </c>
      <c r="I114" s="249">
        <f t="shared" si="25"/>
        <v>24989522400</v>
      </c>
      <c r="J114" s="247">
        <f>SUM(J109:J113)</f>
        <v>6269539500</v>
      </c>
      <c r="K114" s="247">
        <f t="shared" ref="K114:N114" si="29">SUM(K109:K113)</f>
        <v>12450443400</v>
      </c>
      <c r="L114" s="247">
        <f t="shared" si="29"/>
        <v>6269539500</v>
      </c>
      <c r="M114" s="247">
        <f t="shared" si="29"/>
        <v>0</v>
      </c>
      <c r="N114" s="247">
        <f t="shared" si="29"/>
        <v>0</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248">
        <f t="shared" si="25"/>
        <v>2046319200</v>
      </c>
      <c r="J115" s="220">
        <f t="shared" ref="J115:N119" si="30">J44*EXCHANGE_RATE</f>
        <v>510971400</v>
      </c>
      <c r="K115" s="220">
        <f t="shared" si="30"/>
        <v>1024376400</v>
      </c>
      <c r="L115" s="220">
        <f t="shared" si="30"/>
        <v>510971400</v>
      </c>
      <c r="M115" s="220">
        <f t="shared" si="30"/>
        <v>0</v>
      </c>
      <c r="N115" s="220">
        <f t="shared" si="30"/>
        <v>0</v>
      </c>
    </row>
    <row r="116" spans="6:14" ht="22.8" x14ac:dyDescent="0.2">
      <c r="F116" s="444"/>
      <c r="G116" s="42" t="str">
        <f>STRAT5_IND2</f>
        <v>Se promueven dietas saludables y estilos de vida saludables para las personas.</v>
      </c>
      <c r="H116" s="268" t="str">
        <f ca="1">OFFSET(Variables_Lu!$D$10,Basic_Setup!H59,0)</f>
        <v>Nutrition-specific</v>
      </c>
      <c r="I116" s="248">
        <f t="shared" si="25"/>
        <v>0</v>
      </c>
      <c r="J116" s="220">
        <f t="shared" si="30"/>
        <v>0</v>
      </c>
      <c r="K116" s="220">
        <f t="shared" si="30"/>
        <v>0</v>
      </c>
      <c r="L116" s="220">
        <f t="shared" si="30"/>
        <v>0</v>
      </c>
      <c r="M116" s="220">
        <f t="shared" si="30"/>
        <v>0</v>
      </c>
      <c r="N116" s="220">
        <f t="shared" si="30"/>
        <v>0</v>
      </c>
    </row>
    <row r="117" spans="6:14" ht="22.8" x14ac:dyDescent="0.2">
      <c r="F117" s="444"/>
      <c r="G117" s="42" t="str">
        <f>STRAT5_IND3</f>
        <v>Se promueven las buenas prácticas WASH a nivel comunitario y doméstico</v>
      </c>
      <c r="H117" s="268" t="str">
        <f ca="1">OFFSET(Variables_Lu!$D$10,Basic_Setup!H60,0)</f>
        <v>Nutrition-sensitive</v>
      </c>
      <c r="I117" s="248">
        <f t="shared" si="25"/>
        <v>0</v>
      </c>
      <c r="J117" s="220">
        <f t="shared" si="30"/>
        <v>0</v>
      </c>
      <c r="K117" s="220">
        <f t="shared" si="30"/>
        <v>0</v>
      </c>
      <c r="L117" s="220">
        <f t="shared" si="30"/>
        <v>0</v>
      </c>
      <c r="M117" s="220">
        <f t="shared" si="30"/>
        <v>0</v>
      </c>
      <c r="N117" s="220">
        <f t="shared" si="30"/>
        <v>0</v>
      </c>
    </row>
    <row r="118" spans="6:14" ht="12" x14ac:dyDescent="0.2">
      <c r="F118" s="444"/>
      <c r="G118" s="41" t="str">
        <f>STRAT5_IND4</f>
        <v>Objetivo estratégico 5 Indicador 4</v>
      </c>
      <c r="H118" s="268" t="str">
        <f ca="1">OFFSET(Variables_Lu!$D$10,Basic_Setup!H61,0)</f>
        <v>Nutrition-specific</v>
      </c>
      <c r="I118" s="248">
        <f t="shared" si="25"/>
        <v>0</v>
      </c>
      <c r="J118" s="220">
        <f t="shared" si="30"/>
        <v>0</v>
      </c>
      <c r="K118" s="220">
        <f t="shared" si="30"/>
        <v>0</v>
      </c>
      <c r="L118" s="220">
        <f t="shared" si="30"/>
        <v>0</v>
      </c>
      <c r="M118" s="220">
        <f t="shared" si="30"/>
        <v>0</v>
      </c>
      <c r="N118" s="220">
        <f t="shared" si="30"/>
        <v>0</v>
      </c>
    </row>
    <row r="119" spans="6:14" ht="12.6" thickBot="1" x14ac:dyDescent="0.25">
      <c r="F119" s="445"/>
      <c r="G119" s="275" t="str">
        <f>STRAT5_IND5</f>
        <v>Objetivo estratégico 5 Indicador 5</v>
      </c>
      <c r="H119" s="270" t="str">
        <f ca="1">OFFSET(Variables_Lu!$D$10,Basic_Setup!H62,0)</f>
        <v>Nutrition-specific</v>
      </c>
      <c r="I119" s="248">
        <f t="shared" si="25"/>
        <v>0</v>
      </c>
      <c r="J119" s="232">
        <f t="shared" si="30"/>
        <v>0</v>
      </c>
      <c r="K119" s="232">
        <f t="shared" si="30"/>
        <v>0</v>
      </c>
      <c r="L119" s="232">
        <f t="shared" si="30"/>
        <v>0</v>
      </c>
      <c r="M119" s="232">
        <f t="shared" si="30"/>
        <v>0</v>
      </c>
      <c r="N119" s="232">
        <f t="shared" si="30"/>
        <v>0</v>
      </c>
    </row>
    <row r="120" spans="6:14" ht="12.6" thickBot="1" x14ac:dyDescent="0.25">
      <c r="H120" s="152" t="s">
        <v>111</v>
      </c>
      <c r="I120" s="249">
        <f t="shared" si="25"/>
        <v>2046319200</v>
      </c>
      <c r="J120" s="247">
        <f>SUM(J115:J119)</f>
        <v>510971400</v>
      </c>
      <c r="K120" s="247">
        <f t="shared" ref="K120:N120" si="31">SUM(K115:K119)</f>
        <v>1024376400</v>
      </c>
      <c r="L120" s="247">
        <f t="shared" si="31"/>
        <v>510971400</v>
      </c>
      <c r="M120" s="247">
        <f t="shared" si="31"/>
        <v>0</v>
      </c>
      <c r="N120" s="247">
        <f t="shared" si="31"/>
        <v>0</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248">
        <f t="shared" si="25"/>
        <v>0</v>
      </c>
      <c r="J121" s="220">
        <f t="shared" ref="J121:N125" si="32">J50*EXCHANGE_RATE</f>
        <v>0</v>
      </c>
      <c r="K121" s="220">
        <f t="shared" si="32"/>
        <v>0</v>
      </c>
      <c r="L121" s="220">
        <f t="shared" si="32"/>
        <v>0</v>
      </c>
      <c r="M121" s="220">
        <f t="shared" si="32"/>
        <v>0</v>
      </c>
      <c r="N121" s="220">
        <f t="shared" si="32"/>
        <v>0</v>
      </c>
    </row>
    <row r="122" spans="6:14" ht="12" x14ac:dyDescent="0.2">
      <c r="F122" s="444"/>
      <c r="G122" s="42" t="str">
        <f>STRAT6_IND2</f>
        <v>Objetivo estratégico 6 Indicador 2</v>
      </c>
      <c r="H122" s="268" t="str">
        <f ca="1">OFFSET(Variables_Lu!$D$10,Basic_Setup!H65,0)</f>
        <v>Nutrition-specific</v>
      </c>
      <c r="I122" s="248">
        <f t="shared" si="25"/>
        <v>0</v>
      </c>
      <c r="J122" s="220">
        <f t="shared" si="32"/>
        <v>0</v>
      </c>
      <c r="K122" s="220">
        <f t="shared" si="32"/>
        <v>0</v>
      </c>
      <c r="L122" s="220">
        <f t="shared" si="32"/>
        <v>0</v>
      </c>
      <c r="M122" s="220">
        <f t="shared" si="32"/>
        <v>0</v>
      </c>
      <c r="N122" s="220">
        <f t="shared" si="32"/>
        <v>0</v>
      </c>
    </row>
    <row r="123" spans="6:14" ht="12" x14ac:dyDescent="0.2">
      <c r="F123" s="444"/>
      <c r="G123" s="42" t="str">
        <f>STRAT6_IND3</f>
        <v>Objetivo estratégico 6 Indicador 3</v>
      </c>
      <c r="H123" s="268" t="str">
        <f ca="1">OFFSET(Variables_Lu!$D$10,Basic_Setup!H66,0)</f>
        <v>Nutrition-specific</v>
      </c>
      <c r="I123" s="248">
        <f t="shared" si="25"/>
        <v>0</v>
      </c>
      <c r="J123" s="220">
        <f t="shared" si="32"/>
        <v>0</v>
      </c>
      <c r="K123" s="220">
        <f t="shared" si="32"/>
        <v>0</v>
      </c>
      <c r="L123" s="220">
        <f t="shared" si="32"/>
        <v>0</v>
      </c>
      <c r="M123" s="220">
        <f t="shared" si="32"/>
        <v>0</v>
      </c>
      <c r="N123" s="220">
        <f t="shared" si="32"/>
        <v>0</v>
      </c>
    </row>
    <row r="124" spans="6:14" ht="12" x14ac:dyDescent="0.2">
      <c r="F124" s="444"/>
      <c r="G124" s="41" t="str">
        <f>STRAT6_IND4</f>
        <v>Objetivo estratégico 6 Indicador 4</v>
      </c>
      <c r="H124" s="268" t="str">
        <f ca="1">OFFSET(Variables_Lu!$D$10,Basic_Setup!H67,0)</f>
        <v>Nutrition-specific</v>
      </c>
      <c r="I124" s="248">
        <f t="shared" si="25"/>
        <v>0</v>
      </c>
      <c r="J124" s="220">
        <f t="shared" si="32"/>
        <v>0</v>
      </c>
      <c r="K124" s="220">
        <f t="shared" si="32"/>
        <v>0</v>
      </c>
      <c r="L124" s="220">
        <f t="shared" si="32"/>
        <v>0</v>
      </c>
      <c r="M124" s="220">
        <f t="shared" si="32"/>
        <v>0</v>
      </c>
      <c r="N124" s="220">
        <f t="shared" si="32"/>
        <v>0</v>
      </c>
    </row>
    <row r="125" spans="6:14" ht="12.6" thickBot="1" x14ac:dyDescent="0.25">
      <c r="F125" s="445"/>
      <c r="G125" s="275" t="str">
        <f>STRAT6_IND5</f>
        <v>Objetivo estratégico 6 Indicador 5</v>
      </c>
      <c r="H125" s="270" t="str">
        <f ca="1">OFFSET(Variables_Lu!$D$10,Basic_Setup!H68,0)</f>
        <v>Nutrition-specific</v>
      </c>
      <c r="I125" s="248">
        <f t="shared" si="25"/>
        <v>0</v>
      </c>
      <c r="J125" s="232">
        <f t="shared" si="32"/>
        <v>0</v>
      </c>
      <c r="K125" s="232">
        <f t="shared" si="32"/>
        <v>0</v>
      </c>
      <c r="L125" s="232">
        <f t="shared" si="32"/>
        <v>0</v>
      </c>
      <c r="M125" s="232">
        <f t="shared" si="32"/>
        <v>0</v>
      </c>
      <c r="N125" s="232">
        <f t="shared" si="32"/>
        <v>0</v>
      </c>
    </row>
    <row r="126" spans="6:14" ht="12.6" thickBot="1" x14ac:dyDescent="0.25">
      <c r="H126" s="152" t="s">
        <v>159</v>
      </c>
      <c r="I126" s="249">
        <f t="shared" si="25"/>
        <v>0</v>
      </c>
      <c r="J126" s="247">
        <f>SUM(J121:J125)</f>
        <v>0</v>
      </c>
      <c r="K126" s="247">
        <f>SUM(K121:K125)</f>
        <v>0</v>
      </c>
      <c r="L126" s="247">
        <f>SUM(L121:L125)</f>
        <v>0</v>
      </c>
      <c r="M126" s="247">
        <f>SUM(M121:M125)</f>
        <v>0</v>
      </c>
      <c r="N126" s="247">
        <f>SUM(N121:N125)</f>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248">
        <f t="shared" si="25"/>
        <v>0</v>
      </c>
      <c r="J127" s="220">
        <f t="shared" ref="J127:N131" si="33">J56*EXCHANGE_RATE</f>
        <v>0</v>
      </c>
      <c r="K127" s="220">
        <f t="shared" si="33"/>
        <v>0</v>
      </c>
      <c r="L127" s="220">
        <f t="shared" si="33"/>
        <v>0</v>
      </c>
      <c r="M127" s="220">
        <f t="shared" si="33"/>
        <v>0</v>
      </c>
      <c r="N127" s="220">
        <f t="shared" si="33"/>
        <v>0</v>
      </c>
    </row>
    <row r="128" spans="6:14" ht="12" x14ac:dyDescent="0.2">
      <c r="F128" s="444"/>
      <c r="G128" s="42" t="str">
        <f>STRAT7_IND2</f>
        <v>Objetivo estratégico 7 Indicador 2</v>
      </c>
      <c r="H128" s="268" t="str">
        <f ca="1">OFFSET(Variables_Lu!$D$10,Basic_Setup!H71,0)</f>
        <v>Nutrition-specific</v>
      </c>
      <c r="I128" s="248">
        <f t="shared" si="25"/>
        <v>0</v>
      </c>
      <c r="J128" s="220">
        <f t="shared" si="33"/>
        <v>0</v>
      </c>
      <c r="K128" s="220">
        <f t="shared" si="33"/>
        <v>0</v>
      </c>
      <c r="L128" s="220">
        <f t="shared" si="33"/>
        <v>0</v>
      </c>
      <c r="M128" s="220">
        <f t="shared" si="33"/>
        <v>0</v>
      </c>
      <c r="N128" s="220">
        <f t="shared" si="33"/>
        <v>0</v>
      </c>
    </row>
    <row r="129" spans="6:14" ht="12" x14ac:dyDescent="0.2">
      <c r="F129" s="444"/>
      <c r="G129" s="42" t="str">
        <f>STRAT7_IND3</f>
        <v>Objetivo estratégico 7 Indicador 3</v>
      </c>
      <c r="H129" s="268" t="str">
        <f ca="1">OFFSET(Variables_Lu!$D$10,Basic_Setup!H72,0)</f>
        <v>Nutrition-specific</v>
      </c>
      <c r="I129" s="248">
        <f t="shared" si="25"/>
        <v>0</v>
      </c>
      <c r="J129" s="220">
        <f t="shared" si="33"/>
        <v>0</v>
      </c>
      <c r="K129" s="220">
        <f t="shared" si="33"/>
        <v>0</v>
      </c>
      <c r="L129" s="220">
        <f t="shared" si="33"/>
        <v>0</v>
      </c>
      <c r="M129" s="220">
        <f t="shared" si="33"/>
        <v>0</v>
      </c>
      <c r="N129" s="220">
        <f t="shared" si="33"/>
        <v>0</v>
      </c>
    </row>
    <row r="130" spans="6:14" ht="12" x14ac:dyDescent="0.2">
      <c r="F130" s="444"/>
      <c r="G130" s="41" t="str">
        <f>STRAT7_IND4</f>
        <v>Objetivo estratégico 7 Indicador 4</v>
      </c>
      <c r="H130" s="268" t="str">
        <f ca="1">OFFSET(Variables_Lu!$D$10,Basic_Setup!H73,0)</f>
        <v>Nutrition-specific</v>
      </c>
      <c r="I130" s="248">
        <f t="shared" si="25"/>
        <v>0</v>
      </c>
      <c r="J130" s="220">
        <f t="shared" si="33"/>
        <v>0</v>
      </c>
      <c r="K130" s="220">
        <f t="shared" si="33"/>
        <v>0</v>
      </c>
      <c r="L130" s="220">
        <f t="shared" si="33"/>
        <v>0</v>
      </c>
      <c r="M130" s="220">
        <f t="shared" si="33"/>
        <v>0</v>
      </c>
      <c r="N130" s="220">
        <f t="shared" si="33"/>
        <v>0</v>
      </c>
    </row>
    <row r="131" spans="6:14" ht="12.6" thickBot="1" x14ac:dyDescent="0.25">
      <c r="F131" s="445"/>
      <c r="G131" s="275" t="str">
        <f>STRAT7_IND5</f>
        <v>Objetivo estratégico 7 Indicador 5</v>
      </c>
      <c r="H131" s="270" t="str">
        <f ca="1">OFFSET(Variables_Lu!$D$10,Basic_Setup!H74,0)</f>
        <v>Nutrition-specific</v>
      </c>
      <c r="I131" s="248">
        <f t="shared" si="25"/>
        <v>0</v>
      </c>
      <c r="J131" s="232">
        <f t="shared" si="33"/>
        <v>0</v>
      </c>
      <c r="K131" s="232">
        <f t="shared" si="33"/>
        <v>0</v>
      </c>
      <c r="L131" s="232">
        <f t="shared" si="33"/>
        <v>0</v>
      </c>
      <c r="M131" s="232">
        <f t="shared" si="33"/>
        <v>0</v>
      </c>
      <c r="N131" s="232">
        <f t="shared" si="33"/>
        <v>0</v>
      </c>
    </row>
    <row r="132" spans="6:14" ht="12.6" thickBot="1" x14ac:dyDescent="0.25">
      <c r="H132" s="152" t="s">
        <v>160</v>
      </c>
      <c r="I132" s="249">
        <f t="shared" si="25"/>
        <v>0</v>
      </c>
      <c r="J132" s="247">
        <f>SUM(J127:J131)</f>
        <v>0</v>
      </c>
      <c r="K132" s="247">
        <f>SUM(K127:K131)</f>
        <v>0</v>
      </c>
      <c r="L132" s="247">
        <f>SUM(L127:L131)</f>
        <v>0</v>
      </c>
      <c r="M132" s="247">
        <f>SUM(M127:M131)</f>
        <v>0</v>
      </c>
      <c r="N132" s="247">
        <f>SUM(N127:N131)</f>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248">
        <f t="shared" si="25"/>
        <v>0</v>
      </c>
      <c r="J133" s="220">
        <f t="shared" ref="J133:N137" si="34">J62*EXCHANGE_RATE</f>
        <v>0</v>
      </c>
      <c r="K133" s="220">
        <f t="shared" si="34"/>
        <v>0</v>
      </c>
      <c r="L133" s="220">
        <f t="shared" si="34"/>
        <v>0</v>
      </c>
      <c r="M133" s="220">
        <f t="shared" si="34"/>
        <v>0</v>
      </c>
      <c r="N133" s="220">
        <f t="shared" si="34"/>
        <v>0</v>
      </c>
    </row>
    <row r="134" spans="6:14" ht="12" x14ac:dyDescent="0.2">
      <c r="F134" s="444"/>
      <c r="G134" s="42" t="str">
        <f>STRAT8_IND2</f>
        <v>Objetivo estratégico 8 Indicador 2</v>
      </c>
      <c r="H134" s="268" t="str">
        <f ca="1">OFFSET(Variables_Lu!$D$10,Basic_Setup!H77,0)</f>
        <v>Nutrition-specific</v>
      </c>
      <c r="I134" s="248">
        <f t="shared" ref="I134:I150" si="35">I63*EXCHANGE_RATE</f>
        <v>0</v>
      </c>
      <c r="J134" s="220">
        <f t="shared" si="34"/>
        <v>0</v>
      </c>
      <c r="K134" s="220">
        <f t="shared" si="34"/>
        <v>0</v>
      </c>
      <c r="L134" s="220">
        <f t="shared" si="34"/>
        <v>0</v>
      </c>
      <c r="M134" s="220">
        <f t="shared" si="34"/>
        <v>0</v>
      </c>
      <c r="N134" s="220">
        <f t="shared" si="34"/>
        <v>0</v>
      </c>
    </row>
    <row r="135" spans="6:14" ht="12" x14ac:dyDescent="0.2">
      <c r="F135" s="444"/>
      <c r="G135" s="42" t="str">
        <f>STRAT8_IND3</f>
        <v>Objetivo estratégico 8 Indicador 3</v>
      </c>
      <c r="H135" s="268" t="str">
        <f ca="1">OFFSET(Variables_Lu!$D$10,Basic_Setup!H78,0)</f>
        <v>Nutrition-specific</v>
      </c>
      <c r="I135" s="248">
        <f t="shared" si="35"/>
        <v>0</v>
      </c>
      <c r="J135" s="220">
        <f t="shared" si="34"/>
        <v>0</v>
      </c>
      <c r="K135" s="220">
        <f t="shared" si="34"/>
        <v>0</v>
      </c>
      <c r="L135" s="220">
        <f t="shared" si="34"/>
        <v>0</v>
      </c>
      <c r="M135" s="220">
        <f t="shared" si="34"/>
        <v>0</v>
      </c>
      <c r="N135" s="220">
        <f t="shared" si="34"/>
        <v>0</v>
      </c>
    </row>
    <row r="136" spans="6:14" ht="12" x14ac:dyDescent="0.2">
      <c r="F136" s="444"/>
      <c r="G136" s="41" t="str">
        <f>STRAT8_IND4</f>
        <v>Objetivo estratégico 8 Indicador 4</v>
      </c>
      <c r="H136" s="268" t="str">
        <f ca="1">OFFSET(Variables_Lu!$D$10,Basic_Setup!H79,0)</f>
        <v>Nutrition-specific</v>
      </c>
      <c r="I136" s="248">
        <f t="shared" si="35"/>
        <v>0</v>
      </c>
      <c r="J136" s="220">
        <f t="shared" si="34"/>
        <v>0</v>
      </c>
      <c r="K136" s="220">
        <f t="shared" si="34"/>
        <v>0</v>
      </c>
      <c r="L136" s="220">
        <f t="shared" si="34"/>
        <v>0</v>
      </c>
      <c r="M136" s="220">
        <f t="shared" si="34"/>
        <v>0</v>
      </c>
      <c r="N136" s="220">
        <f t="shared" si="34"/>
        <v>0</v>
      </c>
    </row>
    <row r="137" spans="6:14" ht="12.6" thickBot="1" x14ac:dyDescent="0.25">
      <c r="F137" s="445"/>
      <c r="G137" s="275" t="str">
        <f>STRAT8_IND5</f>
        <v>Objetivo estratégico 8 Indicador 5</v>
      </c>
      <c r="H137" s="270" t="str">
        <f ca="1">OFFSET(Variables_Lu!$D$10,Basic_Setup!H80,0)</f>
        <v>Nutrition-specific</v>
      </c>
      <c r="I137" s="248">
        <f t="shared" si="35"/>
        <v>0</v>
      </c>
      <c r="J137" s="232">
        <f t="shared" si="34"/>
        <v>0</v>
      </c>
      <c r="K137" s="232">
        <f t="shared" si="34"/>
        <v>0</v>
      </c>
      <c r="L137" s="232">
        <f t="shared" si="34"/>
        <v>0</v>
      </c>
      <c r="M137" s="232">
        <f t="shared" si="34"/>
        <v>0</v>
      </c>
      <c r="N137" s="232">
        <f t="shared" si="34"/>
        <v>0</v>
      </c>
    </row>
    <row r="138" spans="6:14" ht="12.6" thickBot="1" x14ac:dyDescent="0.25">
      <c r="H138" s="152" t="s">
        <v>161</v>
      </c>
      <c r="I138" s="249">
        <f t="shared" si="35"/>
        <v>0</v>
      </c>
      <c r="J138" s="247">
        <f>SUM(J133:J137)</f>
        <v>0</v>
      </c>
      <c r="K138" s="247">
        <f>SUM(K133:K137)</f>
        <v>0</v>
      </c>
      <c r="L138" s="247">
        <f>SUM(L133:L137)</f>
        <v>0</v>
      </c>
      <c r="M138" s="247">
        <f>SUM(M133:M137)</f>
        <v>0</v>
      </c>
      <c r="N138" s="247">
        <f>SUM(N133:N137)</f>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248">
        <f t="shared" si="35"/>
        <v>0</v>
      </c>
      <c r="J139" s="220">
        <f t="shared" ref="J139:N143" si="36">J68*EXCHANGE_RATE</f>
        <v>0</v>
      </c>
      <c r="K139" s="220">
        <f t="shared" si="36"/>
        <v>0</v>
      </c>
      <c r="L139" s="220">
        <f t="shared" si="36"/>
        <v>0</v>
      </c>
      <c r="M139" s="220">
        <f t="shared" si="36"/>
        <v>0</v>
      </c>
      <c r="N139" s="220">
        <f t="shared" si="36"/>
        <v>0</v>
      </c>
    </row>
    <row r="140" spans="6:14" ht="12" x14ac:dyDescent="0.2">
      <c r="F140" s="444"/>
      <c r="G140" s="42" t="str">
        <f>STRAT9_IND2</f>
        <v>Objetivo estratégico 9 Indicador 2</v>
      </c>
      <c r="H140" s="268" t="str">
        <f ca="1">OFFSET(Variables_Lu!$D$10,Basic_Setup!H83,0)</f>
        <v>Nutrition-specific</v>
      </c>
      <c r="I140" s="248">
        <f t="shared" si="35"/>
        <v>0</v>
      </c>
      <c r="J140" s="220">
        <f t="shared" si="36"/>
        <v>0</v>
      </c>
      <c r="K140" s="220">
        <f t="shared" si="36"/>
        <v>0</v>
      </c>
      <c r="L140" s="220">
        <f t="shared" si="36"/>
        <v>0</v>
      </c>
      <c r="M140" s="220">
        <f t="shared" si="36"/>
        <v>0</v>
      </c>
      <c r="N140" s="220">
        <f t="shared" si="36"/>
        <v>0</v>
      </c>
    </row>
    <row r="141" spans="6:14" ht="12" x14ac:dyDescent="0.2">
      <c r="F141" s="444"/>
      <c r="G141" s="42" t="str">
        <f>STRAT9_IND3</f>
        <v>Objetivo estratégico 9 Indicador 3</v>
      </c>
      <c r="H141" s="268" t="str">
        <f ca="1">OFFSET(Variables_Lu!$D$10,Basic_Setup!H84,0)</f>
        <v>Nutrition-specific</v>
      </c>
      <c r="I141" s="248">
        <f t="shared" si="35"/>
        <v>0</v>
      </c>
      <c r="J141" s="220">
        <f t="shared" si="36"/>
        <v>0</v>
      </c>
      <c r="K141" s="220">
        <f t="shared" si="36"/>
        <v>0</v>
      </c>
      <c r="L141" s="220">
        <f t="shared" si="36"/>
        <v>0</v>
      </c>
      <c r="M141" s="220">
        <f t="shared" si="36"/>
        <v>0</v>
      </c>
      <c r="N141" s="220">
        <f t="shared" si="36"/>
        <v>0</v>
      </c>
    </row>
    <row r="142" spans="6:14" ht="12" x14ac:dyDescent="0.2">
      <c r="F142" s="444"/>
      <c r="G142" s="41" t="str">
        <f>STRAT9_IND4</f>
        <v>Objetivo estratégico 9 Indicador 4</v>
      </c>
      <c r="H142" s="268" t="str">
        <f ca="1">OFFSET(Variables_Lu!$D$10,Basic_Setup!H85,0)</f>
        <v>Nutrition-specific</v>
      </c>
      <c r="I142" s="248">
        <f t="shared" si="35"/>
        <v>0</v>
      </c>
      <c r="J142" s="220">
        <f t="shared" si="36"/>
        <v>0</v>
      </c>
      <c r="K142" s="220">
        <f t="shared" si="36"/>
        <v>0</v>
      </c>
      <c r="L142" s="220">
        <f t="shared" si="36"/>
        <v>0</v>
      </c>
      <c r="M142" s="220">
        <f t="shared" si="36"/>
        <v>0</v>
      </c>
      <c r="N142" s="220">
        <f t="shared" si="36"/>
        <v>0</v>
      </c>
    </row>
    <row r="143" spans="6:14" ht="12.6" thickBot="1" x14ac:dyDescent="0.25">
      <c r="F143" s="445"/>
      <c r="G143" s="275" t="str">
        <f>STRAT9_IND5</f>
        <v>Objetivo estratégico 9 Indicador 5</v>
      </c>
      <c r="H143" s="270" t="str">
        <f ca="1">OFFSET(Variables_Lu!$D$10,Basic_Setup!H86,0)</f>
        <v>Nutrition-specific</v>
      </c>
      <c r="I143" s="248">
        <f t="shared" si="35"/>
        <v>0</v>
      </c>
      <c r="J143" s="232">
        <f t="shared" si="36"/>
        <v>0</v>
      </c>
      <c r="K143" s="232">
        <f t="shared" si="36"/>
        <v>0</v>
      </c>
      <c r="L143" s="232">
        <f t="shared" si="36"/>
        <v>0</v>
      </c>
      <c r="M143" s="232">
        <f t="shared" si="36"/>
        <v>0</v>
      </c>
      <c r="N143" s="232">
        <f t="shared" si="36"/>
        <v>0</v>
      </c>
    </row>
    <row r="144" spans="6:14" ht="12.6" thickBot="1" x14ac:dyDescent="0.25">
      <c r="H144" s="152" t="s">
        <v>162</v>
      </c>
      <c r="I144" s="249">
        <f t="shared" si="35"/>
        <v>0</v>
      </c>
      <c r="J144" s="247">
        <f>SUM(J139:J143)</f>
        <v>0</v>
      </c>
      <c r="K144" s="247">
        <f>SUM(K139:K143)</f>
        <v>0</v>
      </c>
      <c r="L144" s="247">
        <f>SUM(L139:L143)</f>
        <v>0</v>
      </c>
      <c r="M144" s="247">
        <f>SUM(M139:M143)</f>
        <v>0</v>
      </c>
      <c r="N144" s="247">
        <f>SUM(N139:N143)</f>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248">
        <f t="shared" si="35"/>
        <v>0</v>
      </c>
      <c r="J145" s="220">
        <f t="shared" ref="J145:N149" si="37">J74*EXCHANGE_RATE</f>
        <v>0</v>
      </c>
      <c r="K145" s="220">
        <f t="shared" si="37"/>
        <v>0</v>
      </c>
      <c r="L145" s="220">
        <f t="shared" si="37"/>
        <v>0</v>
      </c>
      <c r="M145" s="220">
        <f t="shared" si="37"/>
        <v>0</v>
      </c>
      <c r="N145" s="220">
        <f t="shared" si="37"/>
        <v>0</v>
      </c>
    </row>
    <row r="146" spans="1:14" ht="12" x14ac:dyDescent="0.2">
      <c r="F146" s="444"/>
      <c r="G146" s="42" t="str">
        <f>STRAT10_IND2</f>
        <v>Objetivo estratégico 10 Indicador 2</v>
      </c>
      <c r="H146" s="268" t="str">
        <f ca="1">OFFSET(Variables_Lu!$D$10,Basic_Setup!H89,0)</f>
        <v>Nutrition-specific</v>
      </c>
      <c r="I146" s="248">
        <f t="shared" si="35"/>
        <v>0</v>
      </c>
      <c r="J146" s="220">
        <f t="shared" si="37"/>
        <v>0</v>
      </c>
      <c r="K146" s="220">
        <f t="shared" si="37"/>
        <v>0</v>
      </c>
      <c r="L146" s="220">
        <f t="shared" si="37"/>
        <v>0</v>
      </c>
      <c r="M146" s="220">
        <f t="shared" si="37"/>
        <v>0</v>
      </c>
      <c r="N146" s="220">
        <f t="shared" si="37"/>
        <v>0</v>
      </c>
    </row>
    <row r="147" spans="1:14" ht="12" x14ac:dyDescent="0.2">
      <c r="F147" s="444"/>
      <c r="G147" s="42" t="str">
        <f>STRAT10_IND3</f>
        <v>Objetivo estratégico 10 Indicador 3</v>
      </c>
      <c r="H147" s="268" t="str">
        <f ca="1">OFFSET(Variables_Lu!$D$10,Basic_Setup!H90,0)</f>
        <v>Nutrition-specific</v>
      </c>
      <c r="I147" s="248">
        <f t="shared" si="35"/>
        <v>0</v>
      </c>
      <c r="J147" s="220">
        <f t="shared" si="37"/>
        <v>0</v>
      </c>
      <c r="K147" s="220">
        <f t="shared" si="37"/>
        <v>0</v>
      </c>
      <c r="L147" s="220">
        <f t="shared" si="37"/>
        <v>0</v>
      </c>
      <c r="M147" s="220">
        <f t="shared" si="37"/>
        <v>0</v>
      </c>
      <c r="N147" s="220">
        <f t="shared" si="37"/>
        <v>0</v>
      </c>
    </row>
    <row r="148" spans="1:14" ht="12" x14ac:dyDescent="0.2">
      <c r="F148" s="444"/>
      <c r="G148" s="41" t="str">
        <f>STRAT10_IND4</f>
        <v>Objetivo estratégico 10 Indicador 4</v>
      </c>
      <c r="H148" s="268" t="str">
        <f ca="1">OFFSET(Variables_Lu!$D$10,Basic_Setup!H91,0)</f>
        <v>Nutrition-specific</v>
      </c>
      <c r="I148" s="248">
        <f t="shared" si="35"/>
        <v>0</v>
      </c>
      <c r="J148" s="220">
        <f t="shared" si="37"/>
        <v>0</v>
      </c>
      <c r="K148" s="220">
        <f t="shared" si="37"/>
        <v>0</v>
      </c>
      <c r="L148" s="220">
        <f t="shared" si="37"/>
        <v>0</v>
      </c>
      <c r="M148" s="220">
        <f t="shared" si="37"/>
        <v>0</v>
      </c>
      <c r="N148" s="220">
        <f t="shared" si="37"/>
        <v>0</v>
      </c>
    </row>
    <row r="149" spans="1:14" ht="12.6" thickBot="1" x14ac:dyDescent="0.25">
      <c r="F149" s="445"/>
      <c r="G149" s="275" t="str">
        <f>STRAT10_IND5</f>
        <v>Objetivo estratégico 10 Indicador 5</v>
      </c>
      <c r="H149" s="270" t="str">
        <f ca="1">OFFSET(Variables_Lu!$D$10,Basic_Setup!H92,0)</f>
        <v>Nutrition-specific</v>
      </c>
      <c r="I149" s="248">
        <f t="shared" si="35"/>
        <v>0</v>
      </c>
      <c r="J149" s="232">
        <f t="shared" si="37"/>
        <v>0</v>
      </c>
      <c r="K149" s="232">
        <f t="shared" si="37"/>
        <v>0</v>
      </c>
      <c r="L149" s="232">
        <f t="shared" si="37"/>
        <v>0</v>
      </c>
      <c r="M149" s="232">
        <f t="shared" si="37"/>
        <v>0</v>
      </c>
      <c r="N149" s="232">
        <f t="shared" si="37"/>
        <v>0</v>
      </c>
    </row>
    <row r="150" spans="1:14" ht="12" x14ac:dyDescent="0.2">
      <c r="H150" s="152" t="s">
        <v>163</v>
      </c>
      <c r="I150" s="249">
        <f t="shared" si="35"/>
        <v>0</v>
      </c>
      <c r="J150" s="247">
        <f>SUM(J145:J149)</f>
        <v>0</v>
      </c>
      <c r="K150" s="247">
        <f>SUM(K145:K149)</f>
        <v>0</v>
      </c>
      <c r="L150" s="247">
        <f>SUM(L145:L149)</f>
        <v>0</v>
      </c>
      <c r="M150" s="247">
        <f>SUM(M145:M149)</f>
        <v>0</v>
      </c>
      <c r="N150" s="247">
        <f>SUM(N145:N149)</f>
        <v>0</v>
      </c>
    </row>
    <row r="151" spans="1:14" x14ac:dyDescent="0.2">
      <c r="I151" s="231"/>
      <c r="J151" s="231"/>
      <c r="K151" s="231"/>
      <c r="L151" s="231"/>
      <c r="M151" s="231"/>
      <c r="N151" s="231"/>
    </row>
    <row r="152" spans="1:14" ht="12.6" thickBot="1" x14ac:dyDescent="0.25">
      <c r="H152" s="149" t="str">
        <f>"TOTAL - "&amp;$F$12</f>
        <v>TOTAL - Banco Mundial</v>
      </c>
      <c r="I152" s="222">
        <f t="shared" ref="I152:N152" si="38">I81*EXCHANGE_RATE</f>
        <v>180598586400</v>
      </c>
      <c r="J152" s="222">
        <f t="shared" si="38"/>
        <v>44836700400</v>
      </c>
      <c r="K152" s="222">
        <f t="shared" si="38"/>
        <v>90925185600</v>
      </c>
      <c r="L152" s="222">
        <f t="shared" si="38"/>
        <v>44836700400</v>
      </c>
      <c r="M152" s="222">
        <f t="shared" si="38"/>
        <v>0</v>
      </c>
      <c r="N152" s="222">
        <f t="shared" si="38"/>
        <v>0</v>
      </c>
    </row>
    <row r="153" spans="1:14" ht="12" x14ac:dyDescent="0.2">
      <c r="I153" s="149"/>
    </row>
    <row r="155" spans="1:14" x14ac:dyDescent="0.2">
      <c r="A155" s="39" t="s">
        <v>76</v>
      </c>
      <c r="B155" s="40" t="str">
        <f>"Summary of "&amp;Partner3&amp;" - by Result/Indicator Type"</f>
        <v>Summary of Banco Mundial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f ca="1">I159/$I$162</f>
        <v>0.73545126153877804</v>
      </c>
      <c r="I159" s="68">
        <f ca="1">SUM(J159:N159)</f>
        <v>132821458200</v>
      </c>
      <c r="J159" s="325">
        <f ca="1">SUMIF($H$91:$H$149,Lu_Nutrition_Specific,J$91:J$149)</f>
        <v>32974691400</v>
      </c>
      <c r="K159" s="325">
        <f ca="1">SUMIF($H$91:$H$149,Lu_Nutrition_Specific,K$91:K$149)</f>
        <v>66872075400</v>
      </c>
      <c r="L159" s="325">
        <f ca="1">SUMIF($H$91:$H$149,Lu_Nutrition_Specific,L$91:L$149)</f>
        <v>32974691400</v>
      </c>
      <c r="M159" s="325">
        <f ca="1">SUMIF($H$91:$H$149,Lu_Nutrition_Specific,M$91:M$149)</f>
        <v>0</v>
      </c>
      <c r="N159" s="325">
        <f ca="1">SUMIF($H$91:$H$149,Lu_Nutrition_Specific,N$91:N$149)</f>
        <v>0</v>
      </c>
    </row>
    <row r="160" spans="1:14" ht="12" x14ac:dyDescent="0.2">
      <c r="F160" s="38" t="str">
        <f>Lu_Nutrition_Sensitive</f>
        <v>Nutrition-sensitive</v>
      </c>
      <c r="G160" s="38"/>
      <c r="H160" s="289">
        <f t="shared" ref="H160:H161" ca="1" si="39">I160/$I$162</f>
        <v>0.2532179786762716</v>
      </c>
      <c r="I160" s="69">
        <f t="shared" ref="I160:I161" ca="1" si="40">SUM(J160:N160)</f>
        <v>45730809000</v>
      </c>
      <c r="J160" s="325">
        <f ca="1">SUMIF($H$91:$H$149,Lu_Nutrition_Sensitive,J$91:J$149)</f>
        <v>11351037600</v>
      </c>
      <c r="K160" s="325">
        <f ca="1">SUMIF($H$91:$H$149,Lu_Nutrition_Sensitive,K$91:K$149)</f>
        <v>23028733800</v>
      </c>
      <c r="L160" s="325">
        <f ca="1">SUMIF($H$91:$H$149,Lu_Nutrition_Sensitive,L$91:L$149)</f>
        <v>11351037600</v>
      </c>
      <c r="M160" s="325">
        <f ca="1">SUMIF($H$91:$H$149,Lu_Nutrition_Sensitive,M$91:M$149)</f>
        <v>0</v>
      </c>
      <c r="N160" s="325">
        <f ca="1">SUMIF($H$91:$H$149,Lu_Nutrition_Sensitive,N$91:N$149)</f>
        <v>0</v>
      </c>
    </row>
    <row r="161" spans="6:14" ht="12" x14ac:dyDescent="0.2">
      <c r="F161" s="38" t="str">
        <f>Lu_Governance</f>
        <v>Governance</v>
      </c>
      <c r="G161" s="38"/>
      <c r="H161" s="289">
        <f t="shared" ca="1" si="39"/>
        <v>1.1330759784950344E-2</v>
      </c>
      <c r="I161" s="396">
        <f t="shared" ca="1" si="40"/>
        <v>2046319200</v>
      </c>
      <c r="J161" s="325">
        <f ca="1">SUMIF($H$91:$H$149,Lu_Governance,J$91:J$149)</f>
        <v>510971400</v>
      </c>
      <c r="K161" s="325">
        <f ca="1">SUMIF($H$91:$H$149,Lu_Governance,K$91:K$149)</f>
        <v>1024376400</v>
      </c>
      <c r="L161" s="325">
        <f ca="1">SUMIF($H$91:$H$149,Lu_Governance,L$91:L$149)</f>
        <v>510971400</v>
      </c>
      <c r="M161" s="325">
        <f ca="1">SUMIF($H$91:$H$149,Lu_Governance,M$91:M$149)</f>
        <v>0</v>
      </c>
      <c r="N161" s="325">
        <f ca="1">SUMIF($H$91:$H$149,Lu_Governance,N$91:N$149)</f>
        <v>0</v>
      </c>
    </row>
    <row r="162" spans="6:14" ht="12" x14ac:dyDescent="0.2">
      <c r="F162" s="324" t="str">
        <f>"TOTAL - "&amp;Summary_Govt_Contributions!$F$12&amp;" ("&amp;CURR_LCU_ABBR&amp;")"</f>
        <v>TOTAL - TODAS las contribuciones de las agencias gubernamentales (GOZ)</v>
      </c>
      <c r="G162" s="74"/>
      <c r="H162" s="291">
        <f ca="1">SUM(H159:H161)</f>
        <v>1</v>
      </c>
      <c r="I162" s="57">
        <f ca="1">SUM(J162:N162)</f>
        <v>180598586400</v>
      </c>
      <c r="J162" s="55">
        <f ca="1">SUM(J159:J161)</f>
        <v>44836700400</v>
      </c>
      <c r="K162" s="55">
        <f t="shared" ref="K162:N162" ca="1" si="41">SUM(K159:K161)</f>
        <v>90925185600</v>
      </c>
      <c r="L162" s="55">
        <f t="shared" ca="1" si="41"/>
        <v>44836700400</v>
      </c>
      <c r="M162" s="55">
        <f t="shared" ca="1" si="41"/>
        <v>0</v>
      </c>
      <c r="N162" s="55">
        <f t="shared" ca="1" si="41"/>
        <v>0</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f ca="1">I166/$I$169</f>
        <v>0.73545126153877804</v>
      </c>
      <c r="I166" s="404">
        <f ca="1">SUM(J166:N166)</f>
        <v>73789699</v>
      </c>
      <c r="J166" s="407">
        <f t="shared" ref="J166:N168" ca="1" si="42">J159/EXCHANGE_RATE</f>
        <v>18319273</v>
      </c>
      <c r="K166" s="407">
        <f t="shared" ca="1" si="42"/>
        <v>37151153</v>
      </c>
      <c r="L166" s="407">
        <f t="shared" ca="1" si="42"/>
        <v>18319273</v>
      </c>
      <c r="M166" s="407">
        <f t="shared" ca="1" si="42"/>
        <v>0</v>
      </c>
      <c r="N166" s="407">
        <f t="shared" ca="1" si="42"/>
        <v>0</v>
      </c>
    </row>
    <row r="167" spans="6:14" ht="12" x14ac:dyDescent="0.2">
      <c r="F167" t="str">
        <f>Lu_Nutrition_Sensitive</f>
        <v>Nutrition-sensitive</v>
      </c>
      <c r="H167" s="289">
        <f t="shared" ref="H167:H168" ca="1" si="43">I167/$I$169</f>
        <v>0.2532179786762716</v>
      </c>
      <c r="I167" s="404">
        <f t="shared" ref="I167:I168" ca="1" si="44">SUM(J167:N167)</f>
        <v>25406005</v>
      </c>
      <c r="J167" s="407">
        <f t="shared" ca="1" si="42"/>
        <v>6306132</v>
      </c>
      <c r="K167" s="407">
        <f t="shared" ca="1" si="42"/>
        <v>12793741</v>
      </c>
      <c r="L167" s="407">
        <f t="shared" ca="1" si="42"/>
        <v>6306132</v>
      </c>
      <c r="M167" s="407">
        <f t="shared" ca="1" si="42"/>
        <v>0</v>
      </c>
      <c r="N167" s="407">
        <f t="shared" ca="1" si="42"/>
        <v>0</v>
      </c>
    </row>
    <row r="168" spans="6:14" ht="12" x14ac:dyDescent="0.2">
      <c r="F168" t="str">
        <f>Lu_Governance</f>
        <v>Governance</v>
      </c>
      <c r="H168" s="289">
        <f t="shared" ca="1" si="43"/>
        <v>1.1330759784950344E-2</v>
      </c>
      <c r="I168" s="404">
        <f t="shared" ca="1" si="44"/>
        <v>1136844</v>
      </c>
      <c r="J168" s="407">
        <f t="shared" ca="1" si="42"/>
        <v>283873</v>
      </c>
      <c r="K168" s="407">
        <f t="shared" ca="1" si="42"/>
        <v>569098</v>
      </c>
      <c r="L168" s="407">
        <f t="shared" ca="1" si="42"/>
        <v>283873</v>
      </c>
      <c r="M168" s="407">
        <f t="shared" ca="1" si="42"/>
        <v>0</v>
      </c>
      <c r="N168" s="407">
        <f t="shared" ca="1" si="42"/>
        <v>0</v>
      </c>
    </row>
    <row r="169" spans="6:14" ht="12" x14ac:dyDescent="0.2">
      <c r="F169" s="324" t="str">
        <f>"TOTAL - "&amp;Summary_Govt_Contributions!$F$12&amp;" ("&amp;CURR_INT_ABBR&amp;")"</f>
        <v>TOTAL - TODAS las contribuciones de las agencias gubernamentales (USD)</v>
      </c>
      <c r="G169" s="74"/>
      <c r="H169" s="291">
        <f ca="1">SUM(H166:H168)</f>
        <v>1</v>
      </c>
      <c r="I169" s="295">
        <f ca="1">SUM(J169:N169)</f>
        <v>100332548</v>
      </c>
      <c r="J169" s="408">
        <f ca="1">SUM(J166:J168)</f>
        <v>24909278</v>
      </c>
      <c r="K169" s="408">
        <f t="shared" ref="K169:N169" ca="1" si="45">SUM(K166:K168)</f>
        <v>50513992</v>
      </c>
      <c r="L169" s="408">
        <f t="shared" ca="1" si="45"/>
        <v>24909278</v>
      </c>
      <c r="M169" s="408">
        <f t="shared" ca="1" si="45"/>
        <v>0</v>
      </c>
      <c r="N169" s="408">
        <f t="shared" ca="1" si="45"/>
        <v>0</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3 J38:N42 J32:N36 J44:N48 J50:N54 J56:N60 J62:N66 J68:N72 J74:N78 J26:N30 J103:N107 J97:N101 J91:N95 J109:N113 J115:N119 J121:N125 J127:N131 J133:N137 J139:N143 J145:N149" xr:uid="{00000000-0002-0000-1700-000000000000}">
      <formula1>NOT(ISERROR(J20/1))</formula1>
    </dataValidation>
  </dataValidations>
  <hyperlinks>
    <hyperlink ref="A14" location="HL_Mod_Out" tooltip="Click to follow hyperlink." display="ð" xr:uid="{00000000-0004-0000-1700-000000000000}"/>
    <hyperlink ref="B4" location="Partner2!HL_Sheet_Main_13" tooltip="Go to Previous Sheet" display="ç" xr:uid="{00000000-0004-0000-1700-000001000000}"/>
    <hyperlink ref="C4" location="Partner4!HL_Sheet_Main_13" tooltip="Go to Next Sheet" display="è" xr:uid="{00000000-0004-0000-1700-000002000000}"/>
    <hyperlink ref="A4" r:id="rId1" tooltip="Go to Top of Sheet" xr:uid="{00000000-0004-0000-1700-000003000000}"/>
    <hyperlink ref="B3" location="HL_Home" tooltip="Go to Table of Contents" display="Go to Table of Contents" xr:uid="{00000000-0004-0000-1700-000004000000}"/>
    <hyperlink ref="A155" location="HL_Mod_Out" tooltip="Click to follow hyperlink." display="ð" xr:uid="{00000000-0004-0000-1700-000005000000}"/>
  </hyperlinks>
  <pageMargins left="0.4" right="0.4" top="0.6" bottom="1" header="0" footer="0.3"/>
  <pageSetup orientation="landscape" r:id="rId2"/>
  <headerFooter>
    <oddFooter>&amp;L&amp;F
&amp;A
Printed: &amp;T on &amp;D&amp;C&amp;",Bold"Sheet 2.o.
Page &amp;P of &amp;N</oddFooter>
  </headerFooter>
  <drawing r:id="rId3"/>
  <legacyDrawing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N169"/>
  <sheetViews>
    <sheetView showGridLines="0" topLeftCell="A3" workbookViewId="0">
      <pane ySplit="10" topLeftCell="A13" activePane="bottomLeft" state="frozen"/>
      <selection activeCell="A3" sqref="A3"/>
      <selection pane="bottomLeft" activeCell="F19" sqref="F19:H19"/>
    </sheetView>
  </sheetViews>
  <sheetFormatPr defaultColWidth="11.75" defaultRowHeight="11.4" x14ac:dyDescent="0.2"/>
  <cols>
    <col min="1" max="5" width="3.75" customWidth="1"/>
    <col min="6" max="7" width="50.75" customWidth="1"/>
    <col min="8" max="8" width="20.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Partner4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98.4" x14ac:dyDescent="0.2">
      <c r="F12" s="198" t="str">
        <f>Partner4</f>
        <v>Organización de las Naciones Unidas para la Alimentación y la Agricultura</v>
      </c>
      <c r="G12" s="60">
        <v>1</v>
      </c>
    </row>
    <row r="13" spans="1:14" s="38" customFormat="1" x14ac:dyDescent="0.2">
      <c r="G13"/>
    </row>
    <row r="14" spans="1:14" s="38" customFormat="1" x14ac:dyDescent="0.2">
      <c r="A14" s="39" t="s">
        <v>76</v>
      </c>
      <c r="B14" s="40" t="str">
        <f>"Planned Annual Contributions by "&amp;Partner4&amp;" - by Strategic Objective and Result/Indicator"</f>
        <v>Planned Annual Contributions by Organización de las Naciones Unidas para la Alimentación y la Agricultura - by Strategic Objective and Result/Indicator</v>
      </c>
      <c r="C14" s="40"/>
      <c r="D14" s="40"/>
      <c r="E14" s="40"/>
      <c r="F14" s="40"/>
      <c r="G14" s="40"/>
      <c r="H14" s="40"/>
      <c r="I14" s="40"/>
      <c r="J14" s="40"/>
      <c r="K14" s="40"/>
      <c r="L14" s="40"/>
      <c r="M14" s="40"/>
      <c r="N14" s="40"/>
    </row>
    <row r="19" spans="1:14" s="38" customFormat="1" ht="12" x14ac:dyDescent="0.2">
      <c r="F19" s="416" t="s">
        <v>389</v>
      </c>
      <c r="G19" s="416" t="s">
        <v>399</v>
      </c>
      <c r="H19" s="416" t="s">
        <v>559</v>
      </c>
      <c r="I19" s="409" t="s">
        <v>106</v>
      </c>
      <c r="J19" s="54" t="str">
        <f>CURR_INT_ABBR</f>
        <v>USD</v>
      </c>
      <c r="K19" s="54" t="str">
        <f>CURR_INT_ABBR</f>
        <v>USD</v>
      </c>
      <c r="L19" s="54" t="str">
        <f>CURR_INT_ABBR</f>
        <v>USD</v>
      </c>
      <c r="M19" s="54" t="str">
        <f>CURR_INT_ABBR</f>
        <v>USD</v>
      </c>
      <c r="N19" s="54" t="str">
        <f>CURR_INT_ABBR</f>
        <v>USD</v>
      </c>
    </row>
    <row r="20" spans="1: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67">
        <f>SUM(J20:N20)</f>
        <v>54500</v>
      </c>
      <c r="J20" s="61">
        <v>27250</v>
      </c>
      <c r="K20" s="61">
        <v>27250</v>
      </c>
      <c r="L20" s="61"/>
      <c r="M20" s="61"/>
      <c r="N20" s="61"/>
    </row>
    <row r="21" spans="1: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67">
        <f t="shared" ref="I21:I22" si="2">SUM(J21:N21)</f>
        <v>33400</v>
      </c>
      <c r="J21" s="61">
        <v>16700</v>
      </c>
      <c r="K21" s="61">
        <v>16700</v>
      </c>
      <c r="L21" s="61"/>
      <c r="M21" s="61"/>
      <c r="N21" s="61"/>
    </row>
    <row r="22" spans="1:14" s="38" customFormat="1" ht="22.8" x14ac:dyDescent="0.2">
      <c r="F22" s="447"/>
      <c r="G22" s="42" t="str">
        <f>STRAT1_IND3</f>
        <v>La investigación en nutrición se utiliza para aclarar que la toma de decisiones se mejora y se refuerza.</v>
      </c>
      <c r="H22" s="260" t="str">
        <f ca="1">OFFSET(Variables_Lu!$D$10,Basic_Setup!H36,0)</f>
        <v>Governance</v>
      </c>
      <c r="I22" s="67">
        <f t="shared" si="2"/>
        <v>0</v>
      </c>
      <c r="J22" s="61"/>
      <c r="K22" s="61"/>
      <c r="L22" s="61"/>
      <c r="M22" s="61"/>
      <c r="N22" s="61"/>
    </row>
    <row r="23" spans="1:14" s="38" customFormat="1" ht="22.8" x14ac:dyDescent="0.2">
      <c r="F23" s="447"/>
      <c r="G23" s="41" t="str">
        <f>STRAT1_IND4</f>
        <v>El marco legislativo y reglamentario de la nutrición se ha fortalecido y está en funcionamiento.</v>
      </c>
      <c r="H23" s="260" t="str">
        <f ca="1">OFFSET(Variables_Lu!$D$10,Basic_Setup!H37,0)</f>
        <v>Governance</v>
      </c>
      <c r="I23" s="67">
        <f>SUM(J23:N23)</f>
        <v>0</v>
      </c>
      <c r="J23" s="61"/>
      <c r="K23" s="61"/>
      <c r="L23" s="61"/>
      <c r="M23" s="61"/>
      <c r="N23" s="61"/>
    </row>
    <row r="24" spans="1:14" s="38" customFormat="1" ht="12" x14ac:dyDescent="0.2">
      <c r="F24" s="448"/>
      <c r="G24" s="41" t="str">
        <f>STRAT1_IND5</f>
        <v>Objetivo estratégico 1 Indicador 5</v>
      </c>
      <c r="H24" s="260" t="str">
        <f ca="1">OFFSET(Variables_Lu!$D$10,Basic_Setup!H38,0)</f>
        <v>Governance</v>
      </c>
      <c r="I24" s="67">
        <f>SUM(J24:N24)</f>
        <v>0</v>
      </c>
      <c r="J24" s="61"/>
      <c r="K24" s="61"/>
      <c r="L24" s="61"/>
      <c r="M24" s="61"/>
      <c r="N24" s="61"/>
    </row>
    <row r="25" spans="1:14" s="38" customFormat="1" ht="12" x14ac:dyDescent="0.2">
      <c r="H25" s="152" t="s">
        <v>107</v>
      </c>
      <c r="I25" s="250">
        <f>SUM(I20:I24)</f>
        <v>87900</v>
      </c>
      <c r="J25" s="64">
        <f>SUM(J20:J24)</f>
        <v>43950</v>
      </c>
      <c r="K25" s="64">
        <f t="shared" ref="K25:N25" si="3">SUM(K20:K24)</f>
        <v>43950</v>
      </c>
      <c r="L25" s="64">
        <f t="shared" si="3"/>
        <v>0</v>
      </c>
      <c r="M25" s="64">
        <f t="shared" si="3"/>
        <v>0</v>
      </c>
      <c r="N25" s="64">
        <f t="shared" si="3"/>
        <v>0</v>
      </c>
    </row>
    <row r="26" spans="1: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67">
        <f>SUM(J26:N26)</f>
        <v>0</v>
      </c>
      <c r="J26" s="61"/>
      <c r="K26" s="61"/>
      <c r="L26" s="61"/>
      <c r="M26" s="61"/>
      <c r="N26" s="61"/>
    </row>
    <row r="27" spans="1: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67">
        <f t="shared" ref="I27:I30" si="4">SUM(J27:N27)</f>
        <v>0</v>
      </c>
      <c r="J27" s="61"/>
      <c r="K27" s="61"/>
      <c r="L27" s="61"/>
      <c r="M27" s="61"/>
      <c r="N27" s="61"/>
    </row>
    <row r="28" spans="1:14" s="38" customFormat="1" ht="22.8" x14ac:dyDescent="0.2">
      <c r="F28" s="447"/>
      <c r="G28" s="42" t="str">
        <f>STRAT2_IND3</f>
        <v>Se refuerzan las intervenciones comunitarias en materia de nutrición.</v>
      </c>
      <c r="H28" s="260" t="str">
        <f ca="1">OFFSET(Variables_Lu!$D$10,Basic_Setup!H42,0)</f>
        <v>Nutrition-specific</v>
      </c>
      <c r="I28" s="67">
        <f t="shared" si="4"/>
        <v>0</v>
      </c>
      <c r="J28" s="61"/>
      <c r="K28" s="61"/>
      <c r="L28" s="61"/>
      <c r="M28" s="61"/>
      <c r="N28" s="61"/>
    </row>
    <row r="29" spans="1:14" s="38" customFormat="1" ht="12" x14ac:dyDescent="0.2">
      <c r="A29"/>
      <c r="F29" s="447"/>
      <c r="G29" s="41" t="str">
        <f>STRAT2_IND4</f>
        <v>Objetivo estratégico 2 Indicador 4</v>
      </c>
      <c r="H29" s="260" t="str">
        <f ca="1">OFFSET(Variables_Lu!$D$10,Basic_Setup!H43,0)</f>
        <v>Nutrition-specific</v>
      </c>
      <c r="I29" s="67">
        <f t="shared" si="4"/>
        <v>0</v>
      </c>
      <c r="J29" s="61"/>
      <c r="K29" s="61"/>
      <c r="L29" s="61"/>
      <c r="M29" s="61"/>
      <c r="N29" s="61"/>
    </row>
    <row r="30" spans="1:14" s="38" customFormat="1" ht="12" x14ac:dyDescent="0.2">
      <c r="F30" s="448"/>
      <c r="G30" s="41" t="str">
        <f>STRAT2_IND5</f>
        <v>Objetivo estratégico 2 Indicador 5</v>
      </c>
      <c r="H30" s="260" t="str">
        <f ca="1">OFFSET(Variables_Lu!$D$10,Basic_Setup!H44,0)</f>
        <v>Nutrition-specific</v>
      </c>
      <c r="I30" s="67">
        <f t="shared" si="4"/>
        <v>0</v>
      </c>
      <c r="J30" s="61"/>
      <c r="K30" s="61"/>
      <c r="L30" s="61"/>
      <c r="M30" s="61"/>
      <c r="N30" s="61"/>
    </row>
    <row r="31" spans="1:14" s="38" customFormat="1" ht="12" x14ac:dyDescent="0.2">
      <c r="H31" s="152" t="s">
        <v>108</v>
      </c>
      <c r="I31" s="250">
        <f t="shared" ref="I31" si="5">SUM(I26:I30)</f>
        <v>0</v>
      </c>
      <c r="J31" s="64">
        <f t="shared" ref="J31:N31" si="6">SUM(J26:J30)</f>
        <v>0</v>
      </c>
      <c r="K31" s="64">
        <f t="shared" si="6"/>
        <v>0</v>
      </c>
      <c r="L31" s="64">
        <f t="shared" si="6"/>
        <v>0</v>
      </c>
      <c r="M31" s="64">
        <f t="shared" si="6"/>
        <v>0</v>
      </c>
      <c r="N31" s="64">
        <f t="shared" si="6"/>
        <v>0</v>
      </c>
    </row>
    <row r="32" spans="1: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67">
        <f>SUM(J32:N32)</f>
        <v>2237774</v>
      </c>
      <c r="J32" s="61">
        <v>1317450</v>
      </c>
      <c r="K32" s="61">
        <v>565774</v>
      </c>
      <c r="L32" s="61">
        <v>354550</v>
      </c>
      <c r="M32" s="61"/>
      <c r="N32" s="61"/>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67">
        <f t="shared" ref="I33:I36" si="7">SUM(J33:N33)</f>
        <v>0</v>
      </c>
      <c r="J33" s="61"/>
      <c r="K33" s="61"/>
      <c r="L33" s="61"/>
      <c r="M33" s="61"/>
      <c r="N33" s="61"/>
    </row>
    <row r="34" spans="6:14" s="38" customFormat="1" ht="12" x14ac:dyDescent="0.2">
      <c r="F34" s="447"/>
      <c r="G34" s="42" t="str">
        <f>STRAT3_IND3</f>
        <v>Objetivo estratégico 3 Indicador 3</v>
      </c>
      <c r="H34" s="260" t="str">
        <f ca="1">OFFSET(Variables_Lu!$D$10,Basic_Setup!H48,0)</f>
        <v>Nutrition-specific</v>
      </c>
      <c r="I34" s="67">
        <f t="shared" si="7"/>
        <v>0</v>
      </c>
      <c r="J34" s="61"/>
      <c r="K34" s="61"/>
      <c r="L34" s="61"/>
      <c r="M34" s="61"/>
      <c r="N34" s="61"/>
    </row>
    <row r="35" spans="6:14" s="38" customFormat="1" ht="12" x14ac:dyDescent="0.2">
      <c r="F35" s="447"/>
      <c r="G35" s="41" t="str">
        <f>STRAT3_IND4</f>
        <v>Objetivo estratégico 3 Indicador 4</v>
      </c>
      <c r="H35" s="260" t="str">
        <f ca="1">OFFSET(Variables_Lu!$D$10,Basic_Setup!H49,0)</f>
        <v>Nutrition-specific</v>
      </c>
      <c r="I35" s="67">
        <f t="shared" si="7"/>
        <v>0</v>
      </c>
      <c r="J35" s="61"/>
      <c r="K35" s="61"/>
      <c r="L35" s="61"/>
      <c r="M35" s="61"/>
      <c r="N35" s="61"/>
    </row>
    <row r="36" spans="6:14" s="38" customFormat="1" ht="12" x14ac:dyDescent="0.2">
      <c r="F36" s="448"/>
      <c r="G36" s="41" t="str">
        <f>STRAT3_IND5</f>
        <v>Objetivo estratégico 3 Indicador 5</v>
      </c>
      <c r="H36" s="260" t="str">
        <f ca="1">OFFSET(Variables_Lu!$D$10,Basic_Setup!H50,0)</f>
        <v>Nutrition-specific</v>
      </c>
      <c r="I36" s="67">
        <f t="shared" si="7"/>
        <v>0</v>
      </c>
      <c r="J36" s="61"/>
      <c r="K36" s="61"/>
      <c r="L36" s="61"/>
      <c r="M36" s="61"/>
      <c r="N36" s="61"/>
    </row>
    <row r="37" spans="6:14" ht="12" x14ac:dyDescent="0.2">
      <c r="H37" s="152" t="s">
        <v>109</v>
      </c>
      <c r="I37" s="250">
        <f>SUM(I32:I36)</f>
        <v>2237774</v>
      </c>
      <c r="J37" s="64">
        <f>SUM(J32:J36)</f>
        <v>1317450</v>
      </c>
      <c r="K37" s="64">
        <f t="shared" ref="K37:N37" si="8">SUM(K32:K36)</f>
        <v>565774</v>
      </c>
      <c r="L37" s="64">
        <f t="shared" si="8"/>
        <v>354550</v>
      </c>
      <c r="M37" s="64">
        <f t="shared" si="8"/>
        <v>0</v>
      </c>
      <c r="N37" s="64">
        <f t="shared" si="8"/>
        <v>0</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67">
        <f>SUM(J38:N38)</f>
        <v>0</v>
      </c>
      <c r="J38" s="61"/>
      <c r="K38" s="61"/>
      <c r="L38" s="61"/>
      <c r="M38" s="61"/>
      <c r="N38" s="61"/>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67">
        <f t="shared" ref="I39:I42" si="9">SUM(J39:N39)</f>
        <v>51900</v>
      </c>
      <c r="J39" s="61">
        <v>37400</v>
      </c>
      <c r="K39" s="61">
        <v>14500</v>
      </c>
      <c r="L39" s="61"/>
      <c r="M39" s="61"/>
      <c r="N39" s="61"/>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67">
        <f>SUM(J40:N40)</f>
        <v>0</v>
      </c>
      <c r="J40" s="61"/>
      <c r="K40" s="61"/>
      <c r="L40" s="61"/>
      <c r="M40" s="61"/>
      <c r="N40" s="61"/>
    </row>
    <row r="41" spans="6:14" ht="12" x14ac:dyDescent="0.2">
      <c r="F41" s="447"/>
      <c r="G41" s="41" t="str">
        <f>STRAT4_IND4</f>
        <v>Objetivo estratégico 4 Indicador 4</v>
      </c>
      <c r="H41" s="260" t="str">
        <f ca="1">OFFSET(Variables_Lu!$D$10,Basic_Setup!H55,0)</f>
        <v>Nutrition-specific</v>
      </c>
      <c r="I41" s="67">
        <f>SUM(J41:N41)</f>
        <v>0</v>
      </c>
      <c r="J41" s="61"/>
      <c r="K41" s="61"/>
      <c r="L41" s="61"/>
      <c r="M41" s="61"/>
      <c r="N41" s="61"/>
    </row>
    <row r="42" spans="6:14" ht="12" x14ac:dyDescent="0.2">
      <c r="F42" s="448"/>
      <c r="G42" s="41" t="str">
        <f>STRAT4_IND5</f>
        <v>Objetivo estratégico 4 Indicador 5</v>
      </c>
      <c r="H42" s="260" t="str">
        <f ca="1">OFFSET(Variables_Lu!$D$10,Basic_Setup!H56,0)</f>
        <v>Nutrition-specific</v>
      </c>
      <c r="I42" s="67">
        <f t="shared" si="9"/>
        <v>0</v>
      </c>
      <c r="J42" s="61"/>
      <c r="K42" s="61"/>
      <c r="L42" s="61"/>
      <c r="M42" s="61"/>
      <c r="N42" s="61"/>
    </row>
    <row r="43" spans="6:14" ht="12" x14ac:dyDescent="0.2">
      <c r="H43" s="152" t="s">
        <v>110</v>
      </c>
      <c r="I43" s="250">
        <f>SUM(I38:I42)</f>
        <v>51900</v>
      </c>
      <c r="J43" s="64">
        <f>SUM(J38:J42)</f>
        <v>37400</v>
      </c>
      <c r="K43" s="64">
        <f t="shared" ref="K43:N43" si="10">SUM(K38:K42)</f>
        <v>14500</v>
      </c>
      <c r="L43" s="64">
        <f t="shared" si="10"/>
        <v>0</v>
      </c>
      <c r="M43" s="64">
        <f t="shared" si="10"/>
        <v>0</v>
      </c>
      <c r="N43" s="64">
        <f t="shared" si="10"/>
        <v>0</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67">
        <f>SUM(J44:N44)</f>
        <v>369886</v>
      </c>
      <c r="J44" s="61">
        <v>369886</v>
      </c>
      <c r="K44" s="61"/>
      <c r="L44" s="61"/>
      <c r="M44" s="61"/>
      <c r="N44" s="61"/>
    </row>
    <row r="45" spans="6:14" ht="22.8" x14ac:dyDescent="0.2">
      <c r="F45" s="447"/>
      <c r="G45" s="42" t="str">
        <f>STRAT5_IND2</f>
        <v>Se promueven dietas saludables y estilos de vida saludables para las personas.</v>
      </c>
      <c r="H45" s="260" t="str">
        <f ca="1">OFFSET(Variables_Lu!$D$10,Basic_Setup!H59,0)</f>
        <v>Nutrition-specific</v>
      </c>
      <c r="I45" s="67">
        <f t="shared" ref="I45:I48" si="11">SUM(J45:N45)</f>
        <v>35900</v>
      </c>
      <c r="J45" s="61">
        <v>18600</v>
      </c>
      <c r="K45" s="61">
        <v>17300</v>
      </c>
      <c r="L45" s="61"/>
      <c r="M45" s="61"/>
      <c r="N45" s="61"/>
    </row>
    <row r="46" spans="6:14" ht="22.8" x14ac:dyDescent="0.2">
      <c r="F46" s="447"/>
      <c r="G46" s="42" t="str">
        <f>STRAT5_IND3</f>
        <v>Se promueven las buenas prácticas WASH a nivel comunitario y doméstico</v>
      </c>
      <c r="H46" s="260" t="str">
        <f ca="1">OFFSET(Variables_Lu!$D$10,Basic_Setup!H60,0)</f>
        <v>Nutrition-sensitive</v>
      </c>
      <c r="I46" s="67">
        <f t="shared" si="11"/>
        <v>0</v>
      </c>
      <c r="J46" s="61"/>
      <c r="K46" s="61"/>
      <c r="L46" s="61"/>
      <c r="M46" s="61"/>
      <c r="N46" s="61"/>
    </row>
    <row r="47" spans="6:14" ht="12" x14ac:dyDescent="0.2">
      <c r="F47" s="447"/>
      <c r="G47" s="41" t="str">
        <f>STRAT5_IND4</f>
        <v>Objetivo estratégico 5 Indicador 4</v>
      </c>
      <c r="H47" s="260" t="str">
        <f ca="1">OFFSET(Variables_Lu!$D$10,Basic_Setup!H61,0)</f>
        <v>Nutrition-specific</v>
      </c>
      <c r="I47" s="67">
        <f t="shared" si="11"/>
        <v>0</v>
      </c>
      <c r="J47" s="61"/>
      <c r="K47" s="61"/>
      <c r="L47" s="61"/>
      <c r="M47" s="61"/>
      <c r="N47" s="61"/>
    </row>
    <row r="48" spans="6:14" ht="12" x14ac:dyDescent="0.2">
      <c r="F48" s="448"/>
      <c r="G48" s="41" t="str">
        <f>STRAT5_IND5</f>
        <v>Objetivo estratégico 5 Indicador 5</v>
      </c>
      <c r="H48" s="260" t="str">
        <f ca="1">OFFSET(Variables_Lu!$D$10,Basic_Setup!H62,0)</f>
        <v>Nutrition-specific</v>
      </c>
      <c r="I48" s="67">
        <f t="shared" si="11"/>
        <v>0</v>
      </c>
      <c r="J48" s="61"/>
      <c r="K48" s="61"/>
      <c r="L48" s="61"/>
      <c r="M48" s="61"/>
      <c r="N48" s="61"/>
    </row>
    <row r="49" spans="6:14" ht="12" x14ac:dyDescent="0.2">
      <c r="H49" s="152" t="s">
        <v>111</v>
      </c>
      <c r="I49" s="250">
        <f>SUM(I44:I48)</f>
        <v>405786</v>
      </c>
      <c r="J49" s="64">
        <f>SUM(J44:J48)</f>
        <v>388486</v>
      </c>
      <c r="K49" s="64">
        <f t="shared" ref="K49:N49" si="12">SUM(K44:K48)</f>
        <v>17300</v>
      </c>
      <c r="L49" s="64">
        <f t="shared" si="12"/>
        <v>0</v>
      </c>
      <c r="M49" s="64">
        <f t="shared" si="12"/>
        <v>0</v>
      </c>
      <c r="N49" s="64">
        <f t="shared" si="12"/>
        <v>0</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67">
        <f>SUM(J50:N50)</f>
        <v>0</v>
      </c>
      <c r="J50" s="61"/>
      <c r="K50" s="61"/>
      <c r="L50" s="61"/>
      <c r="M50" s="61"/>
      <c r="N50" s="61"/>
    </row>
    <row r="51" spans="6:14" ht="12" x14ac:dyDescent="0.2">
      <c r="F51" s="447"/>
      <c r="G51" s="42" t="str">
        <f>STRAT6_IND2</f>
        <v>Objetivo estratégico 6 Indicador 2</v>
      </c>
      <c r="H51" s="260" t="str">
        <f ca="1">OFFSET(Variables_Lu!$D$10,Basic_Setup!H65,0)</f>
        <v>Nutrition-specific</v>
      </c>
      <c r="I51" s="67">
        <f>SUM(J51:N51)</f>
        <v>0</v>
      </c>
      <c r="J51" s="61"/>
      <c r="K51" s="61"/>
      <c r="L51" s="61"/>
      <c r="M51" s="61"/>
      <c r="N51" s="61"/>
    </row>
    <row r="52" spans="6:14" ht="12" x14ac:dyDescent="0.2">
      <c r="F52" s="447"/>
      <c r="G52" s="42" t="str">
        <f>STRAT6_IND3</f>
        <v>Objetivo estratégico 6 Indicador 3</v>
      </c>
      <c r="H52" s="260" t="str">
        <f ca="1">OFFSET(Variables_Lu!$D$10,Basic_Setup!H66,0)</f>
        <v>Nutrition-specific</v>
      </c>
      <c r="I52" s="67">
        <f>SUM(J52:N52)</f>
        <v>0</v>
      </c>
      <c r="J52" s="61"/>
      <c r="K52" s="61"/>
      <c r="L52" s="61"/>
      <c r="M52" s="61"/>
      <c r="N52" s="61"/>
    </row>
    <row r="53" spans="6:14" ht="12" x14ac:dyDescent="0.2">
      <c r="F53" s="447"/>
      <c r="G53" s="41" t="str">
        <f>STRAT6_IND4</f>
        <v>Objetivo estratégico 6 Indicador 4</v>
      </c>
      <c r="H53" s="260" t="str">
        <f ca="1">OFFSET(Variables_Lu!$D$10,Basic_Setup!H67,0)</f>
        <v>Nutrition-specific</v>
      </c>
      <c r="I53" s="67">
        <f>SUM(J53:N53)</f>
        <v>0</v>
      </c>
      <c r="J53" s="61"/>
      <c r="K53" s="61"/>
      <c r="L53" s="61"/>
      <c r="M53" s="61"/>
      <c r="N53" s="61"/>
    </row>
    <row r="54" spans="6:14" ht="12" x14ac:dyDescent="0.2">
      <c r="F54" s="448"/>
      <c r="G54" s="41" t="str">
        <f>STRAT6_IND5</f>
        <v>Objetivo estratégico 6 Indicador 5</v>
      </c>
      <c r="H54" s="260" t="str">
        <f ca="1">OFFSET(Variables_Lu!$D$10,Basic_Setup!H68,0)</f>
        <v>Nutrition-specific</v>
      </c>
      <c r="I54" s="67">
        <f>SUM(J54:N54)</f>
        <v>0</v>
      </c>
      <c r="J54" s="61"/>
      <c r="K54" s="61"/>
      <c r="L54" s="61"/>
      <c r="M54" s="61"/>
      <c r="N54" s="61"/>
    </row>
    <row r="55" spans="6:14" ht="12" x14ac:dyDescent="0.2">
      <c r="H55" s="152" t="s">
        <v>159</v>
      </c>
      <c r="I55" s="250">
        <f t="shared" ref="I55" si="13">SUM(I50:I54)</f>
        <v>0</v>
      </c>
      <c r="J55" s="64">
        <f t="shared" ref="J55:N55" si="14">SUM(J50:J54)</f>
        <v>0</v>
      </c>
      <c r="K55" s="64">
        <f t="shared" si="14"/>
        <v>0</v>
      </c>
      <c r="L55" s="64">
        <f t="shared" si="14"/>
        <v>0</v>
      </c>
      <c r="M55" s="64">
        <f t="shared" si="14"/>
        <v>0</v>
      </c>
      <c r="N55" s="64">
        <f t="shared" si="14"/>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67">
        <f>SUM(J56:N56)</f>
        <v>0</v>
      </c>
      <c r="J56" s="61"/>
      <c r="K56" s="61"/>
      <c r="L56" s="61"/>
      <c r="M56" s="61"/>
      <c r="N56" s="61"/>
    </row>
    <row r="57" spans="6:14" ht="12" x14ac:dyDescent="0.2">
      <c r="F57" s="447"/>
      <c r="G57" s="42" t="str">
        <f>STRAT7_IND2</f>
        <v>Objetivo estratégico 7 Indicador 2</v>
      </c>
      <c r="H57" s="260" t="str">
        <f ca="1">OFFSET(Variables_Lu!$D$10,Basic_Setup!H71,0)</f>
        <v>Nutrition-specific</v>
      </c>
      <c r="I57" s="67">
        <f>SUM(J57:N57)</f>
        <v>0</v>
      </c>
      <c r="J57" s="61"/>
      <c r="K57" s="61"/>
      <c r="L57" s="61"/>
      <c r="M57" s="61"/>
      <c r="N57" s="61"/>
    </row>
    <row r="58" spans="6:14" ht="12" x14ac:dyDescent="0.2">
      <c r="F58" s="447"/>
      <c r="G58" s="42" t="str">
        <f>STRAT7_IND3</f>
        <v>Objetivo estratégico 7 Indicador 3</v>
      </c>
      <c r="H58" s="260" t="str">
        <f ca="1">OFFSET(Variables_Lu!$D$10,Basic_Setup!H72,0)</f>
        <v>Nutrition-specific</v>
      </c>
      <c r="I58" s="67">
        <f>SUM(J58:N58)</f>
        <v>0</v>
      </c>
      <c r="J58" s="61"/>
      <c r="K58" s="61"/>
      <c r="L58" s="61"/>
      <c r="M58" s="61"/>
      <c r="N58" s="61"/>
    </row>
    <row r="59" spans="6:14" ht="12" x14ac:dyDescent="0.2">
      <c r="F59" s="447"/>
      <c r="G59" s="41" t="str">
        <f>STRAT7_IND4</f>
        <v>Objetivo estratégico 7 Indicador 4</v>
      </c>
      <c r="H59" s="260" t="str">
        <f ca="1">OFFSET(Variables_Lu!$D$10,Basic_Setup!H73,0)</f>
        <v>Nutrition-specific</v>
      </c>
      <c r="I59" s="67">
        <f>SUM(J59:N59)</f>
        <v>0</v>
      </c>
      <c r="J59" s="61"/>
      <c r="K59" s="61"/>
      <c r="L59" s="61"/>
      <c r="M59" s="61"/>
      <c r="N59" s="61"/>
    </row>
    <row r="60" spans="6:14" ht="12" x14ac:dyDescent="0.2">
      <c r="F60" s="448"/>
      <c r="G60" s="41" t="str">
        <f>STRAT7_IND5</f>
        <v>Objetivo estratégico 7 Indicador 5</v>
      </c>
      <c r="H60" s="260" t="str">
        <f ca="1">OFFSET(Variables_Lu!$D$10,Basic_Setup!H74,0)</f>
        <v>Nutrition-specific</v>
      </c>
      <c r="I60" s="67">
        <f>SUM(J60:N60)</f>
        <v>0</v>
      </c>
      <c r="J60" s="61"/>
      <c r="K60" s="61"/>
      <c r="L60" s="61"/>
      <c r="M60" s="61"/>
      <c r="N60" s="61"/>
    </row>
    <row r="61" spans="6:14" ht="12" x14ac:dyDescent="0.2">
      <c r="H61" s="152" t="s">
        <v>160</v>
      </c>
      <c r="I61" s="250">
        <f t="shared" ref="I61" si="15">SUM(I56:I60)</f>
        <v>0</v>
      </c>
      <c r="J61" s="64">
        <f t="shared" ref="J61:N61" si="16">SUM(J56:J60)</f>
        <v>0</v>
      </c>
      <c r="K61" s="64">
        <f t="shared" si="16"/>
        <v>0</v>
      </c>
      <c r="L61" s="64">
        <f t="shared" si="16"/>
        <v>0</v>
      </c>
      <c r="M61" s="64">
        <f t="shared" si="16"/>
        <v>0</v>
      </c>
      <c r="N61" s="64">
        <f t="shared" si="16"/>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67">
        <f>SUM(J62:N62)</f>
        <v>0</v>
      </c>
      <c r="J62" s="61"/>
      <c r="K62" s="61"/>
      <c r="L62" s="61"/>
      <c r="M62" s="61"/>
      <c r="N62" s="61"/>
    </row>
    <row r="63" spans="6:14" ht="12" x14ac:dyDescent="0.2">
      <c r="F63" s="447"/>
      <c r="G63" s="42" t="str">
        <f>STRAT8_IND2</f>
        <v>Objetivo estratégico 8 Indicador 2</v>
      </c>
      <c r="H63" s="260" t="str">
        <f ca="1">OFFSET(Variables_Lu!$D$10,Basic_Setup!H77,0)</f>
        <v>Nutrition-specific</v>
      </c>
      <c r="I63" s="67">
        <f>SUM(J63:N63)</f>
        <v>0</v>
      </c>
      <c r="J63" s="61"/>
      <c r="K63" s="61"/>
      <c r="L63" s="61"/>
      <c r="M63" s="61"/>
      <c r="N63" s="61"/>
    </row>
    <row r="64" spans="6:14" ht="12" x14ac:dyDescent="0.2">
      <c r="F64" s="447"/>
      <c r="G64" s="42" t="str">
        <f>STRAT8_IND3</f>
        <v>Objetivo estratégico 8 Indicador 3</v>
      </c>
      <c r="H64" s="260" t="str">
        <f ca="1">OFFSET(Variables_Lu!$D$10,Basic_Setup!H78,0)</f>
        <v>Nutrition-specific</v>
      </c>
      <c r="I64" s="67">
        <f>SUM(J64:N64)</f>
        <v>0</v>
      </c>
      <c r="J64" s="61"/>
      <c r="K64" s="61"/>
      <c r="L64" s="61"/>
      <c r="M64" s="61"/>
      <c r="N64" s="61"/>
    </row>
    <row r="65" spans="6:14" ht="12" x14ac:dyDescent="0.2">
      <c r="F65" s="447"/>
      <c r="G65" s="41" t="str">
        <f>STRAT8_IND4</f>
        <v>Objetivo estratégico 8 Indicador 4</v>
      </c>
      <c r="H65" s="260" t="str">
        <f ca="1">OFFSET(Variables_Lu!$D$10,Basic_Setup!H79,0)</f>
        <v>Nutrition-specific</v>
      </c>
      <c r="I65" s="67">
        <f>SUM(J65:N65)</f>
        <v>0</v>
      </c>
      <c r="J65" s="61"/>
      <c r="K65" s="61"/>
      <c r="L65" s="61"/>
      <c r="M65" s="61"/>
      <c r="N65" s="61"/>
    </row>
    <row r="66" spans="6:14" ht="12" x14ac:dyDescent="0.2">
      <c r="F66" s="448"/>
      <c r="G66" s="41" t="str">
        <f>STRAT8_IND5</f>
        <v>Objetivo estratégico 8 Indicador 5</v>
      </c>
      <c r="H66" s="260" t="str">
        <f ca="1">OFFSET(Variables_Lu!$D$10,Basic_Setup!H80,0)</f>
        <v>Nutrition-specific</v>
      </c>
      <c r="I66" s="67">
        <f>SUM(J66:N66)</f>
        <v>0</v>
      </c>
      <c r="J66" s="61"/>
      <c r="K66" s="61"/>
      <c r="L66" s="61"/>
      <c r="M66" s="61"/>
      <c r="N66" s="61"/>
    </row>
    <row r="67" spans="6:14" ht="12" x14ac:dyDescent="0.2">
      <c r="H67" s="152" t="s">
        <v>161</v>
      </c>
      <c r="I67" s="250">
        <f t="shared" ref="I67" si="17">SUM(I62:I66)</f>
        <v>0</v>
      </c>
      <c r="J67" s="64">
        <f t="shared" ref="J67:N67" si="18">SUM(J62:J66)</f>
        <v>0</v>
      </c>
      <c r="K67" s="64">
        <f t="shared" si="18"/>
        <v>0</v>
      </c>
      <c r="L67" s="64">
        <f t="shared" si="18"/>
        <v>0</v>
      </c>
      <c r="M67" s="64">
        <f t="shared" si="18"/>
        <v>0</v>
      </c>
      <c r="N67" s="64">
        <f t="shared" si="18"/>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67">
        <f>SUM(J68:N68)</f>
        <v>0</v>
      </c>
      <c r="J68" s="61"/>
      <c r="K68" s="61"/>
      <c r="L68" s="61"/>
      <c r="M68" s="61"/>
      <c r="N68" s="61"/>
    </row>
    <row r="69" spans="6:14" ht="12" x14ac:dyDescent="0.2">
      <c r="F69" s="447"/>
      <c r="G69" s="42" t="str">
        <f>STRAT9_IND2</f>
        <v>Objetivo estratégico 9 Indicador 2</v>
      </c>
      <c r="H69" s="260" t="str">
        <f ca="1">OFFSET(Variables_Lu!$D$10,Basic_Setup!H83,0)</f>
        <v>Nutrition-specific</v>
      </c>
      <c r="I69" s="67">
        <f>SUM(J69:N69)</f>
        <v>0</v>
      </c>
      <c r="J69" s="61"/>
      <c r="K69" s="61"/>
      <c r="L69" s="61"/>
      <c r="M69" s="61"/>
      <c r="N69" s="61"/>
    </row>
    <row r="70" spans="6:14" ht="12" x14ac:dyDescent="0.2">
      <c r="F70" s="447"/>
      <c r="G70" s="42" t="str">
        <f>STRAT9_IND3</f>
        <v>Objetivo estratégico 9 Indicador 3</v>
      </c>
      <c r="H70" s="260" t="str">
        <f ca="1">OFFSET(Variables_Lu!$D$10,Basic_Setup!H84,0)</f>
        <v>Nutrition-specific</v>
      </c>
      <c r="I70" s="67">
        <f>SUM(J70:N70)</f>
        <v>0</v>
      </c>
      <c r="J70" s="61"/>
      <c r="K70" s="61"/>
      <c r="L70" s="61"/>
      <c r="M70" s="61"/>
      <c r="N70" s="61"/>
    </row>
    <row r="71" spans="6:14" ht="12" x14ac:dyDescent="0.2">
      <c r="F71" s="447"/>
      <c r="G71" s="41" t="str">
        <f>STRAT9_IND4</f>
        <v>Objetivo estratégico 9 Indicador 4</v>
      </c>
      <c r="H71" s="260" t="str">
        <f ca="1">OFFSET(Variables_Lu!$D$10,Basic_Setup!H85,0)</f>
        <v>Nutrition-specific</v>
      </c>
      <c r="I71" s="67">
        <f>SUM(J71:N71)</f>
        <v>0</v>
      </c>
      <c r="J71" s="61"/>
      <c r="K71" s="61"/>
      <c r="L71" s="61"/>
      <c r="M71" s="61"/>
      <c r="N71" s="61"/>
    </row>
    <row r="72" spans="6:14" ht="12" x14ac:dyDescent="0.2">
      <c r="F72" s="448"/>
      <c r="G72" s="41" t="str">
        <f>STRAT9_IND5</f>
        <v>Objetivo estratégico 9 Indicador 5</v>
      </c>
      <c r="H72" s="260" t="str">
        <f ca="1">OFFSET(Variables_Lu!$D$10,Basic_Setup!H86,0)</f>
        <v>Nutrition-specific</v>
      </c>
      <c r="I72" s="67">
        <f>SUM(J72:N72)</f>
        <v>0</v>
      </c>
      <c r="J72" s="61"/>
      <c r="K72" s="61"/>
      <c r="L72" s="61"/>
      <c r="M72" s="61"/>
      <c r="N72" s="61"/>
    </row>
    <row r="73" spans="6:14" ht="12" x14ac:dyDescent="0.2">
      <c r="H73" s="152" t="s">
        <v>162</v>
      </c>
      <c r="I73" s="250">
        <f t="shared" ref="I73" si="19">SUM(I68:I72)</f>
        <v>0</v>
      </c>
      <c r="J73" s="64">
        <f t="shared" ref="J73:N73" si="20">SUM(J68:J72)</f>
        <v>0</v>
      </c>
      <c r="K73" s="64">
        <f t="shared" si="20"/>
        <v>0</v>
      </c>
      <c r="L73" s="64">
        <f t="shared" si="20"/>
        <v>0</v>
      </c>
      <c r="M73" s="64">
        <f t="shared" si="20"/>
        <v>0</v>
      </c>
      <c r="N73" s="64">
        <f t="shared" si="20"/>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67">
        <f>SUM(J74:N74)</f>
        <v>0</v>
      </c>
      <c r="J74" s="61"/>
      <c r="K74" s="61"/>
      <c r="L74" s="61"/>
      <c r="M74" s="61"/>
      <c r="N74" s="61"/>
    </row>
    <row r="75" spans="6:14" ht="12" x14ac:dyDescent="0.2">
      <c r="F75" s="447"/>
      <c r="G75" s="42" t="str">
        <f>STRAT10_IND2</f>
        <v>Objetivo estratégico 10 Indicador 2</v>
      </c>
      <c r="H75" s="260" t="str">
        <f ca="1">OFFSET(Variables_Lu!$D$10,Basic_Setup!H89,0)</f>
        <v>Nutrition-specific</v>
      </c>
      <c r="I75" s="67">
        <f>SUM(J75:N75)</f>
        <v>0</v>
      </c>
      <c r="J75" s="61"/>
      <c r="K75" s="61"/>
      <c r="L75" s="61"/>
      <c r="M75" s="61"/>
      <c r="N75" s="61"/>
    </row>
    <row r="76" spans="6:14" ht="12" x14ac:dyDescent="0.2">
      <c r="F76" s="447"/>
      <c r="G76" s="42" t="str">
        <f>STRAT10_IND3</f>
        <v>Objetivo estratégico 10 Indicador 3</v>
      </c>
      <c r="H76" s="260" t="str">
        <f ca="1">OFFSET(Variables_Lu!$D$10,Basic_Setup!H90,0)</f>
        <v>Nutrition-specific</v>
      </c>
      <c r="I76" s="67">
        <f>SUM(J76:N76)</f>
        <v>0</v>
      </c>
      <c r="J76" s="61"/>
      <c r="K76" s="61"/>
      <c r="L76" s="61"/>
      <c r="M76" s="61"/>
      <c r="N76" s="61"/>
    </row>
    <row r="77" spans="6:14" ht="11.25" customHeight="1" x14ac:dyDescent="0.2">
      <c r="F77" s="447"/>
      <c r="G77" s="41" t="str">
        <f>STRAT10_IND4</f>
        <v>Objetivo estratégico 10 Indicador 4</v>
      </c>
      <c r="H77" s="260" t="str">
        <f ca="1">OFFSET(Variables_Lu!$D$10,Basic_Setup!H91,0)</f>
        <v>Nutrition-specific</v>
      </c>
      <c r="I77" s="67">
        <f>SUM(J77:N77)</f>
        <v>0</v>
      </c>
      <c r="J77" s="61"/>
      <c r="K77" s="61"/>
      <c r="L77" s="61"/>
      <c r="M77" s="61"/>
      <c r="N77" s="61"/>
    </row>
    <row r="78" spans="6:14" ht="11.25" customHeight="1" x14ac:dyDescent="0.2">
      <c r="F78" s="448"/>
      <c r="G78" s="41" t="str">
        <f>STRAT10_IND5</f>
        <v>Objetivo estratégico 10 Indicador 5</v>
      </c>
      <c r="H78" s="260" t="str">
        <f ca="1">OFFSET(Variables_Lu!$D$10,Basic_Setup!H92,0)</f>
        <v>Nutrition-specific</v>
      </c>
      <c r="I78" s="67">
        <f>SUM(J78:N78)</f>
        <v>0</v>
      </c>
      <c r="J78" s="61"/>
      <c r="K78" s="61"/>
      <c r="L78" s="61"/>
      <c r="M78" s="61"/>
      <c r="N78" s="61"/>
    </row>
    <row r="79" spans="6:14" ht="11.25" customHeight="1" x14ac:dyDescent="0.2">
      <c r="H79" s="152" t="s">
        <v>163</v>
      </c>
      <c r="I79" s="250">
        <f t="shared" ref="I79" si="21">SUM(I74:I78)</f>
        <v>0</v>
      </c>
      <c r="J79" s="64">
        <f t="shared" ref="J79:N79" si="22">SUM(J74:J78)</f>
        <v>0</v>
      </c>
      <c r="K79" s="64">
        <f t="shared" si="22"/>
        <v>0</v>
      </c>
      <c r="L79" s="64">
        <f t="shared" si="22"/>
        <v>0</v>
      </c>
      <c r="M79" s="64">
        <f t="shared" si="22"/>
        <v>0</v>
      </c>
      <c r="N79" s="64">
        <f t="shared" si="22"/>
        <v>0</v>
      </c>
    </row>
    <row r="80" spans="6:14" ht="11.25" customHeight="1" x14ac:dyDescent="0.2"/>
    <row r="81" spans="6:14" ht="12.6" thickBot="1" x14ac:dyDescent="0.25">
      <c r="H81" s="149" t="str">
        <f>"TOTAL - "&amp;$F$12</f>
        <v>TOTAL - Organización de las Naciones Unidas para la Alimentación y la Agricultura</v>
      </c>
      <c r="I81" s="65">
        <f t="shared" ref="I81:N81" si="23">SUM(I25,I31,I37,I43,I49,I55,I61,I67,I73,I79)</f>
        <v>2783360</v>
      </c>
      <c r="J81" s="65">
        <f t="shared" si="23"/>
        <v>1787286</v>
      </c>
      <c r="K81" s="65">
        <f t="shared" si="23"/>
        <v>641524</v>
      </c>
      <c r="L81" s="65">
        <f t="shared" si="23"/>
        <v>354550</v>
      </c>
      <c r="M81" s="65">
        <f t="shared" si="23"/>
        <v>0</v>
      </c>
      <c r="N81" s="65">
        <f t="shared" si="23"/>
        <v>0</v>
      </c>
    </row>
    <row r="82" spans="6:14" ht="12" x14ac:dyDescent="0.2">
      <c r="I82" s="149"/>
    </row>
    <row r="83" spans="6:14" ht="12" x14ac:dyDescent="0.2">
      <c r="F83" s="44" t="s">
        <v>171</v>
      </c>
    </row>
    <row r="84" spans="6:14" x14ac:dyDescent="0.2">
      <c r="F84" s="49" t="s">
        <v>174</v>
      </c>
    </row>
    <row r="85" spans="6:14" x14ac:dyDescent="0.2">
      <c r="F85" s="49" t="s">
        <v>175</v>
      </c>
    </row>
    <row r="86" spans="6:14" x14ac:dyDescent="0.2">
      <c r="F86" s="49"/>
    </row>
    <row r="87" spans="6:14" x14ac:dyDescent="0.2">
      <c r="F87" s="49"/>
    </row>
    <row r="90" spans="6:14" ht="12.6" thickBot="1" x14ac:dyDescent="0.25">
      <c r="F90" s="1" t="s">
        <v>411</v>
      </c>
      <c r="G90" s="1" t="s">
        <v>412</v>
      </c>
      <c r="H90" s="406" t="s">
        <v>472</v>
      </c>
      <c r="I90" s="409" t="s">
        <v>106</v>
      </c>
      <c r="J90" s="54" t="str">
        <f>CURR_LCU_ABBR</f>
        <v>GOZ</v>
      </c>
      <c r="K90" s="54" t="str">
        <f>CURR_LCU_ABBR</f>
        <v>GOZ</v>
      </c>
      <c r="L90" s="54" t="str">
        <f>CURR_LCU_ABBR</f>
        <v>GOZ</v>
      </c>
      <c r="M90" s="54" t="str">
        <f>CURR_LCU_ABBR</f>
        <v>GOZ</v>
      </c>
      <c r="N90" s="54" t="str">
        <f>CURR_LCU_ABBR</f>
        <v>GOZ</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248">
        <f t="shared" ref="I91:N101" si="24">I20*EXCHANGE_RATE</f>
        <v>98100000</v>
      </c>
      <c r="J91" s="220">
        <f t="shared" si="24"/>
        <v>49050000</v>
      </c>
      <c r="K91" s="220">
        <f t="shared" si="24"/>
        <v>49050000</v>
      </c>
      <c r="L91" s="220">
        <f t="shared" si="24"/>
        <v>0</v>
      </c>
      <c r="M91" s="220">
        <f t="shared" si="24"/>
        <v>0</v>
      </c>
      <c r="N91" s="220">
        <f t="shared" si="24"/>
        <v>0</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248">
        <f t="shared" si="24"/>
        <v>60120000</v>
      </c>
      <c r="J92" s="220">
        <f t="shared" si="24"/>
        <v>30060000</v>
      </c>
      <c r="K92" s="220">
        <f t="shared" si="24"/>
        <v>30060000</v>
      </c>
      <c r="L92" s="220">
        <f t="shared" si="24"/>
        <v>0</v>
      </c>
      <c r="M92" s="220">
        <f t="shared" si="24"/>
        <v>0</v>
      </c>
      <c r="N92" s="220">
        <f t="shared" si="24"/>
        <v>0</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248">
        <f t="shared" si="24"/>
        <v>0</v>
      </c>
      <c r="J93" s="220">
        <f t="shared" si="24"/>
        <v>0</v>
      </c>
      <c r="K93" s="220">
        <f t="shared" si="24"/>
        <v>0</v>
      </c>
      <c r="L93" s="220">
        <f t="shared" si="24"/>
        <v>0</v>
      </c>
      <c r="M93" s="220">
        <f t="shared" si="24"/>
        <v>0</v>
      </c>
      <c r="N93" s="220">
        <f t="shared" si="24"/>
        <v>0</v>
      </c>
    </row>
    <row r="94" spans="6:14" ht="22.8" x14ac:dyDescent="0.2">
      <c r="F94" s="444"/>
      <c r="G94" s="41" t="str">
        <f>STRAT1_IND4</f>
        <v>El marco legislativo y reglamentario de la nutrición se ha fortalecido y está en funcionamiento.</v>
      </c>
      <c r="H94" s="268" t="str">
        <f ca="1">OFFSET(Variables_Lu!$D$10,Basic_Setup!H37,0)</f>
        <v>Governance</v>
      </c>
      <c r="I94" s="248">
        <f t="shared" si="24"/>
        <v>0</v>
      </c>
      <c r="J94" s="220">
        <f t="shared" si="24"/>
        <v>0</v>
      </c>
      <c r="K94" s="220">
        <f t="shared" si="24"/>
        <v>0</v>
      </c>
      <c r="L94" s="220">
        <f t="shared" si="24"/>
        <v>0</v>
      </c>
      <c r="M94" s="220">
        <f t="shared" si="24"/>
        <v>0</v>
      </c>
      <c r="N94" s="220">
        <f t="shared" si="24"/>
        <v>0</v>
      </c>
    </row>
    <row r="95" spans="6:14" ht="12.6" thickBot="1" x14ac:dyDescent="0.25">
      <c r="F95" s="445"/>
      <c r="G95" s="275" t="str">
        <f>STRAT1_IND5</f>
        <v>Objetivo estratégico 1 Indicador 5</v>
      </c>
      <c r="H95" s="270" t="str">
        <f ca="1">OFFSET(Variables_Lu!$D$10,Basic_Setup!H38,0)</f>
        <v>Governance</v>
      </c>
      <c r="I95" s="248">
        <f t="shared" si="24"/>
        <v>0</v>
      </c>
      <c r="J95" s="232">
        <f t="shared" si="24"/>
        <v>0</v>
      </c>
      <c r="K95" s="232">
        <f t="shared" si="24"/>
        <v>0</v>
      </c>
      <c r="L95" s="232">
        <f t="shared" si="24"/>
        <v>0</v>
      </c>
      <c r="M95" s="232">
        <f t="shared" si="24"/>
        <v>0</v>
      </c>
      <c r="N95" s="232">
        <f t="shared" si="24"/>
        <v>0</v>
      </c>
    </row>
    <row r="96" spans="6:14" ht="12.6" thickBot="1" x14ac:dyDescent="0.25">
      <c r="F96" s="38"/>
      <c r="G96" s="38"/>
      <c r="H96" s="152" t="s">
        <v>107</v>
      </c>
      <c r="I96" s="249">
        <f t="shared" si="24"/>
        <v>158220000</v>
      </c>
      <c r="J96" s="221">
        <f t="shared" si="24"/>
        <v>79110000</v>
      </c>
      <c r="K96" s="221">
        <f t="shared" si="24"/>
        <v>79110000</v>
      </c>
      <c r="L96" s="221">
        <f t="shared" si="24"/>
        <v>0</v>
      </c>
      <c r="M96" s="221">
        <f t="shared" si="24"/>
        <v>0</v>
      </c>
      <c r="N96" s="221">
        <f t="shared" si="24"/>
        <v>0</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248">
        <f t="shared" si="24"/>
        <v>0</v>
      </c>
      <c r="J97" s="220">
        <f t="shared" si="24"/>
        <v>0</v>
      </c>
      <c r="K97" s="220">
        <f t="shared" si="24"/>
        <v>0</v>
      </c>
      <c r="L97" s="220">
        <f t="shared" si="24"/>
        <v>0</v>
      </c>
      <c r="M97" s="220">
        <f t="shared" si="24"/>
        <v>0</v>
      </c>
      <c r="N97" s="220">
        <f t="shared" si="24"/>
        <v>0</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248">
        <f t="shared" si="24"/>
        <v>0</v>
      </c>
      <c r="J98" s="220">
        <f t="shared" si="24"/>
        <v>0</v>
      </c>
      <c r="K98" s="220">
        <f t="shared" si="24"/>
        <v>0</v>
      </c>
      <c r="L98" s="220">
        <f t="shared" si="24"/>
        <v>0</v>
      </c>
      <c r="M98" s="220">
        <f t="shared" si="24"/>
        <v>0</v>
      </c>
      <c r="N98" s="220">
        <f t="shared" si="24"/>
        <v>0</v>
      </c>
    </row>
    <row r="99" spans="6:14" ht="22.8" x14ac:dyDescent="0.2">
      <c r="F99" s="444"/>
      <c r="G99" s="42" t="str">
        <f>STRAT2_IND3</f>
        <v>Se refuerzan las intervenciones comunitarias en materia de nutrición.</v>
      </c>
      <c r="H99" s="268" t="str">
        <f ca="1">OFFSET(Variables_Lu!$D$10,Basic_Setup!H42,0)</f>
        <v>Nutrition-specific</v>
      </c>
      <c r="I99" s="248">
        <f t="shared" si="24"/>
        <v>0</v>
      </c>
      <c r="J99" s="220">
        <f t="shared" si="24"/>
        <v>0</v>
      </c>
      <c r="K99" s="220">
        <f t="shared" si="24"/>
        <v>0</v>
      </c>
      <c r="L99" s="220">
        <f t="shared" si="24"/>
        <v>0</v>
      </c>
      <c r="M99" s="220">
        <f t="shared" si="24"/>
        <v>0</v>
      </c>
      <c r="N99" s="220">
        <f t="shared" si="24"/>
        <v>0</v>
      </c>
    </row>
    <row r="100" spans="6:14" ht="12" x14ac:dyDescent="0.2">
      <c r="F100" s="444"/>
      <c r="G100" s="41" t="str">
        <f>STRAT2_IND4</f>
        <v>Objetivo estratégico 2 Indicador 4</v>
      </c>
      <c r="H100" s="268" t="str">
        <f ca="1">OFFSET(Variables_Lu!$D$10,Basic_Setup!H43,0)</f>
        <v>Nutrition-specific</v>
      </c>
      <c r="I100" s="248">
        <f t="shared" si="24"/>
        <v>0</v>
      </c>
      <c r="J100" s="220">
        <f t="shared" si="24"/>
        <v>0</v>
      </c>
      <c r="K100" s="220">
        <f t="shared" si="24"/>
        <v>0</v>
      </c>
      <c r="L100" s="220">
        <f t="shared" si="24"/>
        <v>0</v>
      </c>
      <c r="M100" s="220">
        <f t="shared" si="24"/>
        <v>0</v>
      </c>
      <c r="N100" s="220">
        <f t="shared" si="24"/>
        <v>0</v>
      </c>
    </row>
    <row r="101" spans="6:14" ht="12.6" thickBot="1" x14ac:dyDescent="0.25">
      <c r="F101" s="445"/>
      <c r="G101" s="275" t="str">
        <f>STRAT2_IND5</f>
        <v>Objetivo estratégico 2 Indicador 5</v>
      </c>
      <c r="H101" s="270" t="str">
        <f ca="1">OFFSET(Variables_Lu!$D$10,Basic_Setup!H44,0)</f>
        <v>Nutrition-specific</v>
      </c>
      <c r="I101" s="248">
        <f t="shared" si="24"/>
        <v>0</v>
      </c>
      <c r="J101" s="232">
        <f t="shared" si="24"/>
        <v>0</v>
      </c>
      <c r="K101" s="232">
        <f t="shared" si="24"/>
        <v>0</v>
      </c>
      <c r="L101" s="232">
        <f t="shared" si="24"/>
        <v>0</v>
      </c>
      <c r="M101" s="232">
        <f t="shared" si="24"/>
        <v>0</v>
      </c>
      <c r="N101" s="232">
        <f t="shared" si="24"/>
        <v>0</v>
      </c>
    </row>
    <row r="102" spans="6:14" ht="12.6" thickBot="1" x14ac:dyDescent="0.25">
      <c r="F102" s="38"/>
      <c r="G102" s="38"/>
      <c r="H102" s="152" t="s">
        <v>108</v>
      </c>
      <c r="I102" s="249">
        <f t="shared" ref="I102:I133" si="25">I31*EXCHANGE_RATE</f>
        <v>0</v>
      </c>
      <c r="J102" s="247">
        <f>SUM(J97:J101)</f>
        <v>0</v>
      </c>
      <c r="K102" s="247">
        <f>SUM(K97:K101)</f>
        <v>0</v>
      </c>
      <c r="L102" s="247">
        <f>SUM(L97:L101)</f>
        <v>0</v>
      </c>
      <c r="M102" s="247">
        <f>SUM(M97:M101)</f>
        <v>0</v>
      </c>
      <c r="N102" s="247">
        <f>SUM(N97:N101)</f>
        <v>0</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248">
        <f t="shared" si="25"/>
        <v>4027993200</v>
      </c>
      <c r="J103" s="220">
        <f t="shared" ref="J103:N107" si="26">J32*EXCHANGE_RATE</f>
        <v>2371410000</v>
      </c>
      <c r="K103" s="220">
        <f t="shared" si="26"/>
        <v>1018393200</v>
      </c>
      <c r="L103" s="220">
        <f t="shared" si="26"/>
        <v>638190000</v>
      </c>
      <c r="M103" s="220">
        <f t="shared" si="26"/>
        <v>0</v>
      </c>
      <c r="N103" s="220">
        <f t="shared" si="26"/>
        <v>0</v>
      </c>
    </row>
    <row r="104" spans="6:14" ht="22.8" x14ac:dyDescent="0.2">
      <c r="F104" s="444"/>
      <c r="G104" s="42" t="str">
        <f>STRAT3_IND2</f>
        <v xml:space="preserve"> La seguridad alimentaria está garantizada para toda la nación.</v>
      </c>
      <c r="H104" s="268" t="str">
        <f ca="1">OFFSET(Variables_Lu!$D$10,Basic_Setup!H47,0)</f>
        <v>Nutrition-sensitive</v>
      </c>
      <c r="I104" s="248">
        <f t="shared" si="25"/>
        <v>0</v>
      </c>
      <c r="J104" s="220">
        <f t="shared" si="26"/>
        <v>0</v>
      </c>
      <c r="K104" s="220">
        <f t="shared" si="26"/>
        <v>0</v>
      </c>
      <c r="L104" s="220">
        <f t="shared" si="26"/>
        <v>0</v>
      </c>
      <c r="M104" s="220">
        <f t="shared" si="26"/>
        <v>0</v>
      </c>
      <c r="N104" s="220">
        <f t="shared" si="26"/>
        <v>0</v>
      </c>
    </row>
    <row r="105" spans="6:14" ht="12" x14ac:dyDescent="0.2">
      <c r="F105" s="444"/>
      <c r="G105" s="42" t="str">
        <f>STRAT3_IND3</f>
        <v>Objetivo estratégico 3 Indicador 3</v>
      </c>
      <c r="H105" s="268" t="str">
        <f ca="1">OFFSET(Variables_Lu!$D$10,Basic_Setup!H48,0)</f>
        <v>Nutrition-specific</v>
      </c>
      <c r="I105" s="248">
        <f t="shared" si="25"/>
        <v>0</v>
      </c>
      <c r="J105" s="220">
        <f t="shared" si="26"/>
        <v>0</v>
      </c>
      <c r="K105" s="220">
        <f t="shared" si="26"/>
        <v>0</v>
      </c>
      <c r="L105" s="220">
        <f t="shared" si="26"/>
        <v>0</v>
      </c>
      <c r="M105" s="220">
        <f t="shared" si="26"/>
        <v>0</v>
      </c>
      <c r="N105" s="220">
        <f t="shared" si="26"/>
        <v>0</v>
      </c>
    </row>
    <row r="106" spans="6:14" ht="12" x14ac:dyDescent="0.2">
      <c r="F106" s="444"/>
      <c r="G106" s="41" t="str">
        <f>STRAT3_IND4</f>
        <v>Objetivo estratégico 3 Indicador 4</v>
      </c>
      <c r="H106" s="268" t="str">
        <f ca="1">OFFSET(Variables_Lu!$D$10,Basic_Setup!H49,0)</f>
        <v>Nutrition-specific</v>
      </c>
      <c r="I106" s="248">
        <f t="shared" si="25"/>
        <v>0</v>
      </c>
      <c r="J106" s="220">
        <f t="shared" si="26"/>
        <v>0</v>
      </c>
      <c r="K106" s="220">
        <f t="shared" si="26"/>
        <v>0</v>
      </c>
      <c r="L106" s="220">
        <f t="shared" si="26"/>
        <v>0</v>
      </c>
      <c r="M106" s="220">
        <f t="shared" si="26"/>
        <v>0</v>
      </c>
      <c r="N106" s="220">
        <f t="shared" si="26"/>
        <v>0</v>
      </c>
    </row>
    <row r="107" spans="6:14" ht="12.6" thickBot="1" x14ac:dyDescent="0.25">
      <c r="F107" s="445"/>
      <c r="G107" s="275" t="str">
        <f>STRAT3_IND5</f>
        <v>Objetivo estratégico 3 Indicador 5</v>
      </c>
      <c r="H107" s="270" t="str">
        <f ca="1">OFFSET(Variables_Lu!$D$10,Basic_Setup!H50,0)</f>
        <v>Nutrition-specific</v>
      </c>
      <c r="I107" s="248">
        <f t="shared" si="25"/>
        <v>0</v>
      </c>
      <c r="J107" s="232">
        <f t="shared" si="26"/>
        <v>0</v>
      </c>
      <c r="K107" s="232">
        <f t="shared" si="26"/>
        <v>0</v>
      </c>
      <c r="L107" s="232">
        <f t="shared" si="26"/>
        <v>0</v>
      </c>
      <c r="M107" s="232">
        <f t="shared" si="26"/>
        <v>0</v>
      </c>
      <c r="N107" s="232">
        <f t="shared" si="26"/>
        <v>0</v>
      </c>
    </row>
    <row r="108" spans="6:14" ht="12.6" thickBot="1" x14ac:dyDescent="0.25">
      <c r="H108" s="152" t="s">
        <v>109</v>
      </c>
      <c r="I108" s="249">
        <f t="shared" si="25"/>
        <v>4027993200</v>
      </c>
      <c r="J108" s="247">
        <f>SUM(J103:J107)</f>
        <v>2371410000</v>
      </c>
      <c r="K108" s="247">
        <f t="shared" ref="K108:N108" si="27">SUM(K103:K107)</f>
        <v>1018393200</v>
      </c>
      <c r="L108" s="247">
        <f t="shared" si="27"/>
        <v>638190000</v>
      </c>
      <c r="M108" s="247">
        <f t="shared" si="27"/>
        <v>0</v>
      </c>
      <c r="N108" s="247">
        <f t="shared" si="27"/>
        <v>0</v>
      </c>
    </row>
    <row r="109" spans="6:14" ht="22.95"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248">
        <f t="shared" si="25"/>
        <v>0</v>
      </c>
      <c r="J109" s="220">
        <f t="shared" ref="J109:N113" si="28">J38*EXCHANGE_RATE</f>
        <v>0</v>
      </c>
      <c r="K109" s="220">
        <f t="shared" si="28"/>
        <v>0</v>
      </c>
      <c r="L109" s="220">
        <f t="shared" si="28"/>
        <v>0</v>
      </c>
      <c r="M109" s="220">
        <f t="shared" si="28"/>
        <v>0</v>
      </c>
      <c r="N109" s="220">
        <f t="shared" si="28"/>
        <v>0</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248">
        <f t="shared" si="25"/>
        <v>93420000</v>
      </c>
      <c r="J110" s="220">
        <f t="shared" si="28"/>
        <v>67320000</v>
      </c>
      <c r="K110" s="220">
        <f t="shared" si="28"/>
        <v>26100000</v>
      </c>
      <c r="L110" s="220">
        <f t="shared" si="28"/>
        <v>0</v>
      </c>
      <c r="M110" s="220">
        <f t="shared" si="28"/>
        <v>0</v>
      </c>
      <c r="N110" s="220">
        <f t="shared" si="28"/>
        <v>0</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248">
        <f t="shared" si="25"/>
        <v>0</v>
      </c>
      <c r="J111" s="220">
        <f t="shared" si="28"/>
        <v>0</v>
      </c>
      <c r="K111" s="220">
        <f t="shared" si="28"/>
        <v>0</v>
      </c>
      <c r="L111" s="220">
        <f t="shared" si="28"/>
        <v>0</v>
      </c>
      <c r="M111" s="220">
        <f t="shared" si="28"/>
        <v>0</v>
      </c>
      <c r="N111" s="220">
        <f t="shared" si="28"/>
        <v>0</v>
      </c>
    </row>
    <row r="112" spans="6:14" ht="12" x14ac:dyDescent="0.2">
      <c r="F112" s="444"/>
      <c r="G112" s="41" t="str">
        <f>STRAT4_IND4</f>
        <v>Objetivo estratégico 4 Indicador 4</v>
      </c>
      <c r="H112" s="268" t="str">
        <f ca="1">OFFSET(Variables_Lu!$D$10,Basic_Setup!H55,0)</f>
        <v>Nutrition-specific</v>
      </c>
      <c r="I112" s="248">
        <f t="shared" si="25"/>
        <v>0</v>
      </c>
      <c r="J112" s="220">
        <f t="shared" si="28"/>
        <v>0</v>
      </c>
      <c r="K112" s="220">
        <f t="shared" si="28"/>
        <v>0</v>
      </c>
      <c r="L112" s="220">
        <f t="shared" si="28"/>
        <v>0</v>
      </c>
      <c r="M112" s="220">
        <f t="shared" si="28"/>
        <v>0</v>
      </c>
      <c r="N112" s="220">
        <f t="shared" si="28"/>
        <v>0</v>
      </c>
    </row>
    <row r="113" spans="6:14" ht="12.6" thickBot="1" x14ac:dyDescent="0.25">
      <c r="F113" s="445"/>
      <c r="G113" s="275" t="str">
        <f>STRAT4_IND5</f>
        <v>Objetivo estratégico 4 Indicador 5</v>
      </c>
      <c r="H113" s="270" t="str">
        <f ca="1">OFFSET(Variables_Lu!$D$10,Basic_Setup!H56,0)</f>
        <v>Nutrition-specific</v>
      </c>
      <c r="I113" s="248">
        <f t="shared" si="25"/>
        <v>0</v>
      </c>
      <c r="J113" s="232">
        <f t="shared" si="28"/>
        <v>0</v>
      </c>
      <c r="K113" s="232">
        <f t="shared" si="28"/>
        <v>0</v>
      </c>
      <c r="L113" s="232">
        <f t="shared" si="28"/>
        <v>0</v>
      </c>
      <c r="M113" s="232">
        <f t="shared" si="28"/>
        <v>0</v>
      </c>
      <c r="N113" s="232">
        <f t="shared" si="28"/>
        <v>0</v>
      </c>
    </row>
    <row r="114" spans="6:14" ht="12.6" thickBot="1" x14ac:dyDescent="0.25">
      <c r="H114" s="152" t="s">
        <v>110</v>
      </c>
      <c r="I114" s="249">
        <f t="shared" si="25"/>
        <v>93420000</v>
      </c>
      <c r="J114" s="247">
        <f>SUM(J109:J113)</f>
        <v>67320000</v>
      </c>
      <c r="K114" s="247">
        <f t="shared" ref="K114:N114" si="29">SUM(K109:K113)</f>
        <v>26100000</v>
      </c>
      <c r="L114" s="247">
        <f t="shared" si="29"/>
        <v>0</v>
      </c>
      <c r="M114" s="247">
        <f t="shared" si="29"/>
        <v>0</v>
      </c>
      <c r="N114" s="247">
        <f t="shared" si="29"/>
        <v>0</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248">
        <f t="shared" si="25"/>
        <v>665794800</v>
      </c>
      <c r="J115" s="220">
        <f t="shared" ref="J115:N119" si="30">J44*EXCHANGE_RATE</f>
        <v>665794800</v>
      </c>
      <c r="K115" s="220">
        <f t="shared" si="30"/>
        <v>0</v>
      </c>
      <c r="L115" s="220">
        <f t="shared" si="30"/>
        <v>0</v>
      </c>
      <c r="M115" s="220">
        <f t="shared" si="30"/>
        <v>0</v>
      </c>
      <c r="N115" s="220">
        <f t="shared" si="30"/>
        <v>0</v>
      </c>
    </row>
    <row r="116" spans="6:14" ht="22.8" x14ac:dyDescent="0.2">
      <c r="F116" s="444"/>
      <c r="G116" s="42" t="str">
        <f>STRAT5_IND2</f>
        <v>Se promueven dietas saludables y estilos de vida saludables para las personas.</v>
      </c>
      <c r="H116" s="268" t="str">
        <f ca="1">OFFSET(Variables_Lu!$D$10,Basic_Setup!H59,0)</f>
        <v>Nutrition-specific</v>
      </c>
      <c r="I116" s="248">
        <f t="shared" si="25"/>
        <v>64620000</v>
      </c>
      <c r="J116" s="220">
        <f t="shared" si="30"/>
        <v>33480000</v>
      </c>
      <c r="K116" s="220">
        <f t="shared" si="30"/>
        <v>31140000</v>
      </c>
      <c r="L116" s="220">
        <f t="shared" si="30"/>
        <v>0</v>
      </c>
      <c r="M116" s="220">
        <f t="shared" si="30"/>
        <v>0</v>
      </c>
      <c r="N116" s="220">
        <f t="shared" si="30"/>
        <v>0</v>
      </c>
    </row>
    <row r="117" spans="6:14" ht="22.8" x14ac:dyDescent="0.2">
      <c r="F117" s="444"/>
      <c r="G117" s="42" t="str">
        <f>STRAT5_IND3</f>
        <v>Se promueven las buenas prácticas WASH a nivel comunitario y doméstico</v>
      </c>
      <c r="H117" s="268" t="str">
        <f ca="1">OFFSET(Variables_Lu!$D$10,Basic_Setup!H60,0)</f>
        <v>Nutrition-sensitive</v>
      </c>
      <c r="I117" s="248">
        <f t="shared" si="25"/>
        <v>0</v>
      </c>
      <c r="J117" s="220">
        <f t="shared" si="30"/>
        <v>0</v>
      </c>
      <c r="K117" s="220">
        <f t="shared" si="30"/>
        <v>0</v>
      </c>
      <c r="L117" s="220">
        <f t="shared" si="30"/>
        <v>0</v>
      </c>
      <c r="M117" s="220">
        <f t="shared" si="30"/>
        <v>0</v>
      </c>
      <c r="N117" s="220">
        <f t="shared" si="30"/>
        <v>0</v>
      </c>
    </row>
    <row r="118" spans="6:14" ht="12" x14ac:dyDescent="0.2">
      <c r="F118" s="444"/>
      <c r="G118" s="41" t="str">
        <f>STRAT5_IND4</f>
        <v>Objetivo estratégico 5 Indicador 4</v>
      </c>
      <c r="H118" s="268" t="str">
        <f ca="1">OFFSET(Variables_Lu!$D$10,Basic_Setup!H61,0)</f>
        <v>Nutrition-specific</v>
      </c>
      <c r="I118" s="248">
        <f t="shared" si="25"/>
        <v>0</v>
      </c>
      <c r="J118" s="220">
        <f t="shared" si="30"/>
        <v>0</v>
      </c>
      <c r="K118" s="220">
        <f t="shared" si="30"/>
        <v>0</v>
      </c>
      <c r="L118" s="220">
        <f t="shared" si="30"/>
        <v>0</v>
      </c>
      <c r="M118" s="220">
        <f t="shared" si="30"/>
        <v>0</v>
      </c>
      <c r="N118" s="220">
        <f t="shared" si="30"/>
        <v>0</v>
      </c>
    </row>
    <row r="119" spans="6:14" ht="12.6" thickBot="1" x14ac:dyDescent="0.25">
      <c r="F119" s="445"/>
      <c r="G119" s="275" t="str">
        <f>STRAT5_IND5</f>
        <v>Objetivo estratégico 5 Indicador 5</v>
      </c>
      <c r="H119" s="270" t="str">
        <f ca="1">OFFSET(Variables_Lu!$D$10,Basic_Setup!H62,0)</f>
        <v>Nutrition-specific</v>
      </c>
      <c r="I119" s="248">
        <f t="shared" si="25"/>
        <v>0</v>
      </c>
      <c r="J119" s="232">
        <f t="shared" si="30"/>
        <v>0</v>
      </c>
      <c r="K119" s="232">
        <f t="shared" si="30"/>
        <v>0</v>
      </c>
      <c r="L119" s="232">
        <f t="shared" si="30"/>
        <v>0</v>
      </c>
      <c r="M119" s="232">
        <f t="shared" si="30"/>
        <v>0</v>
      </c>
      <c r="N119" s="232">
        <f t="shared" si="30"/>
        <v>0</v>
      </c>
    </row>
    <row r="120" spans="6:14" ht="12.6" thickBot="1" x14ac:dyDescent="0.25">
      <c r="H120" s="152" t="s">
        <v>111</v>
      </c>
      <c r="I120" s="249">
        <f t="shared" si="25"/>
        <v>730414800</v>
      </c>
      <c r="J120" s="247">
        <f>SUM(J115:J119)</f>
        <v>699274800</v>
      </c>
      <c r="K120" s="247">
        <f t="shared" ref="K120:N120" si="31">SUM(K115:K119)</f>
        <v>31140000</v>
      </c>
      <c r="L120" s="247">
        <f t="shared" si="31"/>
        <v>0</v>
      </c>
      <c r="M120" s="247">
        <f t="shared" si="31"/>
        <v>0</v>
      </c>
      <c r="N120" s="247">
        <f t="shared" si="31"/>
        <v>0</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248">
        <f t="shared" si="25"/>
        <v>0</v>
      </c>
      <c r="J121" s="220">
        <f t="shared" ref="J121:N125" si="32">J50*EXCHANGE_RATE</f>
        <v>0</v>
      </c>
      <c r="K121" s="220">
        <f t="shared" si="32"/>
        <v>0</v>
      </c>
      <c r="L121" s="220">
        <f t="shared" si="32"/>
        <v>0</v>
      </c>
      <c r="M121" s="220">
        <f t="shared" si="32"/>
        <v>0</v>
      </c>
      <c r="N121" s="220">
        <f t="shared" si="32"/>
        <v>0</v>
      </c>
    </row>
    <row r="122" spans="6:14" ht="12" x14ac:dyDescent="0.2">
      <c r="F122" s="444"/>
      <c r="G122" s="42" t="str">
        <f>STRAT6_IND2</f>
        <v>Objetivo estratégico 6 Indicador 2</v>
      </c>
      <c r="H122" s="268" t="str">
        <f ca="1">OFFSET(Variables_Lu!$D$10,Basic_Setup!H65,0)</f>
        <v>Nutrition-specific</v>
      </c>
      <c r="I122" s="248">
        <f t="shared" si="25"/>
        <v>0</v>
      </c>
      <c r="J122" s="220">
        <f t="shared" si="32"/>
        <v>0</v>
      </c>
      <c r="K122" s="220">
        <f t="shared" si="32"/>
        <v>0</v>
      </c>
      <c r="L122" s="220">
        <f t="shared" si="32"/>
        <v>0</v>
      </c>
      <c r="M122" s="220">
        <f t="shared" si="32"/>
        <v>0</v>
      </c>
      <c r="N122" s="220">
        <f t="shared" si="32"/>
        <v>0</v>
      </c>
    </row>
    <row r="123" spans="6:14" ht="12" x14ac:dyDescent="0.2">
      <c r="F123" s="444"/>
      <c r="G123" s="42" t="str">
        <f>STRAT6_IND3</f>
        <v>Objetivo estratégico 6 Indicador 3</v>
      </c>
      <c r="H123" s="268" t="str">
        <f ca="1">OFFSET(Variables_Lu!$D$10,Basic_Setup!H66,0)</f>
        <v>Nutrition-specific</v>
      </c>
      <c r="I123" s="248">
        <f t="shared" si="25"/>
        <v>0</v>
      </c>
      <c r="J123" s="220">
        <f t="shared" si="32"/>
        <v>0</v>
      </c>
      <c r="K123" s="220">
        <f t="shared" si="32"/>
        <v>0</v>
      </c>
      <c r="L123" s="220">
        <f t="shared" si="32"/>
        <v>0</v>
      </c>
      <c r="M123" s="220">
        <f t="shared" si="32"/>
        <v>0</v>
      </c>
      <c r="N123" s="220">
        <f t="shared" si="32"/>
        <v>0</v>
      </c>
    </row>
    <row r="124" spans="6:14" ht="12" x14ac:dyDescent="0.2">
      <c r="F124" s="444"/>
      <c r="G124" s="41" t="str">
        <f>STRAT6_IND4</f>
        <v>Objetivo estratégico 6 Indicador 4</v>
      </c>
      <c r="H124" s="268" t="str">
        <f ca="1">OFFSET(Variables_Lu!$D$10,Basic_Setup!H67,0)</f>
        <v>Nutrition-specific</v>
      </c>
      <c r="I124" s="248">
        <f t="shared" si="25"/>
        <v>0</v>
      </c>
      <c r="J124" s="220">
        <f t="shared" si="32"/>
        <v>0</v>
      </c>
      <c r="K124" s="220">
        <f t="shared" si="32"/>
        <v>0</v>
      </c>
      <c r="L124" s="220">
        <f t="shared" si="32"/>
        <v>0</v>
      </c>
      <c r="M124" s="220">
        <f t="shared" si="32"/>
        <v>0</v>
      </c>
      <c r="N124" s="220">
        <f t="shared" si="32"/>
        <v>0</v>
      </c>
    </row>
    <row r="125" spans="6:14" ht="12.6" thickBot="1" x14ac:dyDescent="0.25">
      <c r="F125" s="445"/>
      <c r="G125" s="275" t="str">
        <f>STRAT6_IND5</f>
        <v>Objetivo estratégico 6 Indicador 5</v>
      </c>
      <c r="H125" s="270" t="str">
        <f ca="1">OFFSET(Variables_Lu!$D$10,Basic_Setup!H68,0)</f>
        <v>Nutrition-specific</v>
      </c>
      <c r="I125" s="248">
        <f t="shared" si="25"/>
        <v>0</v>
      </c>
      <c r="J125" s="232">
        <f t="shared" si="32"/>
        <v>0</v>
      </c>
      <c r="K125" s="232">
        <f t="shared" si="32"/>
        <v>0</v>
      </c>
      <c r="L125" s="232">
        <f t="shared" si="32"/>
        <v>0</v>
      </c>
      <c r="M125" s="232">
        <f t="shared" si="32"/>
        <v>0</v>
      </c>
      <c r="N125" s="232">
        <f t="shared" si="32"/>
        <v>0</v>
      </c>
    </row>
    <row r="126" spans="6:14" ht="12.6" thickBot="1" x14ac:dyDescent="0.25">
      <c r="H126" s="152" t="s">
        <v>159</v>
      </c>
      <c r="I126" s="249">
        <f t="shared" si="25"/>
        <v>0</v>
      </c>
      <c r="J126" s="247">
        <f>SUM(J121:J125)</f>
        <v>0</v>
      </c>
      <c r="K126" s="247">
        <f>SUM(K121:K125)</f>
        <v>0</v>
      </c>
      <c r="L126" s="247">
        <f>SUM(L121:L125)</f>
        <v>0</v>
      </c>
      <c r="M126" s="247">
        <f>SUM(M121:M125)</f>
        <v>0</v>
      </c>
      <c r="N126" s="247">
        <f>SUM(N121:N125)</f>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248">
        <f t="shared" si="25"/>
        <v>0</v>
      </c>
      <c r="J127" s="220">
        <f t="shared" ref="J127:N131" si="33">J56*EXCHANGE_RATE</f>
        <v>0</v>
      </c>
      <c r="K127" s="220">
        <f t="shared" si="33"/>
        <v>0</v>
      </c>
      <c r="L127" s="220">
        <f t="shared" si="33"/>
        <v>0</v>
      </c>
      <c r="M127" s="220">
        <f t="shared" si="33"/>
        <v>0</v>
      </c>
      <c r="N127" s="220">
        <f t="shared" si="33"/>
        <v>0</v>
      </c>
    </row>
    <row r="128" spans="6:14" ht="12" x14ac:dyDescent="0.2">
      <c r="F128" s="444"/>
      <c r="G128" s="42" t="str">
        <f>STRAT7_IND2</f>
        <v>Objetivo estratégico 7 Indicador 2</v>
      </c>
      <c r="H128" s="268" t="str">
        <f ca="1">OFFSET(Variables_Lu!$D$10,Basic_Setup!H71,0)</f>
        <v>Nutrition-specific</v>
      </c>
      <c r="I128" s="248">
        <f t="shared" si="25"/>
        <v>0</v>
      </c>
      <c r="J128" s="220">
        <f t="shared" si="33"/>
        <v>0</v>
      </c>
      <c r="K128" s="220">
        <f t="shared" si="33"/>
        <v>0</v>
      </c>
      <c r="L128" s="220">
        <f t="shared" si="33"/>
        <v>0</v>
      </c>
      <c r="M128" s="220">
        <f t="shared" si="33"/>
        <v>0</v>
      </c>
      <c r="N128" s="220">
        <f t="shared" si="33"/>
        <v>0</v>
      </c>
    </row>
    <row r="129" spans="6:14" ht="12" x14ac:dyDescent="0.2">
      <c r="F129" s="444"/>
      <c r="G129" s="42" t="str">
        <f>STRAT7_IND3</f>
        <v>Objetivo estratégico 7 Indicador 3</v>
      </c>
      <c r="H129" s="268" t="str">
        <f ca="1">OFFSET(Variables_Lu!$D$10,Basic_Setup!H72,0)</f>
        <v>Nutrition-specific</v>
      </c>
      <c r="I129" s="248">
        <f t="shared" si="25"/>
        <v>0</v>
      </c>
      <c r="J129" s="220">
        <f t="shared" si="33"/>
        <v>0</v>
      </c>
      <c r="K129" s="220">
        <f t="shared" si="33"/>
        <v>0</v>
      </c>
      <c r="L129" s="220">
        <f t="shared" si="33"/>
        <v>0</v>
      </c>
      <c r="M129" s="220">
        <f t="shared" si="33"/>
        <v>0</v>
      </c>
      <c r="N129" s="220">
        <f t="shared" si="33"/>
        <v>0</v>
      </c>
    </row>
    <row r="130" spans="6:14" ht="12" x14ac:dyDescent="0.2">
      <c r="F130" s="444"/>
      <c r="G130" s="41" t="str">
        <f>STRAT7_IND4</f>
        <v>Objetivo estratégico 7 Indicador 4</v>
      </c>
      <c r="H130" s="268" t="str">
        <f ca="1">OFFSET(Variables_Lu!$D$10,Basic_Setup!H73,0)</f>
        <v>Nutrition-specific</v>
      </c>
      <c r="I130" s="248">
        <f t="shared" si="25"/>
        <v>0</v>
      </c>
      <c r="J130" s="220">
        <f t="shared" si="33"/>
        <v>0</v>
      </c>
      <c r="K130" s="220">
        <f t="shared" si="33"/>
        <v>0</v>
      </c>
      <c r="L130" s="220">
        <f t="shared" si="33"/>
        <v>0</v>
      </c>
      <c r="M130" s="220">
        <f t="shared" si="33"/>
        <v>0</v>
      </c>
      <c r="N130" s="220">
        <f t="shared" si="33"/>
        <v>0</v>
      </c>
    </row>
    <row r="131" spans="6:14" ht="12.6" thickBot="1" x14ac:dyDescent="0.25">
      <c r="F131" s="445"/>
      <c r="G131" s="275" t="str">
        <f>STRAT7_IND5</f>
        <v>Objetivo estratégico 7 Indicador 5</v>
      </c>
      <c r="H131" s="270" t="str">
        <f ca="1">OFFSET(Variables_Lu!$D$10,Basic_Setup!H74,0)</f>
        <v>Nutrition-specific</v>
      </c>
      <c r="I131" s="248">
        <f t="shared" si="25"/>
        <v>0</v>
      </c>
      <c r="J131" s="232">
        <f t="shared" si="33"/>
        <v>0</v>
      </c>
      <c r="K131" s="232">
        <f t="shared" si="33"/>
        <v>0</v>
      </c>
      <c r="L131" s="232">
        <f t="shared" si="33"/>
        <v>0</v>
      </c>
      <c r="M131" s="232">
        <f t="shared" si="33"/>
        <v>0</v>
      </c>
      <c r="N131" s="232">
        <f t="shared" si="33"/>
        <v>0</v>
      </c>
    </row>
    <row r="132" spans="6:14" ht="12.6" thickBot="1" x14ac:dyDescent="0.25">
      <c r="H132" s="152" t="s">
        <v>160</v>
      </c>
      <c r="I132" s="249">
        <f t="shared" si="25"/>
        <v>0</v>
      </c>
      <c r="J132" s="247">
        <f>SUM(J127:J131)</f>
        <v>0</v>
      </c>
      <c r="K132" s="247">
        <f>SUM(K127:K131)</f>
        <v>0</v>
      </c>
      <c r="L132" s="247">
        <f>SUM(L127:L131)</f>
        <v>0</v>
      </c>
      <c r="M132" s="247">
        <f>SUM(M127:M131)</f>
        <v>0</v>
      </c>
      <c r="N132" s="247">
        <f>SUM(N127:N131)</f>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248">
        <f t="shared" si="25"/>
        <v>0</v>
      </c>
      <c r="J133" s="220">
        <f t="shared" ref="J133:N137" si="34">J62*EXCHANGE_RATE</f>
        <v>0</v>
      </c>
      <c r="K133" s="220">
        <f t="shared" si="34"/>
        <v>0</v>
      </c>
      <c r="L133" s="220">
        <f t="shared" si="34"/>
        <v>0</v>
      </c>
      <c r="M133" s="220">
        <f t="shared" si="34"/>
        <v>0</v>
      </c>
      <c r="N133" s="220">
        <f t="shared" si="34"/>
        <v>0</v>
      </c>
    </row>
    <row r="134" spans="6:14" ht="12" x14ac:dyDescent="0.2">
      <c r="F134" s="444"/>
      <c r="G134" s="42" t="str">
        <f>STRAT8_IND2</f>
        <v>Objetivo estratégico 8 Indicador 2</v>
      </c>
      <c r="H134" s="268" t="str">
        <f ca="1">OFFSET(Variables_Lu!$D$10,Basic_Setup!H77,0)</f>
        <v>Nutrition-specific</v>
      </c>
      <c r="I134" s="248">
        <f t="shared" ref="I134:I150" si="35">I63*EXCHANGE_RATE</f>
        <v>0</v>
      </c>
      <c r="J134" s="220">
        <f t="shared" si="34"/>
        <v>0</v>
      </c>
      <c r="K134" s="220">
        <f t="shared" si="34"/>
        <v>0</v>
      </c>
      <c r="L134" s="220">
        <f t="shared" si="34"/>
        <v>0</v>
      </c>
      <c r="M134" s="220">
        <f t="shared" si="34"/>
        <v>0</v>
      </c>
      <c r="N134" s="220">
        <f t="shared" si="34"/>
        <v>0</v>
      </c>
    </row>
    <row r="135" spans="6:14" ht="12" x14ac:dyDescent="0.2">
      <c r="F135" s="444"/>
      <c r="G135" s="42" t="str">
        <f>STRAT8_IND3</f>
        <v>Objetivo estratégico 8 Indicador 3</v>
      </c>
      <c r="H135" s="268" t="str">
        <f ca="1">OFFSET(Variables_Lu!$D$10,Basic_Setup!H78,0)</f>
        <v>Nutrition-specific</v>
      </c>
      <c r="I135" s="248">
        <f t="shared" si="35"/>
        <v>0</v>
      </c>
      <c r="J135" s="220">
        <f t="shared" si="34"/>
        <v>0</v>
      </c>
      <c r="K135" s="220">
        <f t="shared" si="34"/>
        <v>0</v>
      </c>
      <c r="L135" s="220">
        <f t="shared" si="34"/>
        <v>0</v>
      </c>
      <c r="M135" s="220">
        <f t="shared" si="34"/>
        <v>0</v>
      </c>
      <c r="N135" s="220">
        <f t="shared" si="34"/>
        <v>0</v>
      </c>
    </row>
    <row r="136" spans="6:14" ht="12" x14ac:dyDescent="0.2">
      <c r="F136" s="444"/>
      <c r="G136" s="41" t="str">
        <f>STRAT8_IND4</f>
        <v>Objetivo estratégico 8 Indicador 4</v>
      </c>
      <c r="H136" s="268" t="str">
        <f ca="1">OFFSET(Variables_Lu!$D$10,Basic_Setup!H79,0)</f>
        <v>Nutrition-specific</v>
      </c>
      <c r="I136" s="248">
        <f t="shared" si="35"/>
        <v>0</v>
      </c>
      <c r="J136" s="220">
        <f t="shared" si="34"/>
        <v>0</v>
      </c>
      <c r="K136" s="220">
        <f t="shared" si="34"/>
        <v>0</v>
      </c>
      <c r="L136" s="220">
        <f t="shared" si="34"/>
        <v>0</v>
      </c>
      <c r="M136" s="220">
        <f t="shared" si="34"/>
        <v>0</v>
      </c>
      <c r="N136" s="220">
        <f t="shared" si="34"/>
        <v>0</v>
      </c>
    </row>
    <row r="137" spans="6:14" ht="12.6" thickBot="1" x14ac:dyDescent="0.25">
      <c r="F137" s="445"/>
      <c r="G137" s="275" t="str">
        <f>STRAT8_IND5</f>
        <v>Objetivo estratégico 8 Indicador 5</v>
      </c>
      <c r="H137" s="270" t="str">
        <f ca="1">OFFSET(Variables_Lu!$D$10,Basic_Setup!H80,0)</f>
        <v>Nutrition-specific</v>
      </c>
      <c r="I137" s="248">
        <f t="shared" si="35"/>
        <v>0</v>
      </c>
      <c r="J137" s="232">
        <f t="shared" si="34"/>
        <v>0</v>
      </c>
      <c r="K137" s="232">
        <f t="shared" si="34"/>
        <v>0</v>
      </c>
      <c r="L137" s="232">
        <f t="shared" si="34"/>
        <v>0</v>
      </c>
      <c r="M137" s="232">
        <f t="shared" si="34"/>
        <v>0</v>
      </c>
      <c r="N137" s="232">
        <f t="shared" si="34"/>
        <v>0</v>
      </c>
    </row>
    <row r="138" spans="6:14" ht="12.6" thickBot="1" x14ac:dyDescent="0.25">
      <c r="H138" s="152" t="s">
        <v>161</v>
      </c>
      <c r="I138" s="249">
        <f t="shared" si="35"/>
        <v>0</v>
      </c>
      <c r="J138" s="247">
        <f>SUM(J133:J137)</f>
        <v>0</v>
      </c>
      <c r="K138" s="247">
        <f>SUM(K133:K137)</f>
        <v>0</v>
      </c>
      <c r="L138" s="247">
        <f>SUM(L133:L137)</f>
        <v>0</v>
      </c>
      <c r="M138" s="247">
        <f>SUM(M133:M137)</f>
        <v>0</v>
      </c>
      <c r="N138" s="247">
        <f>SUM(N133:N137)</f>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248">
        <f t="shared" si="35"/>
        <v>0</v>
      </c>
      <c r="J139" s="220">
        <f t="shared" ref="J139:N143" si="36">J68*EXCHANGE_RATE</f>
        <v>0</v>
      </c>
      <c r="K139" s="220">
        <f t="shared" si="36"/>
        <v>0</v>
      </c>
      <c r="L139" s="220">
        <f t="shared" si="36"/>
        <v>0</v>
      </c>
      <c r="M139" s="220">
        <f t="shared" si="36"/>
        <v>0</v>
      </c>
      <c r="N139" s="220">
        <f t="shared" si="36"/>
        <v>0</v>
      </c>
    </row>
    <row r="140" spans="6:14" ht="12" x14ac:dyDescent="0.2">
      <c r="F140" s="444"/>
      <c r="G140" s="42" t="str">
        <f>STRAT9_IND2</f>
        <v>Objetivo estratégico 9 Indicador 2</v>
      </c>
      <c r="H140" s="268" t="str">
        <f ca="1">OFFSET(Variables_Lu!$D$10,Basic_Setup!H83,0)</f>
        <v>Nutrition-specific</v>
      </c>
      <c r="I140" s="248">
        <f t="shared" si="35"/>
        <v>0</v>
      </c>
      <c r="J140" s="220">
        <f t="shared" si="36"/>
        <v>0</v>
      </c>
      <c r="K140" s="220">
        <f t="shared" si="36"/>
        <v>0</v>
      </c>
      <c r="L140" s="220">
        <f t="shared" si="36"/>
        <v>0</v>
      </c>
      <c r="M140" s="220">
        <f t="shared" si="36"/>
        <v>0</v>
      </c>
      <c r="N140" s="220">
        <f t="shared" si="36"/>
        <v>0</v>
      </c>
    </row>
    <row r="141" spans="6:14" ht="12" x14ac:dyDescent="0.2">
      <c r="F141" s="444"/>
      <c r="G141" s="42" t="str">
        <f>STRAT9_IND3</f>
        <v>Objetivo estratégico 9 Indicador 3</v>
      </c>
      <c r="H141" s="268" t="str">
        <f ca="1">OFFSET(Variables_Lu!$D$10,Basic_Setup!H84,0)</f>
        <v>Nutrition-specific</v>
      </c>
      <c r="I141" s="248">
        <f t="shared" si="35"/>
        <v>0</v>
      </c>
      <c r="J141" s="220">
        <f t="shared" si="36"/>
        <v>0</v>
      </c>
      <c r="K141" s="220">
        <f t="shared" si="36"/>
        <v>0</v>
      </c>
      <c r="L141" s="220">
        <f t="shared" si="36"/>
        <v>0</v>
      </c>
      <c r="M141" s="220">
        <f t="shared" si="36"/>
        <v>0</v>
      </c>
      <c r="N141" s="220">
        <f t="shared" si="36"/>
        <v>0</v>
      </c>
    </row>
    <row r="142" spans="6:14" ht="12" x14ac:dyDescent="0.2">
      <c r="F142" s="444"/>
      <c r="G142" s="41" t="str">
        <f>STRAT9_IND4</f>
        <v>Objetivo estratégico 9 Indicador 4</v>
      </c>
      <c r="H142" s="268" t="str">
        <f ca="1">OFFSET(Variables_Lu!$D$10,Basic_Setup!H85,0)</f>
        <v>Nutrition-specific</v>
      </c>
      <c r="I142" s="248">
        <f t="shared" si="35"/>
        <v>0</v>
      </c>
      <c r="J142" s="220">
        <f t="shared" si="36"/>
        <v>0</v>
      </c>
      <c r="K142" s="220">
        <f t="shared" si="36"/>
        <v>0</v>
      </c>
      <c r="L142" s="220">
        <f t="shared" si="36"/>
        <v>0</v>
      </c>
      <c r="M142" s="220">
        <f t="shared" si="36"/>
        <v>0</v>
      </c>
      <c r="N142" s="220">
        <f t="shared" si="36"/>
        <v>0</v>
      </c>
    </row>
    <row r="143" spans="6:14" ht="12.6" thickBot="1" x14ac:dyDescent="0.25">
      <c r="F143" s="445"/>
      <c r="G143" s="275" t="str">
        <f>STRAT9_IND5</f>
        <v>Objetivo estratégico 9 Indicador 5</v>
      </c>
      <c r="H143" s="270" t="str">
        <f ca="1">OFFSET(Variables_Lu!$D$10,Basic_Setup!H86,0)</f>
        <v>Nutrition-specific</v>
      </c>
      <c r="I143" s="248">
        <f t="shared" si="35"/>
        <v>0</v>
      </c>
      <c r="J143" s="232">
        <f t="shared" si="36"/>
        <v>0</v>
      </c>
      <c r="K143" s="232">
        <f t="shared" si="36"/>
        <v>0</v>
      </c>
      <c r="L143" s="232">
        <f t="shared" si="36"/>
        <v>0</v>
      </c>
      <c r="M143" s="232">
        <f t="shared" si="36"/>
        <v>0</v>
      </c>
      <c r="N143" s="232">
        <f t="shared" si="36"/>
        <v>0</v>
      </c>
    </row>
    <row r="144" spans="6:14" ht="12.6" thickBot="1" x14ac:dyDescent="0.25">
      <c r="H144" s="152" t="s">
        <v>162</v>
      </c>
      <c r="I144" s="249">
        <f t="shared" si="35"/>
        <v>0</v>
      </c>
      <c r="J144" s="247">
        <f>SUM(J139:J143)</f>
        <v>0</v>
      </c>
      <c r="K144" s="247">
        <f>SUM(K139:K143)</f>
        <v>0</v>
      </c>
      <c r="L144" s="247">
        <f>SUM(L139:L143)</f>
        <v>0</v>
      </c>
      <c r="M144" s="247">
        <f>SUM(M139:M143)</f>
        <v>0</v>
      </c>
      <c r="N144" s="247">
        <f>SUM(N139:N143)</f>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248">
        <f t="shared" si="35"/>
        <v>0</v>
      </c>
      <c r="J145" s="220">
        <f t="shared" ref="J145:N149" si="37">J74*EXCHANGE_RATE</f>
        <v>0</v>
      </c>
      <c r="K145" s="220">
        <f t="shared" si="37"/>
        <v>0</v>
      </c>
      <c r="L145" s="220">
        <f t="shared" si="37"/>
        <v>0</v>
      </c>
      <c r="M145" s="220">
        <f t="shared" si="37"/>
        <v>0</v>
      </c>
      <c r="N145" s="220">
        <f t="shared" si="37"/>
        <v>0</v>
      </c>
    </row>
    <row r="146" spans="1:14" ht="12" x14ac:dyDescent="0.2">
      <c r="F146" s="444"/>
      <c r="G146" s="42" t="str">
        <f>STRAT10_IND2</f>
        <v>Objetivo estratégico 10 Indicador 2</v>
      </c>
      <c r="H146" s="268" t="str">
        <f ca="1">OFFSET(Variables_Lu!$D$10,Basic_Setup!H89,0)</f>
        <v>Nutrition-specific</v>
      </c>
      <c r="I146" s="248">
        <f t="shared" si="35"/>
        <v>0</v>
      </c>
      <c r="J146" s="220">
        <f t="shared" si="37"/>
        <v>0</v>
      </c>
      <c r="K146" s="220">
        <f t="shared" si="37"/>
        <v>0</v>
      </c>
      <c r="L146" s="220">
        <f t="shared" si="37"/>
        <v>0</v>
      </c>
      <c r="M146" s="220">
        <f t="shared" si="37"/>
        <v>0</v>
      </c>
      <c r="N146" s="220">
        <f t="shared" si="37"/>
        <v>0</v>
      </c>
    </row>
    <row r="147" spans="1:14" ht="12" x14ac:dyDescent="0.2">
      <c r="F147" s="444"/>
      <c r="G147" s="42" t="str">
        <f>STRAT10_IND3</f>
        <v>Objetivo estratégico 10 Indicador 3</v>
      </c>
      <c r="H147" s="268" t="str">
        <f ca="1">OFFSET(Variables_Lu!$D$10,Basic_Setup!H90,0)</f>
        <v>Nutrition-specific</v>
      </c>
      <c r="I147" s="248">
        <f t="shared" si="35"/>
        <v>0</v>
      </c>
      <c r="J147" s="220">
        <f t="shared" si="37"/>
        <v>0</v>
      </c>
      <c r="K147" s="220">
        <f t="shared" si="37"/>
        <v>0</v>
      </c>
      <c r="L147" s="220">
        <f t="shared" si="37"/>
        <v>0</v>
      </c>
      <c r="M147" s="220">
        <f t="shared" si="37"/>
        <v>0</v>
      </c>
      <c r="N147" s="220">
        <f t="shared" si="37"/>
        <v>0</v>
      </c>
    </row>
    <row r="148" spans="1:14" ht="12" x14ac:dyDescent="0.2">
      <c r="F148" s="444"/>
      <c r="G148" s="41" t="str">
        <f>STRAT10_IND4</f>
        <v>Objetivo estratégico 10 Indicador 4</v>
      </c>
      <c r="H148" s="268" t="str">
        <f ca="1">OFFSET(Variables_Lu!$D$10,Basic_Setup!H91,0)</f>
        <v>Nutrition-specific</v>
      </c>
      <c r="I148" s="248">
        <f t="shared" si="35"/>
        <v>0</v>
      </c>
      <c r="J148" s="220">
        <f t="shared" si="37"/>
        <v>0</v>
      </c>
      <c r="K148" s="220">
        <f t="shared" si="37"/>
        <v>0</v>
      </c>
      <c r="L148" s="220">
        <f t="shared" si="37"/>
        <v>0</v>
      </c>
      <c r="M148" s="220">
        <f t="shared" si="37"/>
        <v>0</v>
      </c>
      <c r="N148" s="220">
        <f t="shared" si="37"/>
        <v>0</v>
      </c>
    </row>
    <row r="149" spans="1:14" ht="12.6" thickBot="1" x14ac:dyDescent="0.25">
      <c r="F149" s="445"/>
      <c r="G149" s="275" t="str">
        <f>STRAT10_IND5</f>
        <v>Objetivo estratégico 10 Indicador 5</v>
      </c>
      <c r="H149" s="270" t="str">
        <f ca="1">OFFSET(Variables_Lu!$D$10,Basic_Setup!H92,0)</f>
        <v>Nutrition-specific</v>
      </c>
      <c r="I149" s="248">
        <f t="shared" si="35"/>
        <v>0</v>
      </c>
      <c r="J149" s="232">
        <f t="shared" si="37"/>
        <v>0</v>
      </c>
      <c r="K149" s="232">
        <f t="shared" si="37"/>
        <v>0</v>
      </c>
      <c r="L149" s="232">
        <f t="shared" si="37"/>
        <v>0</v>
      </c>
      <c r="M149" s="232">
        <f t="shared" si="37"/>
        <v>0</v>
      </c>
      <c r="N149" s="232">
        <f t="shared" si="37"/>
        <v>0</v>
      </c>
    </row>
    <row r="150" spans="1:14" ht="12" x14ac:dyDescent="0.2">
      <c r="H150" s="152" t="s">
        <v>163</v>
      </c>
      <c r="I150" s="249">
        <f t="shared" si="35"/>
        <v>0</v>
      </c>
      <c r="J150" s="247">
        <f>SUM(J145:J149)</f>
        <v>0</v>
      </c>
      <c r="K150" s="247">
        <f>SUM(K145:K149)</f>
        <v>0</v>
      </c>
      <c r="L150" s="247">
        <f>SUM(L145:L149)</f>
        <v>0</v>
      </c>
      <c r="M150" s="247">
        <f>SUM(M145:M149)</f>
        <v>0</v>
      </c>
      <c r="N150" s="247">
        <f>SUM(N145:N149)</f>
        <v>0</v>
      </c>
    </row>
    <row r="151" spans="1:14" x14ac:dyDescent="0.2">
      <c r="I151" s="231"/>
      <c r="J151" s="231"/>
      <c r="K151" s="231"/>
      <c r="L151" s="231"/>
      <c r="M151" s="231"/>
      <c r="N151" s="231"/>
    </row>
    <row r="152" spans="1:14" ht="12.6" thickBot="1" x14ac:dyDescent="0.25">
      <c r="H152" s="149" t="str">
        <f>"TOTAL - "&amp;$F$12</f>
        <v>TOTAL - Organización de las Naciones Unidas para la Alimentación y la Agricultura</v>
      </c>
      <c r="I152" s="222">
        <f t="shared" ref="I152:N152" si="38">I81*EXCHANGE_RATE</f>
        <v>5010048000</v>
      </c>
      <c r="J152" s="222">
        <f t="shared" si="38"/>
        <v>3217114800</v>
      </c>
      <c r="K152" s="222">
        <f t="shared" si="38"/>
        <v>1154743200</v>
      </c>
      <c r="L152" s="222">
        <f t="shared" si="38"/>
        <v>638190000</v>
      </c>
      <c r="M152" s="222">
        <f t="shared" si="38"/>
        <v>0</v>
      </c>
      <c r="N152" s="222">
        <f t="shared" si="38"/>
        <v>0</v>
      </c>
    </row>
    <row r="153" spans="1:14" ht="12" x14ac:dyDescent="0.2">
      <c r="I153" s="149"/>
    </row>
    <row r="155" spans="1:14" x14ac:dyDescent="0.2">
      <c r="A155" s="39" t="s">
        <v>76</v>
      </c>
      <c r="B155" s="40" t="str">
        <f>"Summary of "&amp;Partner4&amp;" - by Result/Indicator Type"</f>
        <v>Summary of Organización de las Naciones Unidas para la Alimentación y la Agricultura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f ca="1">I159/$I$162</f>
        <v>0.96841946424465397</v>
      </c>
      <c r="I159" s="68">
        <f ca="1">SUM(J159:N159)</f>
        <v>4851828000</v>
      </c>
      <c r="J159" s="325">
        <f ca="1">SUMIF($H$91:$H$149,Lu_Nutrition_Specific,J$91:J$149)</f>
        <v>3138004800</v>
      </c>
      <c r="K159" s="325">
        <f ca="1">SUMIF($H$91:$H$149,Lu_Nutrition_Specific,K$91:K$149)</f>
        <v>1075633200</v>
      </c>
      <c r="L159" s="325">
        <f ca="1">SUMIF($H$91:$H$149,Lu_Nutrition_Specific,L$91:L$149)</f>
        <v>638190000</v>
      </c>
      <c r="M159" s="325">
        <f ca="1">SUMIF($H$91:$H$149,Lu_Nutrition_Specific,M$91:M$149)</f>
        <v>0</v>
      </c>
      <c r="N159" s="325">
        <f ca="1">SUMIF($H$91:$H$149,Lu_Nutrition_Specific,N$91:N$149)</f>
        <v>0</v>
      </c>
    </row>
    <row r="160" spans="1:14" ht="12" x14ac:dyDescent="0.2">
      <c r="F160" s="38" t="str">
        <f>Lu_Nutrition_Sensitive</f>
        <v>Nutrition-sensitive</v>
      </c>
      <c r="G160" s="38"/>
      <c r="H160" s="289">
        <f t="shared" ref="H160:H161" ca="1" si="39">I160/$I$162</f>
        <v>0</v>
      </c>
      <c r="I160" s="69">
        <f t="shared" ref="I160:I161" ca="1" si="40">SUM(J160:N160)</f>
        <v>0</v>
      </c>
      <c r="J160" s="325">
        <f ca="1">SUMIF($H$91:$H$149,Lu_Nutrition_Sensitive,J$91:J$149)</f>
        <v>0</v>
      </c>
      <c r="K160" s="325">
        <f ca="1">SUMIF($H$91:$H$149,Lu_Nutrition_Sensitive,K$91:K$149)</f>
        <v>0</v>
      </c>
      <c r="L160" s="325">
        <f ca="1">SUMIF($H$91:$H$149,Lu_Nutrition_Sensitive,L$91:L$149)</f>
        <v>0</v>
      </c>
      <c r="M160" s="325">
        <f ca="1">SUMIF($H$91:$H$149,Lu_Nutrition_Sensitive,M$91:M$149)</f>
        <v>0</v>
      </c>
      <c r="N160" s="325">
        <f ca="1">SUMIF($H$91:$H$149,Lu_Nutrition_Sensitive,N$91:N$149)</f>
        <v>0</v>
      </c>
    </row>
    <row r="161" spans="6:14" ht="12" x14ac:dyDescent="0.2">
      <c r="F161" s="38" t="str">
        <f>Lu_Governance</f>
        <v>Governance</v>
      </c>
      <c r="G161" s="38"/>
      <c r="H161" s="289">
        <f t="shared" ca="1" si="39"/>
        <v>3.1580535755346056E-2</v>
      </c>
      <c r="I161" s="396">
        <f t="shared" ca="1" si="40"/>
        <v>158220000</v>
      </c>
      <c r="J161" s="325">
        <f ca="1">SUMIF($H$91:$H$149,Lu_Governance,J$91:J$149)</f>
        <v>79110000</v>
      </c>
      <c r="K161" s="325">
        <f ca="1">SUMIF($H$91:$H$149,Lu_Governance,K$91:K$149)</f>
        <v>79110000</v>
      </c>
      <c r="L161" s="325">
        <f ca="1">SUMIF($H$91:$H$149,Lu_Governance,L$91:L$149)</f>
        <v>0</v>
      </c>
      <c r="M161" s="325">
        <f ca="1">SUMIF($H$91:$H$149,Lu_Governance,M$91:M$149)</f>
        <v>0</v>
      </c>
      <c r="N161" s="325">
        <f ca="1">SUMIF($H$91:$H$149,Lu_Governance,N$91:N$149)</f>
        <v>0</v>
      </c>
    </row>
    <row r="162" spans="6:14" ht="12" x14ac:dyDescent="0.2">
      <c r="F162" s="324" t="str">
        <f>"TOTAL - "&amp;Summary_Govt_Contributions!$F$12&amp;" ("&amp;CURR_LCU_ABBR&amp;")"</f>
        <v>TOTAL - TODAS las contribuciones de las agencias gubernamentales (GOZ)</v>
      </c>
      <c r="G162" s="74"/>
      <c r="H162" s="291">
        <f ca="1">SUM(H159:H161)</f>
        <v>1</v>
      </c>
      <c r="I162" s="57">
        <f ca="1">SUM(J162:N162)</f>
        <v>5010048000</v>
      </c>
      <c r="J162" s="55">
        <f ca="1">SUM(J159:J161)</f>
        <v>3217114800</v>
      </c>
      <c r="K162" s="55">
        <f t="shared" ref="K162:N162" ca="1" si="41">SUM(K159:K161)</f>
        <v>1154743200</v>
      </c>
      <c r="L162" s="55">
        <f t="shared" ca="1" si="41"/>
        <v>638190000</v>
      </c>
      <c r="M162" s="55">
        <f t="shared" ca="1" si="41"/>
        <v>0</v>
      </c>
      <c r="N162" s="55">
        <f t="shared" ca="1" si="41"/>
        <v>0</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f ca="1">I166/$I$169</f>
        <v>0.96841946424465397</v>
      </c>
      <c r="I166" s="404">
        <f ca="1">SUM(J166:N166)</f>
        <v>2695460</v>
      </c>
      <c r="J166" s="407">
        <f t="shared" ref="J166:N168" ca="1" si="42">J159/EXCHANGE_RATE</f>
        <v>1743336</v>
      </c>
      <c r="K166" s="407">
        <f t="shared" ca="1" si="42"/>
        <v>597574</v>
      </c>
      <c r="L166" s="407">
        <f t="shared" ca="1" si="42"/>
        <v>354550</v>
      </c>
      <c r="M166" s="407">
        <f t="shared" ca="1" si="42"/>
        <v>0</v>
      </c>
      <c r="N166" s="407">
        <f t="shared" ca="1" si="42"/>
        <v>0</v>
      </c>
    </row>
    <row r="167" spans="6:14" ht="12" x14ac:dyDescent="0.2">
      <c r="F167" t="str">
        <f>Lu_Nutrition_Sensitive</f>
        <v>Nutrition-sensitive</v>
      </c>
      <c r="H167" s="289">
        <f t="shared" ref="H167:H168" ca="1" si="43">I167/$I$169</f>
        <v>0</v>
      </c>
      <c r="I167" s="404">
        <f t="shared" ref="I167:I168" ca="1" si="44">SUM(J167:N167)</f>
        <v>0</v>
      </c>
      <c r="J167" s="407">
        <f t="shared" ca="1" si="42"/>
        <v>0</v>
      </c>
      <c r="K167" s="407">
        <f t="shared" ca="1" si="42"/>
        <v>0</v>
      </c>
      <c r="L167" s="407">
        <f t="shared" ca="1" si="42"/>
        <v>0</v>
      </c>
      <c r="M167" s="407">
        <f t="shared" ca="1" si="42"/>
        <v>0</v>
      </c>
      <c r="N167" s="407">
        <f t="shared" ca="1" si="42"/>
        <v>0</v>
      </c>
    </row>
    <row r="168" spans="6:14" ht="12" x14ac:dyDescent="0.2">
      <c r="F168" t="str">
        <f>Lu_Governance</f>
        <v>Governance</v>
      </c>
      <c r="H168" s="289">
        <f t="shared" ca="1" si="43"/>
        <v>3.1580535755346056E-2</v>
      </c>
      <c r="I168" s="404">
        <f t="shared" ca="1" si="44"/>
        <v>87900</v>
      </c>
      <c r="J168" s="407">
        <f t="shared" ca="1" si="42"/>
        <v>43950</v>
      </c>
      <c r="K168" s="407">
        <f t="shared" ca="1" si="42"/>
        <v>43950</v>
      </c>
      <c r="L168" s="407">
        <f t="shared" ca="1" si="42"/>
        <v>0</v>
      </c>
      <c r="M168" s="407">
        <f t="shared" ca="1" si="42"/>
        <v>0</v>
      </c>
      <c r="N168" s="407">
        <f t="shared" ca="1" si="42"/>
        <v>0</v>
      </c>
    </row>
    <row r="169" spans="6:14" ht="12" x14ac:dyDescent="0.2">
      <c r="F169" s="324" t="str">
        <f>"TOTAL - "&amp;Summary_Govt_Contributions!$F$12&amp;" ("&amp;CURR_INT_ABBR&amp;")"</f>
        <v>TOTAL - TODAS las contribuciones de las agencias gubernamentales (USD)</v>
      </c>
      <c r="G169" s="74"/>
      <c r="H169" s="291">
        <f ca="1">SUM(H166:H168)</f>
        <v>1</v>
      </c>
      <c r="I169" s="295">
        <f ca="1">SUM(J169:N169)</f>
        <v>2783360</v>
      </c>
      <c r="J169" s="408">
        <f ca="1">SUM(J166:J168)</f>
        <v>1787286</v>
      </c>
      <c r="K169" s="408">
        <f t="shared" ref="K169:N169" ca="1" si="45">SUM(K166:K168)</f>
        <v>641524</v>
      </c>
      <c r="L169" s="408">
        <f t="shared" ca="1" si="45"/>
        <v>354550</v>
      </c>
      <c r="M169" s="408">
        <f t="shared" ca="1" si="45"/>
        <v>0</v>
      </c>
      <c r="N169" s="408">
        <f t="shared" ca="1" si="45"/>
        <v>0</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3 J32:N36 J26:N30 J44:N48 J50:N54 J56:N60 J62:N66 J68:N72 J74:N78 J38:N42 J103:N107 J97:N101 J91:N95 J109:N113 J115:N119 J121:N125 J127:N131 J133:N137 J139:N143 J145:N149" xr:uid="{00000000-0002-0000-1800-000000000000}">
      <formula1>NOT(ISERROR(J20/1))</formula1>
    </dataValidation>
  </dataValidations>
  <hyperlinks>
    <hyperlink ref="A14" location="HL_Mod_Out" tooltip="Click to follow hyperlink." display="ð" xr:uid="{00000000-0004-0000-1800-000000000000}"/>
    <hyperlink ref="B4" location="Partner3!HL_Sheet_Main_13" tooltip="Go to Previous Sheet" display="ç" xr:uid="{00000000-0004-0000-1800-000001000000}"/>
    <hyperlink ref="C4" location="Partner5!HL_Sheet_Main_13" tooltip="Go to Next Sheet" display="è" xr:uid="{00000000-0004-0000-1800-000002000000}"/>
    <hyperlink ref="A4" r:id="rId1" tooltip="Go to Top of Sheet" xr:uid="{00000000-0004-0000-1800-000003000000}"/>
    <hyperlink ref="B3" location="HL_Home" tooltip="Go to Table of Contents" display="Go to Table of Contents" xr:uid="{00000000-0004-0000-1800-000004000000}"/>
    <hyperlink ref="A155" location="HL_Mod_Out" tooltip="Click to follow hyperlink." display="ð" xr:uid="{00000000-0004-0000-1800-000005000000}"/>
  </hyperlinks>
  <pageMargins left="0.4" right="0.4" top="0.6" bottom="1" header="0" footer="0.3"/>
  <pageSetup orientation="landscape" r:id="rId2"/>
  <headerFooter>
    <oddFooter>&amp;L&amp;F
&amp;A
Printed: &amp;T on &amp;D&amp;C&amp;",Bold"Sheet 2.p.
Page &amp;P of &amp;N</oddFooter>
  </headerFooter>
  <drawing r:id="rId3"/>
  <legacyDrawing r:id="rId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A1:N169"/>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0.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Partner5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49.2" x14ac:dyDescent="0.2">
      <c r="F12" s="198" t="str">
        <f>Partner5</f>
        <v>Programa Mundial de Alimentos</v>
      </c>
      <c r="G12" s="60">
        <v>1</v>
      </c>
    </row>
    <row r="13" spans="1:14" s="38" customFormat="1" x14ac:dyDescent="0.2">
      <c r="G13"/>
    </row>
    <row r="14" spans="1:14" s="38" customFormat="1" x14ac:dyDescent="0.2">
      <c r="A14" s="39" t="s">
        <v>76</v>
      </c>
      <c r="B14" s="40" t="str">
        <f>"Planned Annual Contributions by "&amp;Partner5&amp;" - by Strategic Objective and Result/Indicator"</f>
        <v>Planned Annual Contributions by Programa Mundial de Alimentos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409" t="s">
        <v>106</v>
      </c>
      <c r="J19" s="54" t="str">
        <f>CURR_INT_ABBR</f>
        <v>USD</v>
      </c>
      <c r="K19" s="54" t="str">
        <f>CURR_INT_ABBR</f>
        <v>USD</v>
      </c>
      <c r="L19" s="54" t="str">
        <f>CURR_INT_ABBR</f>
        <v>USD</v>
      </c>
      <c r="M19" s="54" t="str">
        <f>CURR_INT_ABBR</f>
        <v>USD</v>
      </c>
      <c r="N19" s="54" t="str">
        <f>CURR_INT_ABBR</f>
        <v>USD</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67">
        <f>SUM(J20:N20)</f>
        <v>750000</v>
      </c>
      <c r="J20" s="61">
        <v>150000</v>
      </c>
      <c r="K20" s="61">
        <v>150000</v>
      </c>
      <c r="L20" s="61">
        <v>150000</v>
      </c>
      <c r="M20" s="61">
        <v>150000</v>
      </c>
      <c r="N20" s="61">
        <v>150000</v>
      </c>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67">
        <f t="shared" ref="I21:I22" si="2">SUM(J21:N21)</f>
        <v>0</v>
      </c>
      <c r="J21" s="61"/>
      <c r="K21" s="61"/>
      <c r="L21" s="61"/>
      <c r="M21" s="61"/>
      <c r="N21" s="61"/>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67">
        <f t="shared" si="2"/>
        <v>0</v>
      </c>
      <c r="J22" s="61"/>
      <c r="K22" s="61"/>
      <c r="L22" s="61"/>
      <c r="M22" s="61"/>
      <c r="N22" s="61"/>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67">
        <f>SUM(J23:N23)</f>
        <v>0</v>
      </c>
      <c r="J23" s="61"/>
      <c r="K23" s="61"/>
      <c r="L23" s="61"/>
      <c r="M23" s="61"/>
      <c r="N23" s="61"/>
    </row>
    <row r="24" spans="6:14" s="38" customFormat="1" ht="12" x14ac:dyDescent="0.2">
      <c r="F24" s="448"/>
      <c r="G24" s="41" t="str">
        <f>STRAT1_IND5</f>
        <v>Objetivo estratégico 1 Indicador 5</v>
      </c>
      <c r="H24" s="260" t="str">
        <f ca="1">OFFSET(Variables_Lu!$D$10,Basic_Setup!H38,0)</f>
        <v>Governance</v>
      </c>
      <c r="I24" s="67">
        <f>SUM(J24:N24)</f>
        <v>0</v>
      </c>
      <c r="J24" s="61"/>
      <c r="K24" s="61"/>
      <c r="L24" s="61"/>
      <c r="M24" s="61"/>
      <c r="N24" s="61"/>
    </row>
    <row r="25" spans="6:14" s="38" customFormat="1" ht="12" x14ac:dyDescent="0.2">
      <c r="H25" s="152" t="s">
        <v>107</v>
      </c>
      <c r="I25" s="250">
        <f>SUM(I20:I24)</f>
        <v>750000</v>
      </c>
      <c r="J25" s="64">
        <f>SUM(J20:J24)</f>
        <v>150000</v>
      </c>
      <c r="K25" s="64">
        <f t="shared" ref="K25:N25" si="3">SUM(K20:K24)</f>
        <v>150000</v>
      </c>
      <c r="L25" s="64">
        <f t="shared" si="3"/>
        <v>150000</v>
      </c>
      <c r="M25" s="64">
        <f t="shared" si="3"/>
        <v>150000</v>
      </c>
      <c r="N25" s="64">
        <f t="shared" si="3"/>
        <v>150000</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67">
        <f>SUM(J26:N26)</f>
        <v>7500000</v>
      </c>
      <c r="J26" s="61">
        <v>1500000</v>
      </c>
      <c r="K26" s="61">
        <v>1500000</v>
      </c>
      <c r="L26" s="61">
        <v>1500000</v>
      </c>
      <c r="M26" s="61">
        <v>1500000</v>
      </c>
      <c r="N26" s="61">
        <v>1500000</v>
      </c>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67">
        <f t="shared" ref="I27:I30" si="4">SUM(J27:N27)</f>
        <v>0</v>
      </c>
      <c r="J27" s="61"/>
      <c r="K27" s="61"/>
      <c r="L27" s="61"/>
      <c r="M27" s="61"/>
      <c r="N27" s="61"/>
    </row>
    <row r="28" spans="6:14" s="38" customFormat="1" ht="22.8" x14ac:dyDescent="0.2">
      <c r="F28" s="447"/>
      <c r="G28" s="42" t="str">
        <f>STRAT2_IND3</f>
        <v>Se refuerzan las intervenciones comunitarias en materia de nutrición.</v>
      </c>
      <c r="H28" s="260" t="str">
        <f ca="1">OFFSET(Variables_Lu!$D$10,Basic_Setup!H42,0)</f>
        <v>Nutrition-specific</v>
      </c>
      <c r="I28" s="67">
        <f t="shared" si="4"/>
        <v>0</v>
      </c>
      <c r="J28" s="61"/>
      <c r="K28" s="61"/>
      <c r="L28" s="61"/>
      <c r="M28" s="61"/>
      <c r="N28" s="61"/>
    </row>
    <row r="29" spans="6:14" s="38" customFormat="1" ht="12" x14ac:dyDescent="0.2">
      <c r="F29" s="447"/>
      <c r="G29" s="41" t="str">
        <f>STRAT2_IND4</f>
        <v>Objetivo estratégico 2 Indicador 4</v>
      </c>
      <c r="H29" s="260" t="str">
        <f ca="1">OFFSET(Variables_Lu!$D$10,Basic_Setup!H43,0)</f>
        <v>Nutrition-specific</v>
      </c>
      <c r="I29" s="67">
        <f t="shared" si="4"/>
        <v>0</v>
      </c>
      <c r="J29" s="61"/>
      <c r="K29" s="61"/>
      <c r="L29" s="61"/>
      <c r="M29" s="61"/>
      <c r="N29" s="61"/>
    </row>
    <row r="30" spans="6:14" s="38" customFormat="1" ht="12" x14ac:dyDescent="0.2">
      <c r="F30" s="448"/>
      <c r="G30" s="41" t="str">
        <f>STRAT2_IND5</f>
        <v>Objetivo estratégico 2 Indicador 5</v>
      </c>
      <c r="H30" s="260" t="str">
        <f ca="1">OFFSET(Variables_Lu!$D$10,Basic_Setup!H44,0)</f>
        <v>Nutrition-specific</v>
      </c>
      <c r="I30" s="67">
        <f t="shared" si="4"/>
        <v>0</v>
      </c>
      <c r="J30" s="61"/>
      <c r="K30" s="61"/>
      <c r="L30" s="61"/>
      <c r="M30" s="61"/>
      <c r="N30" s="61"/>
    </row>
    <row r="31" spans="6:14" s="38" customFormat="1" ht="12" x14ac:dyDescent="0.2">
      <c r="H31" s="152" t="s">
        <v>108</v>
      </c>
      <c r="I31" s="250">
        <f t="shared" ref="I31" si="5">SUM(I26:I30)</f>
        <v>7500000</v>
      </c>
      <c r="J31" s="64">
        <f t="shared" ref="J31:N31" si="6">SUM(J26:J30)</f>
        <v>1500000</v>
      </c>
      <c r="K31" s="64">
        <f t="shared" si="6"/>
        <v>1500000</v>
      </c>
      <c r="L31" s="64">
        <f t="shared" si="6"/>
        <v>1500000</v>
      </c>
      <c r="M31" s="64">
        <f t="shared" si="6"/>
        <v>1500000</v>
      </c>
      <c r="N31" s="64">
        <f t="shared" si="6"/>
        <v>1500000</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67">
        <f>SUM(J32:N32)</f>
        <v>3125000</v>
      </c>
      <c r="J32" s="61">
        <v>625000</v>
      </c>
      <c r="K32" s="61">
        <v>625000</v>
      </c>
      <c r="L32" s="61">
        <v>625000</v>
      </c>
      <c r="M32" s="61">
        <v>625000</v>
      </c>
      <c r="N32" s="61">
        <v>625000</v>
      </c>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67">
        <f t="shared" ref="I33:I36" si="7">SUM(J33:N33)</f>
        <v>0</v>
      </c>
      <c r="J33" s="61"/>
      <c r="K33" s="61"/>
      <c r="L33" s="61"/>
      <c r="M33" s="61"/>
      <c r="N33" s="61"/>
    </row>
    <row r="34" spans="6:14" s="38" customFormat="1" ht="12" x14ac:dyDescent="0.2">
      <c r="F34" s="447"/>
      <c r="G34" s="42" t="str">
        <f>STRAT3_IND3</f>
        <v>Objetivo estratégico 3 Indicador 3</v>
      </c>
      <c r="H34" s="260" t="str">
        <f ca="1">OFFSET(Variables_Lu!$D$10,Basic_Setup!H48,0)</f>
        <v>Nutrition-specific</v>
      </c>
      <c r="I34" s="67">
        <f t="shared" si="7"/>
        <v>0</v>
      </c>
      <c r="J34" s="61"/>
      <c r="K34" s="61"/>
      <c r="L34" s="61"/>
      <c r="M34" s="61"/>
      <c r="N34" s="61"/>
    </row>
    <row r="35" spans="6:14" s="38" customFormat="1" ht="12" x14ac:dyDescent="0.2">
      <c r="F35" s="447"/>
      <c r="G35" s="41" t="str">
        <f>STRAT3_IND4</f>
        <v>Objetivo estratégico 3 Indicador 4</v>
      </c>
      <c r="H35" s="260" t="str">
        <f ca="1">OFFSET(Variables_Lu!$D$10,Basic_Setup!H49,0)</f>
        <v>Nutrition-specific</v>
      </c>
      <c r="I35" s="67">
        <f t="shared" si="7"/>
        <v>0</v>
      </c>
      <c r="J35" s="61"/>
      <c r="K35" s="61"/>
      <c r="L35" s="61"/>
      <c r="M35" s="61"/>
      <c r="N35" s="61"/>
    </row>
    <row r="36" spans="6:14" s="38" customFormat="1" ht="12" x14ac:dyDescent="0.2">
      <c r="F36" s="448"/>
      <c r="G36" s="41" t="str">
        <f>STRAT3_IND5</f>
        <v>Objetivo estratégico 3 Indicador 5</v>
      </c>
      <c r="H36" s="260" t="str">
        <f ca="1">OFFSET(Variables_Lu!$D$10,Basic_Setup!H50,0)</f>
        <v>Nutrition-specific</v>
      </c>
      <c r="I36" s="67">
        <f t="shared" si="7"/>
        <v>0</v>
      </c>
      <c r="J36" s="61"/>
      <c r="K36" s="61"/>
      <c r="L36" s="61"/>
      <c r="M36" s="61"/>
      <c r="N36" s="61"/>
    </row>
    <row r="37" spans="6:14" ht="12" x14ac:dyDescent="0.2">
      <c r="H37" s="152" t="s">
        <v>109</v>
      </c>
      <c r="I37" s="250">
        <f>SUM(I32:I36)</f>
        <v>3125000</v>
      </c>
      <c r="J37" s="64">
        <f>SUM(J32:J36)</f>
        <v>625000</v>
      </c>
      <c r="K37" s="64">
        <f t="shared" ref="K37:N37" si="8">SUM(K32:K36)</f>
        <v>625000</v>
      </c>
      <c r="L37" s="64">
        <f t="shared" si="8"/>
        <v>625000</v>
      </c>
      <c r="M37" s="64">
        <f t="shared" si="8"/>
        <v>625000</v>
      </c>
      <c r="N37" s="64">
        <f t="shared" si="8"/>
        <v>625000</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67">
        <f>SUM(J38:N38)</f>
        <v>2500000</v>
      </c>
      <c r="J38" s="61">
        <v>500000</v>
      </c>
      <c r="K38" s="61">
        <v>500000</v>
      </c>
      <c r="L38" s="61">
        <v>500000</v>
      </c>
      <c r="M38" s="61">
        <v>500000</v>
      </c>
      <c r="N38" s="61">
        <v>500000</v>
      </c>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67">
        <f t="shared" ref="I39:I42" si="9">SUM(J39:N39)</f>
        <v>250000</v>
      </c>
      <c r="J39" s="61">
        <v>50000</v>
      </c>
      <c r="K39" s="61">
        <v>50000</v>
      </c>
      <c r="L39" s="61">
        <v>50000</v>
      </c>
      <c r="M39" s="61">
        <v>50000</v>
      </c>
      <c r="N39" s="61">
        <v>50000</v>
      </c>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67">
        <f>SUM(J40:N40)</f>
        <v>0</v>
      </c>
      <c r="J40" s="61"/>
      <c r="K40" s="61"/>
      <c r="L40" s="61"/>
      <c r="M40" s="61"/>
      <c r="N40" s="61"/>
    </row>
    <row r="41" spans="6:14" ht="12" x14ac:dyDescent="0.2">
      <c r="F41" s="447"/>
      <c r="G41" s="41" t="str">
        <f>STRAT4_IND4</f>
        <v>Objetivo estratégico 4 Indicador 4</v>
      </c>
      <c r="H41" s="260" t="str">
        <f ca="1">OFFSET(Variables_Lu!$D$10,Basic_Setup!H55,0)</f>
        <v>Nutrition-specific</v>
      </c>
      <c r="I41" s="67">
        <f>SUM(J41:N41)</f>
        <v>0</v>
      </c>
      <c r="J41" s="61"/>
      <c r="K41" s="61"/>
      <c r="L41" s="61"/>
      <c r="M41" s="61"/>
      <c r="N41" s="61"/>
    </row>
    <row r="42" spans="6:14" ht="12" x14ac:dyDescent="0.2">
      <c r="F42" s="448"/>
      <c r="G42" s="41" t="str">
        <f>STRAT4_IND5</f>
        <v>Objetivo estratégico 4 Indicador 5</v>
      </c>
      <c r="H42" s="260" t="str">
        <f ca="1">OFFSET(Variables_Lu!$D$10,Basic_Setup!H56,0)</f>
        <v>Nutrition-specific</v>
      </c>
      <c r="I42" s="67">
        <f t="shared" si="9"/>
        <v>0</v>
      </c>
      <c r="J42" s="61"/>
      <c r="K42" s="61"/>
      <c r="L42" s="61"/>
      <c r="M42" s="61"/>
      <c r="N42" s="61"/>
    </row>
    <row r="43" spans="6:14" ht="12" x14ac:dyDescent="0.2">
      <c r="H43" s="152" t="s">
        <v>110</v>
      </c>
      <c r="I43" s="250">
        <f>SUM(I38:I42)</f>
        <v>2750000</v>
      </c>
      <c r="J43" s="64">
        <f>SUM(J38:J42)</f>
        <v>550000</v>
      </c>
      <c r="K43" s="64">
        <f t="shared" ref="K43:N43" si="10">SUM(K38:K42)</f>
        <v>550000</v>
      </c>
      <c r="L43" s="64">
        <f t="shared" si="10"/>
        <v>550000</v>
      </c>
      <c r="M43" s="64">
        <f t="shared" si="10"/>
        <v>550000</v>
      </c>
      <c r="N43" s="64">
        <f t="shared" si="10"/>
        <v>550000</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67">
        <f>SUM(J44:N44)</f>
        <v>5000000</v>
      </c>
      <c r="J44" s="61">
        <v>1000000</v>
      </c>
      <c r="K44" s="61">
        <v>1000000</v>
      </c>
      <c r="L44" s="61">
        <v>1000000</v>
      </c>
      <c r="M44" s="61">
        <v>1000000</v>
      </c>
      <c r="N44" s="61">
        <v>1000000</v>
      </c>
    </row>
    <row r="45" spans="6:14" ht="22.8" x14ac:dyDescent="0.2">
      <c r="F45" s="447"/>
      <c r="G45" s="42" t="str">
        <f>STRAT5_IND2</f>
        <v>Se promueven dietas saludables y estilos de vida saludables para las personas.</v>
      </c>
      <c r="H45" s="260" t="str">
        <f ca="1">OFFSET(Variables_Lu!$D$10,Basic_Setup!H59,0)</f>
        <v>Nutrition-specific</v>
      </c>
      <c r="I45" s="67">
        <f t="shared" ref="I45:I48" si="11">SUM(J45:N45)</f>
        <v>0</v>
      </c>
      <c r="J45" s="61"/>
      <c r="K45" s="61"/>
      <c r="L45" s="61"/>
      <c r="M45" s="61"/>
      <c r="N45" s="61"/>
    </row>
    <row r="46" spans="6:14" ht="22.8" x14ac:dyDescent="0.2">
      <c r="F46" s="447"/>
      <c r="G46" s="42" t="str">
        <f>STRAT5_IND3</f>
        <v>Se promueven las buenas prácticas WASH a nivel comunitario y doméstico</v>
      </c>
      <c r="H46" s="260" t="str">
        <f ca="1">OFFSET(Variables_Lu!$D$10,Basic_Setup!H60,0)</f>
        <v>Nutrition-sensitive</v>
      </c>
      <c r="I46" s="67">
        <f t="shared" si="11"/>
        <v>0</v>
      </c>
      <c r="J46" s="61"/>
      <c r="K46" s="61"/>
      <c r="L46" s="61"/>
      <c r="M46" s="61"/>
      <c r="N46" s="61"/>
    </row>
    <row r="47" spans="6:14" ht="12" x14ac:dyDescent="0.2">
      <c r="F47" s="447"/>
      <c r="G47" s="41" t="str">
        <f>STRAT5_IND4</f>
        <v>Objetivo estratégico 5 Indicador 4</v>
      </c>
      <c r="H47" s="260" t="str">
        <f ca="1">OFFSET(Variables_Lu!$D$10,Basic_Setup!H61,0)</f>
        <v>Nutrition-specific</v>
      </c>
      <c r="I47" s="67">
        <f t="shared" si="11"/>
        <v>0</v>
      </c>
      <c r="J47" s="61"/>
      <c r="K47" s="61"/>
      <c r="L47" s="61"/>
      <c r="M47" s="61"/>
      <c r="N47" s="61"/>
    </row>
    <row r="48" spans="6:14" ht="12" x14ac:dyDescent="0.2">
      <c r="F48" s="448"/>
      <c r="G48" s="41" t="str">
        <f>STRAT5_IND5</f>
        <v>Objetivo estratégico 5 Indicador 5</v>
      </c>
      <c r="H48" s="260" t="str">
        <f ca="1">OFFSET(Variables_Lu!$D$10,Basic_Setup!H62,0)</f>
        <v>Nutrition-specific</v>
      </c>
      <c r="I48" s="67">
        <f t="shared" si="11"/>
        <v>0</v>
      </c>
      <c r="J48" s="61"/>
      <c r="K48" s="61"/>
      <c r="L48" s="61"/>
      <c r="M48" s="61"/>
      <c r="N48" s="61"/>
    </row>
    <row r="49" spans="6:14" ht="12" x14ac:dyDescent="0.2">
      <c r="H49" s="152" t="s">
        <v>111</v>
      </c>
      <c r="I49" s="250">
        <f>SUM(I44:I48)</f>
        <v>5000000</v>
      </c>
      <c r="J49" s="64">
        <f>SUM(J44:J48)</f>
        <v>1000000</v>
      </c>
      <c r="K49" s="64">
        <f t="shared" ref="K49:N49" si="12">SUM(K44:K48)</f>
        <v>1000000</v>
      </c>
      <c r="L49" s="64">
        <f t="shared" si="12"/>
        <v>1000000</v>
      </c>
      <c r="M49" s="64">
        <f t="shared" si="12"/>
        <v>1000000</v>
      </c>
      <c r="N49" s="64">
        <f t="shared" si="12"/>
        <v>1000000</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67">
        <f>SUM(J50:N50)</f>
        <v>0</v>
      </c>
      <c r="J50" s="61"/>
      <c r="K50" s="61"/>
      <c r="L50" s="61"/>
      <c r="M50" s="61"/>
      <c r="N50" s="61"/>
    </row>
    <row r="51" spans="6:14" ht="12" x14ac:dyDescent="0.2">
      <c r="F51" s="447"/>
      <c r="G51" s="42" t="str">
        <f>STRAT6_IND2</f>
        <v>Objetivo estratégico 6 Indicador 2</v>
      </c>
      <c r="H51" s="260" t="str">
        <f ca="1">OFFSET(Variables_Lu!$D$10,Basic_Setup!H65,0)</f>
        <v>Nutrition-specific</v>
      </c>
      <c r="I51" s="67">
        <f>SUM(J51:N51)</f>
        <v>0</v>
      </c>
      <c r="J51" s="61"/>
      <c r="K51" s="61"/>
      <c r="L51" s="61"/>
      <c r="M51" s="61"/>
      <c r="N51" s="61"/>
    </row>
    <row r="52" spans="6:14" ht="12" x14ac:dyDescent="0.2">
      <c r="F52" s="447"/>
      <c r="G52" s="42" t="str">
        <f>STRAT6_IND3</f>
        <v>Objetivo estratégico 6 Indicador 3</v>
      </c>
      <c r="H52" s="260" t="str">
        <f ca="1">OFFSET(Variables_Lu!$D$10,Basic_Setup!H66,0)</f>
        <v>Nutrition-specific</v>
      </c>
      <c r="I52" s="67">
        <f>SUM(J52:N52)</f>
        <v>0</v>
      </c>
      <c r="J52" s="61"/>
      <c r="K52" s="61"/>
      <c r="L52" s="61"/>
      <c r="M52" s="61"/>
      <c r="N52" s="61"/>
    </row>
    <row r="53" spans="6:14" ht="12" x14ac:dyDescent="0.2">
      <c r="F53" s="447"/>
      <c r="G53" s="41" t="str">
        <f>STRAT6_IND4</f>
        <v>Objetivo estratégico 6 Indicador 4</v>
      </c>
      <c r="H53" s="260" t="str">
        <f ca="1">OFFSET(Variables_Lu!$D$10,Basic_Setup!H67,0)</f>
        <v>Nutrition-specific</v>
      </c>
      <c r="I53" s="67">
        <f>SUM(J53:N53)</f>
        <v>0</v>
      </c>
      <c r="J53" s="61"/>
      <c r="K53" s="61"/>
      <c r="L53" s="61"/>
      <c r="M53" s="61"/>
      <c r="N53" s="61"/>
    </row>
    <row r="54" spans="6:14" ht="12" x14ac:dyDescent="0.2">
      <c r="F54" s="448"/>
      <c r="G54" s="41" t="str">
        <f>STRAT6_IND5</f>
        <v>Objetivo estratégico 6 Indicador 5</v>
      </c>
      <c r="H54" s="260" t="str">
        <f ca="1">OFFSET(Variables_Lu!$D$10,Basic_Setup!H68,0)</f>
        <v>Nutrition-specific</v>
      </c>
      <c r="I54" s="67">
        <f>SUM(J54:N54)</f>
        <v>0</v>
      </c>
      <c r="J54" s="61"/>
      <c r="K54" s="61"/>
      <c r="L54" s="61"/>
      <c r="M54" s="61"/>
      <c r="N54" s="61"/>
    </row>
    <row r="55" spans="6:14" ht="12" x14ac:dyDescent="0.2">
      <c r="H55" s="152" t="s">
        <v>159</v>
      </c>
      <c r="I55" s="250">
        <f t="shared" ref="I55" si="13">SUM(I50:I54)</f>
        <v>0</v>
      </c>
      <c r="J55" s="64">
        <f t="shared" ref="J55:N55" si="14">SUM(J50:J54)</f>
        <v>0</v>
      </c>
      <c r="K55" s="64">
        <f t="shared" si="14"/>
        <v>0</v>
      </c>
      <c r="L55" s="64">
        <f t="shared" si="14"/>
        <v>0</v>
      </c>
      <c r="M55" s="64">
        <f t="shared" si="14"/>
        <v>0</v>
      </c>
      <c r="N55" s="64">
        <f t="shared" si="14"/>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67">
        <f>SUM(J56:N56)</f>
        <v>0</v>
      </c>
      <c r="J56" s="61"/>
      <c r="K56" s="61"/>
      <c r="L56" s="61"/>
      <c r="M56" s="61"/>
      <c r="N56" s="61"/>
    </row>
    <row r="57" spans="6:14" ht="12" x14ac:dyDescent="0.2">
      <c r="F57" s="447"/>
      <c r="G57" s="42" t="str">
        <f>STRAT7_IND2</f>
        <v>Objetivo estratégico 7 Indicador 2</v>
      </c>
      <c r="H57" s="260" t="str">
        <f ca="1">OFFSET(Variables_Lu!$D$10,Basic_Setup!H71,0)</f>
        <v>Nutrition-specific</v>
      </c>
      <c r="I57" s="67">
        <f>SUM(J57:N57)</f>
        <v>0</v>
      </c>
      <c r="J57" s="61"/>
      <c r="K57" s="61"/>
      <c r="L57" s="61"/>
      <c r="M57" s="61"/>
      <c r="N57" s="61"/>
    </row>
    <row r="58" spans="6:14" ht="12" x14ac:dyDescent="0.2">
      <c r="F58" s="447"/>
      <c r="G58" s="42" t="str">
        <f>STRAT7_IND3</f>
        <v>Objetivo estratégico 7 Indicador 3</v>
      </c>
      <c r="H58" s="260" t="str">
        <f ca="1">OFFSET(Variables_Lu!$D$10,Basic_Setup!H72,0)</f>
        <v>Nutrition-specific</v>
      </c>
      <c r="I58" s="67">
        <f>SUM(J58:N58)</f>
        <v>0</v>
      </c>
      <c r="J58" s="61"/>
      <c r="K58" s="61"/>
      <c r="L58" s="61"/>
      <c r="M58" s="61"/>
      <c r="N58" s="61"/>
    </row>
    <row r="59" spans="6:14" ht="12" x14ac:dyDescent="0.2">
      <c r="F59" s="447"/>
      <c r="G59" s="41" t="str">
        <f>STRAT7_IND4</f>
        <v>Objetivo estratégico 7 Indicador 4</v>
      </c>
      <c r="H59" s="260" t="str">
        <f ca="1">OFFSET(Variables_Lu!$D$10,Basic_Setup!H73,0)</f>
        <v>Nutrition-specific</v>
      </c>
      <c r="I59" s="67">
        <f>SUM(J59:N59)</f>
        <v>0</v>
      </c>
      <c r="J59" s="61"/>
      <c r="K59" s="61"/>
      <c r="L59" s="61"/>
      <c r="M59" s="61"/>
      <c r="N59" s="61"/>
    </row>
    <row r="60" spans="6:14" ht="12" x14ac:dyDescent="0.2">
      <c r="F60" s="448"/>
      <c r="G60" s="41" t="str">
        <f>STRAT7_IND5</f>
        <v>Objetivo estratégico 7 Indicador 5</v>
      </c>
      <c r="H60" s="260" t="str">
        <f ca="1">OFFSET(Variables_Lu!$D$10,Basic_Setup!H74,0)</f>
        <v>Nutrition-specific</v>
      </c>
      <c r="I60" s="67">
        <f>SUM(J60:N60)</f>
        <v>0</v>
      </c>
      <c r="J60" s="61"/>
      <c r="K60" s="61"/>
      <c r="L60" s="61"/>
      <c r="M60" s="61"/>
      <c r="N60" s="61"/>
    </row>
    <row r="61" spans="6:14" ht="12" x14ac:dyDescent="0.2">
      <c r="H61" s="152" t="s">
        <v>160</v>
      </c>
      <c r="I61" s="250">
        <f t="shared" ref="I61" si="15">SUM(I56:I60)</f>
        <v>0</v>
      </c>
      <c r="J61" s="64">
        <f t="shared" ref="J61:N61" si="16">SUM(J56:J60)</f>
        <v>0</v>
      </c>
      <c r="K61" s="64">
        <f t="shared" si="16"/>
        <v>0</v>
      </c>
      <c r="L61" s="64">
        <f t="shared" si="16"/>
        <v>0</v>
      </c>
      <c r="M61" s="64">
        <f t="shared" si="16"/>
        <v>0</v>
      </c>
      <c r="N61" s="64">
        <f t="shared" si="16"/>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67">
        <f>SUM(J62:N62)</f>
        <v>0</v>
      </c>
      <c r="J62" s="61"/>
      <c r="K62" s="61"/>
      <c r="L62" s="61"/>
      <c r="M62" s="61"/>
      <c r="N62" s="61"/>
    </row>
    <row r="63" spans="6:14" ht="12" x14ac:dyDescent="0.2">
      <c r="F63" s="447"/>
      <c r="G63" s="42" t="str">
        <f>STRAT8_IND2</f>
        <v>Objetivo estratégico 8 Indicador 2</v>
      </c>
      <c r="H63" s="260" t="str">
        <f ca="1">OFFSET(Variables_Lu!$D$10,Basic_Setup!H77,0)</f>
        <v>Nutrition-specific</v>
      </c>
      <c r="I63" s="67">
        <f>SUM(J63:N63)</f>
        <v>0</v>
      </c>
      <c r="J63" s="61"/>
      <c r="K63" s="61"/>
      <c r="L63" s="61"/>
      <c r="M63" s="61"/>
      <c r="N63" s="61"/>
    </row>
    <row r="64" spans="6:14" ht="12" x14ac:dyDescent="0.2">
      <c r="F64" s="447"/>
      <c r="G64" s="42" t="str">
        <f>STRAT8_IND3</f>
        <v>Objetivo estratégico 8 Indicador 3</v>
      </c>
      <c r="H64" s="260" t="str">
        <f ca="1">OFFSET(Variables_Lu!$D$10,Basic_Setup!H78,0)</f>
        <v>Nutrition-specific</v>
      </c>
      <c r="I64" s="67">
        <f>SUM(J64:N64)</f>
        <v>0</v>
      </c>
      <c r="J64" s="61"/>
      <c r="K64" s="61"/>
      <c r="L64" s="61"/>
      <c r="M64" s="61"/>
      <c r="N64" s="61"/>
    </row>
    <row r="65" spans="6:14" ht="12" x14ac:dyDescent="0.2">
      <c r="F65" s="447"/>
      <c r="G65" s="41" t="str">
        <f>STRAT8_IND4</f>
        <v>Objetivo estratégico 8 Indicador 4</v>
      </c>
      <c r="H65" s="260" t="str">
        <f ca="1">OFFSET(Variables_Lu!$D$10,Basic_Setup!H79,0)</f>
        <v>Nutrition-specific</v>
      </c>
      <c r="I65" s="67">
        <f>SUM(J65:N65)</f>
        <v>0</v>
      </c>
      <c r="J65" s="61"/>
      <c r="K65" s="61"/>
      <c r="L65" s="61"/>
      <c r="M65" s="61"/>
      <c r="N65" s="61"/>
    </row>
    <row r="66" spans="6:14" ht="12" x14ac:dyDescent="0.2">
      <c r="F66" s="448"/>
      <c r="G66" s="41" t="str">
        <f>STRAT8_IND5</f>
        <v>Objetivo estratégico 8 Indicador 5</v>
      </c>
      <c r="H66" s="260" t="str">
        <f ca="1">OFFSET(Variables_Lu!$D$10,Basic_Setup!H80,0)</f>
        <v>Nutrition-specific</v>
      </c>
      <c r="I66" s="67">
        <f>SUM(J66:N66)</f>
        <v>0</v>
      </c>
      <c r="J66" s="61"/>
      <c r="K66" s="61"/>
      <c r="L66" s="61"/>
      <c r="M66" s="61"/>
      <c r="N66" s="61"/>
    </row>
    <row r="67" spans="6:14" ht="12" x14ac:dyDescent="0.2">
      <c r="H67" s="152" t="s">
        <v>161</v>
      </c>
      <c r="I67" s="250">
        <f t="shared" ref="I67" si="17">SUM(I62:I66)</f>
        <v>0</v>
      </c>
      <c r="J67" s="64">
        <f t="shared" ref="J67:N67" si="18">SUM(J62:J66)</f>
        <v>0</v>
      </c>
      <c r="K67" s="64">
        <f t="shared" si="18"/>
        <v>0</v>
      </c>
      <c r="L67" s="64">
        <f t="shared" si="18"/>
        <v>0</v>
      </c>
      <c r="M67" s="64">
        <f t="shared" si="18"/>
        <v>0</v>
      </c>
      <c r="N67" s="64">
        <f t="shared" si="18"/>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67">
        <f>SUM(J68:N68)</f>
        <v>0</v>
      </c>
      <c r="J68" s="61"/>
      <c r="K68" s="61"/>
      <c r="L68" s="61"/>
      <c r="M68" s="61"/>
      <c r="N68" s="61"/>
    </row>
    <row r="69" spans="6:14" ht="12" x14ac:dyDescent="0.2">
      <c r="F69" s="447"/>
      <c r="G69" s="42" t="str">
        <f>STRAT9_IND2</f>
        <v>Objetivo estratégico 9 Indicador 2</v>
      </c>
      <c r="H69" s="260" t="str">
        <f ca="1">OFFSET(Variables_Lu!$D$10,Basic_Setup!H83,0)</f>
        <v>Nutrition-specific</v>
      </c>
      <c r="I69" s="67">
        <f>SUM(J69:N69)</f>
        <v>0</v>
      </c>
      <c r="J69" s="61"/>
      <c r="K69" s="61"/>
      <c r="L69" s="61"/>
      <c r="M69" s="61"/>
      <c r="N69" s="61"/>
    </row>
    <row r="70" spans="6:14" ht="12" x14ac:dyDescent="0.2">
      <c r="F70" s="447"/>
      <c r="G70" s="42" t="str">
        <f>STRAT9_IND3</f>
        <v>Objetivo estratégico 9 Indicador 3</v>
      </c>
      <c r="H70" s="260" t="str">
        <f ca="1">OFFSET(Variables_Lu!$D$10,Basic_Setup!H84,0)</f>
        <v>Nutrition-specific</v>
      </c>
      <c r="I70" s="67">
        <f>SUM(J70:N70)</f>
        <v>0</v>
      </c>
      <c r="J70" s="61"/>
      <c r="K70" s="61"/>
      <c r="L70" s="61"/>
      <c r="M70" s="61"/>
      <c r="N70" s="61"/>
    </row>
    <row r="71" spans="6:14" ht="12" x14ac:dyDescent="0.2">
      <c r="F71" s="447"/>
      <c r="G71" s="41" t="str">
        <f>STRAT9_IND4</f>
        <v>Objetivo estratégico 9 Indicador 4</v>
      </c>
      <c r="H71" s="260" t="str">
        <f ca="1">OFFSET(Variables_Lu!$D$10,Basic_Setup!H85,0)</f>
        <v>Nutrition-specific</v>
      </c>
      <c r="I71" s="67">
        <f>SUM(J71:N71)</f>
        <v>0</v>
      </c>
      <c r="J71" s="61"/>
      <c r="K71" s="61"/>
      <c r="L71" s="61"/>
      <c r="M71" s="61"/>
      <c r="N71" s="61"/>
    </row>
    <row r="72" spans="6:14" ht="12" x14ac:dyDescent="0.2">
      <c r="F72" s="448"/>
      <c r="G72" s="41" t="str">
        <f>STRAT9_IND5</f>
        <v>Objetivo estratégico 9 Indicador 5</v>
      </c>
      <c r="H72" s="260" t="str">
        <f ca="1">OFFSET(Variables_Lu!$D$10,Basic_Setup!H86,0)</f>
        <v>Nutrition-specific</v>
      </c>
      <c r="I72" s="67">
        <f>SUM(J72:N72)</f>
        <v>0</v>
      </c>
      <c r="J72" s="61"/>
      <c r="K72" s="61"/>
      <c r="L72" s="61"/>
      <c r="M72" s="61"/>
      <c r="N72" s="61"/>
    </row>
    <row r="73" spans="6:14" ht="12" x14ac:dyDescent="0.2">
      <c r="H73" s="152" t="s">
        <v>162</v>
      </c>
      <c r="I73" s="250">
        <f t="shared" ref="I73" si="19">SUM(I68:I72)</f>
        <v>0</v>
      </c>
      <c r="J73" s="64">
        <f t="shared" ref="J73:N73" si="20">SUM(J68:J72)</f>
        <v>0</v>
      </c>
      <c r="K73" s="64">
        <f t="shared" si="20"/>
        <v>0</v>
      </c>
      <c r="L73" s="64">
        <f t="shared" si="20"/>
        <v>0</v>
      </c>
      <c r="M73" s="64">
        <f t="shared" si="20"/>
        <v>0</v>
      </c>
      <c r="N73" s="64">
        <f t="shared" si="20"/>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67">
        <f>SUM(J74:N74)</f>
        <v>0</v>
      </c>
      <c r="J74" s="61"/>
      <c r="K74" s="61"/>
      <c r="L74" s="61"/>
      <c r="M74" s="61"/>
      <c r="N74" s="61"/>
    </row>
    <row r="75" spans="6:14" ht="12" x14ac:dyDescent="0.2">
      <c r="F75" s="447"/>
      <c r="G75" s="42" t="str">
        <f>STRAT10_IND2</f>
        <v>Objetivo estratégico 10 Indicador 2</v>
      </c>
      <c r="H75" s="260" t="str">
        <f ca="1">OFFSET(Variables_Lu!$D$10,Basic_Setup!H89,0)</f>
        <v>Nutrition-specific</v>
      </c>
      <c r="I75" s="67">
        <f>SUM(J75:N75)</f>
        <v>0</v>
      </c>
      <c r="J75" s="61"/>
      <c r="K75" s="61"/>
      <c r="L75" s="61"/>
      <c r="M75" s="61"/>
      <c r="N75" s="61"/>
    </row>
    <row r="76" spans="6:14" ht="12" x14ac:dyDescent="0.2">
      <c r="F76" s="447"/>
      <c r="G76" s="42" t="str">
        <f>STRAT10_IND3</f>
        <v>Objetivo estratégico 10 Indicador 3</v>
      </c>
      <c r="H76" s="260" t="str">
        <f ca="1">OFFSET(Variables_Lu!$D$10,Basic_Setup!H90,0)</f>
        <v>Nutrition-specific</v>
      </c>
      <c r="I76" s="67">
        <f>SUM(J76:N76)</f>
        <v>0</v>
      </c>
      <c r="J76" s="61"/>
      <c r="K76" s="61"/>
      <c r="L76" s="61"/>
      <c r="M76" s="61"/>
      <c r="N76" s="61"/>
    </row>
    <row r="77" spans="6:14" ht="11.25" customHeight="1" x14ac:dyDescent="0.2">
      <c r="F77" s="447"/>
      <c r="G77" s="41" t="str">
        <f>STRAT10_IND4</f>
        <v>Objetivo estratégico 10 Indicador 4</v>
      </c>
      <c r="H77" s="260" t="str">
        <f ca="1">OFFSET(Variables_Lu!$D$10,Basic_Setup!H91,0)</f>
        <v>Nutrition-specific</v>
      </c>
      <c r="I77" s="67">
        <f>SUM(J77:N77)</f>
        <v>0</v>
      </c>
      <c r="J77" s="61"/>
      <c r="K77" s="61"/>
      <c r="L77" s="61"/>
      <c r="M77" s="61"/>
      <c r="N77" s="61"/>
    </row>
    <row r="78" spans="6:14" ht="11.25" customHeight="1" x14ac:dyDescent="0.2">
      <c r="F78" s="448"/>
      <c r="G78" s="41" t="str">
        <f>STRAT10_IND5</f>
        <v>Objetivo estratégico 10 Indicador 5</v>
      </c>
      <c r="H78" s="260" t="str">
        <f ca="1">OFFSET(Variables_Lu!$D$10,Basic_Setup!H92,0)</f>
        <v>Nutrition-specific</v>
      </c>
      <c r="I78" s="67">
        <f>SUM(J78:N78)</f>
        <v>0</v>
      </c>
      <c r="J78" s="61"/>
      <c r="K78" s="61"/>
      <c r="L78" s="61"/>
      <c r="M78" s="61"/>
      <c r="N78" s="61"/>
    </row>
    <row r="79" spans="6:14" ht="11.25" customHeight="1" x14ac:dyDescent="0.2">
      <c r="H79" s="152" t="s">
        <v>163</v>
      </c>
      <c r="I79" s="250">
        <f t="shared" ref="I79" si="21">SUM(I74:I78)</f>
        <v>0</v>
      </c>
      <c r="J79" s="64">
        <f t="shared" ref="J79:N79" si="22">SUM(J74:J78)</f>
        <v>0</v>
      </c>
      <c r="K79" s="64">
        <f t="shared" si="22"/>
        <v>0</v>
      </c>
      <c r="L79" s="64">
        <f t="shared" si="22"/>
        <v>0</v>
      </c>
      <c r="M79" s="64">
        <f t="shared" si="22"/>
        <v>0</v>
      </c>
      <c r="N79" s="64">
        <f t="shared" si="22"/>
        <v>0</v>
      </c>
    </row>
    <row r="80" spans="6:14" ht="11.25" customHeight="1" x14ac:dyDescent="0.2"/>
    <row r="81" spans="6:14" ht="12.6" thickBot="1" x14ac:dyDescent="0.25">
      <c r="H81" s="149" t="str">
        <f>"TOTAL - "&amp;$F$12</f>
        <v>TOTAL - Programa Mundial de Alimentos</v>
      </c>
      <c r="I81" s="65">
        <f t="shared" ref="I81:N81" si="23">SUM(I25,I31,I37,I43,I49,I55,I61,I67,I73,I79)</f>
        <v>19125000</v>
      </c>
      <c r="J81" s="65">
        <f t="shared" si="23"/>
        <v>3825000</v>
      </c>
      <c r="K81" s="65">
        <f t="shared" si="23"/>
        <v>3825000</v>
      </c>
      <c r="L81" s="65">
        <f t="shared" si="23"/>
        <v>3825000</v>
      </c>
      <c r="M81" s="65">
        <f t="shared" si="23"/>
        <v>3825000</v>
      </c>
      <c r="N81" s="65">
        <f t="shared" si="23"/>
        <v>3825000</v>
      </c>
    </row>
    <row r="82" spans="6:14" ht="12" x14ac:dyDescent="0.2">
      <c r="I82" s="149"/>
    </row>
    <row r="83" spans="6:14" ht="12" x14ac:dyDescent="0.2">
      <c r="F83" s="44" t="s">
        <v>171</v>
      </c>
    </row>
    <row r="84" spans="6:14" x14ac:dyDescent="0.2">
      <c r="F84" s="49" t="s">
        <v>174</v>
      </c>
    </row>
    <row r="85" spans="6:14" x14ac:dyDescent="0.2">
      <c r="F85" s="49" t="s">
        <v>175</v>
      </c>
    </row>
    <row r="86" spans="6:14" x14ac:dyDescent="0.2">
      <c r="F86" s="49"/>
    </row>
    <row r="87" spans="6:14" x14ac:dyDescent="0.2">
      <c r="F87" s="49"/>
    </row>
    <row r="90" spans="6:14" ht="12.6" thickBot="1" x14ac:dyDescent="0.25">
      <c r="F90" s="1" t="s">
        <v>411</v>
      </c>
      <c r="G90" s="1" t="s">
        <v>412</v>
      </c>
      <c r="H90" s="406" t="s">
        <v>472</v>
      </c>
      <c r="I90" s="409" t="s">
        <v>106</v>
      </c>
      <c r="J90" s="54" t="str">
        <f>CURR_LCU_ABBR</f>
        <v>GOZ</v>
      </c>
      <c r="K90" s="54" t="str">
        <f>CURR_LCU_ABBR</f>
        <v>GOZ</v>
      </c>
      <c r="L90" s="54" t="str">
        <f>CURR_LCU_ABBR</f>
        <v>GOZ</v>
      </c>
      <c r="M90" s="54" t="str">
        <f>CURR_LCU_ABBR</f>
        <v>GOZ</v>
      </c>
      <c r="N90" s="54" t="str">
        <f>CURR_LCU_ABBR</f>
        <v>GOZ</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248">
        <f t="shared" ref="I91:N101" si="24">I20*EXCHANGE_RATE</f>
        <v>1350000000</v>
      </c>
      <c r="J91" s="220">
        <f t="shared" si="24"/>
        <v>270000000</v>
      </c>
      <c r="K91" s="220">
        <f t="shared" si="24"/>
        <v>270000000</v>
      </c>
      <c r="L91" s="220">
        <f t="shared" si="24"/>
        <v>270000000</v>
      </c>
      <c r="M91" s="220">
        <f t="shared" si="24"/>
        <v>270000000</v>
      </c>
      <c r="N91" s="220">
        <f t="shared" si="24"/>
        <v>270000000</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248">
        <f t="shared" si="24"/>
        <v>0</v>
      </c>
      <c r="J92" s="220">
        <f t="shared" si="24"/>
        <v>0</v>
      </c>
      <c r="K92" s="220">
        <f t="shared" si="24"/>
        <v>0</v>
      </c>
      <c r="L92" s="220">
        <f t="shared" si="24"/>
        <v>0</v>
      </c>
      <c r="M92" s="220">
        <f t="shared" si="24"/>
        <v>0</v>
      </c>
      <c r="N92" s="220">
        <f t="shared" si="24"/>
        <v>0</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248">
        <f t="shared" si="24"/>
        <v>0</v>
      </c>
      <c r="J93" s="220">
        <f t="shared" si="24"/>
        <v>0</v>
      </c>
      <c r="K93" s="220">
        <f t="shared" si="24"/>
        <v>0</v>
      </c>
      <c r="L93" s="220">
        <f t="shared" si="24"/>
        <v>0</v>
      </c>
      <c r="M93" s="220">
        <f t="shared" si="24"/>
        <v>0</v>
      </c>
      <c r="N93" s="220">
        <f t="shared" si="24"/>
        <v>0</v>
      </c>
    </row>
    <row r="94" spans="6:14" ht="22.8" x14ac:dyDescent="0.2">
      <c r="F94" s="444"/>
      <c r="G94" s="41" t="str">
        <f>STRAT1_IND4</f>
        <v>El marco legislativo y reglamentario de la nutrición se ha fortalecido y está en funcionamiento.</v>
      </c>
      <c r="H94" s="268" t="str">
        <f ca="1">OFFSET(Variables_Lu!$D$10,Basic_Setup!H37,0)</f>
        <v>Governance</v>
      </c>
      <c r="I94" s="248">
        <f t="shared" si="24"/>
        <v>0</v>
      </c>
      <c r="J94" s="220">
        <f t="shared" si="24"/>
        <v>0</v>
      </c>
      <c r="K94" s="220">
        <f t="shared" si="24"/>
        <v>0</v>
      </c>
      <c r="L94" s="220">
        <f t="shared" si="24"/>
        <v>0</v>
      </c>
      <c r="M94" s="220">
        <f t="shared" si="24"/>
        <v>0</v>
      </c>
      <c r="N94" s="220">
        <f t="shared" si="24"/>
        <v>0</v>
      </c>
    </row>
    <row r="95" spans="6:14" ht="12.6" thickBot="1" x14ac:dyDescent="0.25">
      <c r="F95" s="445"/>
      <c r="G95" s="275" t="str">
        <f>STRAT1_IND5</f>
        <v>Objetivo estratégico 1 Indicador 5</v>
      </c>
      <c r="H95" s="270" t="str">
        <f ca="1">OFFSET(Variables_Lu!$D$10,Basic_Setup!H38,0)</f>
        <v>Governance</v>
      </c>
      <c r="I95" s="248">
        <f t="shared" si="24"/>
        <v>0</v>
      </c>
      <c r="J95" s="232">
        <f t="shared" si="24"/>
        <v>0</v>
      </c>
      <c r="K95" s="232">
        <f t="shared" si="24"/>
        <v>0</v>
      </c>
      <c r="L95" s="232">
        <f t="shared" si="24"/>
        <v>0</v>
      </c>
      <c r="M95" s="232">
        <f t="shared" si="24"/>
        <v>0</v>
      </c>
      <c r="N95" s="232">
        <f t="shared" si="24"/>
        <v>0</v>
      </c>
    </row>
    <row r="96" spans="6:14" ht="12.6" thickBot="1" x14ac:dyDescent="0.25">
      <c r="F96" s="38"/>
      <c r="G96" s="38"/>
      <c r="H96" s="152" t="s">
        <v>107</v>
      </c>
      <c r="I96" s="249">
        <f t="shared" si="24"/>
        <v>1350000000</v>
      </c>
      <c r="J96" s="221">
        <f t="shared" si="24"/>
        <v>270000000</v>
      </c>
      <c r="K96" s="221">
        <f t="shared" si="24"/>
        <v>270000000</v>
      </c>
      <c r="L96" s="221">
        <f t="shared" si="24"/>
        <v>270000000</v>
      </c>
      <c r="M96" s="221">
        <f t="shared" si="24"/>
        <v>270000000</v>
      </c>
      <c r="N96" s="221">
        <f t="shared" si="24"/>
        <v>270000000</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248">
        <f t="shared" si="24"/>
        <v>13500000000</v>
      </c>
      <c r="J97" s="220">
        <f t="shared" si="24"/>
        <v>2700000000</v>
      </c>
      <c r="K97" s="220">
        <f t="shared" si="24"/>
        <v>2700000000</v>
      </c>
      <c r="L97" s="220">
        <f t="shared" si="24"/>
        <v>2700000000</v>
      </c>
      <c r="M97" s="220">
        <f t="shared" si="24"/>
        <v>2700000000</v>
      </c>
      <c r="N97" s="220">
        <f t="shared" si="24"/>
        <v>2700000000</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248">
        <f t="shared" si="24"/>
        <v>0</v>
      </c>
      <c r="J98" s="220">
        <f t="shared" si="24"/>
        <v>0</v>
      </c>
      <c r="K98" s="220">
        <f t="shared" si="24"/>
        <v>0</v>
      </c>
      <c r="L98" s="220">
        <f t="shared" si="24"/>
        <v>0</v>
      </c>
      <c r="M98" s="220">
        <f t="shared" si="24"/>
        <v>0</v>
      </c>
      <c r="N98" s="220">
        <f t="shared" si="24"/>
        <v>0</v>
      </c>
    </row>
    <row r="99" spans="6:14" ht="22.8" x14ac:dyDescent="0.2">
      <c r="F99" s="444"/>
      <c r="G99" s="42" t="str">
        <f>STRAT2_IND3</f>
        <v>Se refuerzan las intervenciones comunitarias en materia de nutrición.</v>
      </c>
      <c r="H99" s="268" t="str">
        <f ca="1">OFFSET(Variables_Lu!$D$10,Basic_Setup!H42,0)</f>
        <v>Nutrition-specific</v>
      </c>
      <c r="I99" s="248">
        <f t="shared" si="24"/>
        <v>0</v>
      </c>
      <c r="J99" s="220">
        <f t="shared" si="24"/>
        <v>0</v>
      </c>
      <c r="K99" s="220">
        <f t="shared" si="24"/>
        <v>0</v>
      </c>
      <c r="L99" s="220">
        <f t="shared" si="24"/>
        <v>0</v>
      </c>
      <c r="M99" s="220">
        <f t="shared" si="24"/>
        <v>0</v>
      </c>
      <c r="N99" s="220">
        <f t="shared" si="24"/>
        <v>0</v>
      </c>
    </row>
    <row r="100" spans="6:14" ht="12" x14ac:dyDescent="0.2">
      <c r="F100" s="444"/>
      <c r="G100" s="41" t="str">
        <f>STRAT2_IND4</f>
        <v>Objetivo estratégico 2 Indicador 4</v>
      </c>
      <c r="H100" s="268" t="str">
        <f ca="1">OFFSET(Variables_Lu!$D$10,Basic_Setup!H43,0)</f>
        <v>Nutrition-specific</v>
      </c>
      <c r="I100" s="248">
        <f t="shared" si="24"/>
        <v>0</v>
      </c>
      <c r="J100" s="220">
        <f t="shared" si="24"/>
        <v>0</v>
      </c>
      <c r="K100" s="220">
        <f t="shared" si="24"/>
        <v>0</v>
      </c>
      <c r="L100" s="220">
        <f t="shared" si="24"/>
        <v>0</v>
      </c>
      <c r="M100" s="220">
        <f t="shared" si="24"/>
        <v>0</v>
      </c>
      <c r="N100" s="220">
        <f t="shared" si="24"/>
        <v>0</v>
      </c>
    </row>
    <row r="101" spans="6:14" ht="12.6" thickBot="1" x14ac:dyDescent="0.25">
      <c r="F101" s="445"/>
      <c r="G101" s="275" t="str">
        <f>STRAT2_IND5</f>
        <v>Objetivo estratégico 2 Indicador 5</v>
      </c>
      <c r="H101" s="270" t="str">
        <f ca="1">OFFSET(Variables_Lu!$D$10,Basic_Setup!H44,0)</f>
        <v>Nutrition-specific</v>
      </c>
      <c r="I101" s="248">
        <f t="shared" si="24"/>
        <v>0</v>
      </c>
      <c r="J101" s="232">
        <f t="shared" si="24"/>
        <v>0</v>
      </c>
      <c r="K101" s="232">
        <f t="shared" si="24"/>
        <v>0</v>
      </c>
      <c r="L101" s="232">
        <f t="shared" si="24"/>
        <v>0</v>
      </c>
      <c r="M101" s="232">
        <f t="shared" si="24"/>
        <v>0</v>
      </c>
      <c r="N101" s="232">
        <f t="shared" si="24"/>
        <v>0</v>
      </c>
    </row>
    <row r="102" spans="6:14" ht="12.6" thickBot="1" x14ac:dyDescent="0.25">
      <c r="F102" s="38"/>
      <c r="G102" s="38"/>
      <c r="H102" s="152" t="s">
        <v>108</v>
      </c>
      <c r="I102" s="249">
        <f t="shared" ref="I102:I133" si="25">I31*EXCHANGE_RATE</f>
        <v>13500000000</v>
      </c>
      <c r="J102" s="247">
        <f>SUM(J97:J101)</f>
        <v>2700000000</v>
      </c>
      <c r="K102" s="247">
        <f>SUM(K97:K101)</f>
        <v>2700000000</v>
      </c>
      <c r="L102" s="247">
        <f>SUM(L97:L101)</f>
        <v>2700000000</v>
      </c>
      <c r="M102" s="247">
        <f>SUM(M97:M101)</f>
        <v>2700000000</v>
      </c>
      <c r="N102" s="247">
        <f>SUM(N97:N101)</f>
        <v>2700000000</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248">
        <f t="shared" si="25"/>
        <v>5625000000</v>
      </c>
      <c r="J103" s="220">
        <f t="shared" ref="J103:N107" si="26">J32*EXCHANGE_RATE</f>
        <v>1125000000</v>
      </c>
      <c r="K103" s="220">
        <f t="shared" si="26"/>
        <v>1125000000</v>
      </c>
      <c r="L103" s="220">
        <f t="shared" si="26"/>
        <v>1125000000</v>
      </c>
      <c r="M103" s="220">
        <f t="shared" si="26"/>
        <v>1125000000</v>
      </c>
      <c r="N103" s="220">
        <f t="shared" si="26"/>
        <v>1125000000</v>
      </c>
    </row>
    <row r="104" spans="6:14" ht="22.8" x14ac:dyDescent="0.2">
      <c r="F104" s="444"/>
      <c r="G104" s="42" t="str">
        <f>STRAT3_IND2</f>
        <v xml:space="preserve"> La seguridad alimentaria está garantizada para toda la nación.</v>
      </c>
      <c r="H104" s="268" t="str">
        <f ca="1">OFFSET(Variables_Lu!$D$10,Basic_Setup!H47,0)</f>
        <v>Nutrition-sensitive</v>
      </c>
      <c r="I104" s="248">
        <f t="shared" si="25"/>
        <v>0</v>
      </c>
      <c r="J104" s="220">
        <f t="shared" si="26"/>
        <v>0</v>
      </c>
      <c r="K104" s="220">
        <f t="shared" si="26"/>
        <v>0</v>
      </c>
      <c r="L104" s="220">
        <f t="shared" si="26"/>
        <v>0</v>
      </c>
      <c r="M104" s="220">
        <f t="shared" si="26"/>
        <v>0</v>
      </c>
      <c r="N104" s="220">
        <f t="shared" si="26"/>
        <v>0</v>
      </c>
    </row>
    <row r="105" spans="6:14" ht="12" x14ac:dyDescent="0.2">
      <c r="F105" s="444"/>
      <c r="G105" s="42" t="str">
        <f>STRAT3_IND3</f>
        <v>Objetivo estratégico 3 Indicador 3</v>
      </c>
      <c r="H105" s="268" t="str">
        <f ca="1">OFFSET(Variables_Lu!$D$10,Basic_Setup!H48,0)</f>
        <v>Nutrition-specific</v>
      </c>
      <c r="I105" s="248">
        <f t="shared" si="25"/>
        <v>0</v>
      </c>
      <c r="J105" s="220">
        <f t="shared" si="26"/>
        <v>0</v>
      </c>
      <c r="K105" s="220">
        <f t="shared" si="26"/>
        <v>0</v>
      </c>
      <c r="L105" s="220">
        <f t="shared" si="26"/>
        <v>0</v>
      </c>
      <c r="M105" s="220">
        <f t="shared" si="26"/>
        <v>0</v>
      </c>
      <c r="N105" s="220">
        <f t="shared" si="26"/>
        <v>0</v>
      </c>
    </row>
    <row r="106" spans="6:14" ht="12" x14ac:dyDescent="0.2">
      <c r="F106" s="444"/>
      <c r="G106" s="41" t="str">
        <f>STRAT3_IND4</f>
        <v>Objetivo estratégico 3 Indicador 4</v>
      </c>
      <c r="H106" s="268" t="str">
        <f ca="1">OFFSET(Variables_Lu!$D$10,Basic_Setup!H49,0)</f>
        <v>Nutrition-specific</v>
      </c>
      <c r="I106" s="248">
        <f t="shared" si="25"/>
        <v>0</v>
      </c>
      <c r="J106" s="220">
        <f t="shared" si="26"/>
        <v>0</v>
      </c>
      <c r="K106" s="220">
        <f t="shared" si="26"/>
        <v>0</v>
      </c>
      <c r="L106" s="220">
        <f t="shared" si="26"/>
        <v>0</v>
      </c>
      <c r="M106" s="220">
        <f t="shared" si="26"/>
        <v>0</v>
      </c>
      <c r="N106" s="220">
        <f t="shared" si="26"/>
        <v>0</v>
      </c>
    </row>
    <row r="107" spans="6:14" ht="12.6" thickBot="1" x14ac:dyDescent="0.25">
      <c r="F107" s="445"/>
      <c r="G107" s="275" t="str">
        <f>STRAT3_IND5</f>
        <v>Objetivo estratégico 3 Indicador 5</v>
      </c>
      <c r="H107" s="270" t="str">
        <f ca="1">OFFSET(Variables_Lu!$D$10,Basic_Setup!H50,0)</f>
        <v>Nutrition-specific</v>
      </c>
      <c r="I107" s="248">
        <f t="shared" si="25"/>
        <v>0</v>
      </c>
      <c r="J107" s="232">
        <f t="shared" si="26"/>
        <v>0</v>
      </c>
      <c r="K107" s="232">
        <f t="shared" si="26"/>
        <v>0</v>
      </c>
      <c r="L107" s="232">
        <f t="shared" si="26"/>
        <v>0</v>
      </c>
      <c r="M107" s="232">
        <f t="shared" si="26"/>
        <v>0</v>
      </c>
      <c r="N107" s="232">
        <f t="shared" si="26"/>
        <v>0</v>
      </c>
    </row>
    <row r="108" spans="6:14" ht="12.6" thickBot="1" x14ac:dyDescent="0.25">
      <c r="H108" s="152" t="s">
        <v>109</v>
      </c>
      <c r="I108" s="249">
        <f t="shared" si="25"/>
        <v>5625000000</v>
      </c>
      <c r="J108" s="247">
        <f>SUM(J103:J107)</f>
        <v>1125000000</v>
      </c>
      <c r="K108" s="247">
        <f t="shared" ref="K108:N108" si="27">SUM(K103:K107)</f>
        <v>1125000000</v>
      </c>
      <c r="L108" s="247">
        <f t="shared" si="27"/>
        <v>1125000000</v>
      </c>
      <c r="M108" s="247">
        <f t="shared" si="27"/>
        <v>1125000000</v>
      </c>
      <c r="N108" s="247">
        <f t="shared" si="27"/>
        <v>1125000000</v>
      </c>
    </row>
    <row r="109" spans="6:14" ht="22.95"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248">
        <f t="shared" si="25"/>
        <v>4500000000</v>
      </c>
      <c r="J109" s="220">
        <f t="shared" ref="J109:N113" si="28">J38*EXCHANGE_RATE</f>
        <v>900000000</v>
      </c>
      <c r="K109" s="220">
        <f t="shared" si="28"/>
        <v>900000000</v>
      </c>
      <c r="L109" s="220">
        <f t="shared" si="28"/>
        <v>900000000</v>
      </c>
      <c r="M109" s="220">
        <f t="shared" si="28"/>
        <v>900000000</v>
      </c>
      <c r="N109" s="220">
        <f t="shared" si="28"/>
        <v>900000000</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248">
        <f t="shared" si="25"/>
        <v>450000000</v>
      </c>
      <c r="J110" s="220">
        <f t="shared" si="28"/>
        <v>90000000</v>
      </c>
      <c r="K110" s="220">
        <f t="shared" si="28"/>
        <v>90000000</v>
      </c>
      <c r="L110" s="220">
        <f t="shared" si="28"/>
        <v>90000000</v>
      </c>
      <c r="M110" s="220">
        <f t="shared" si="28"/>
        <v>90000000</v>
      </c>
      <c r="N110" s="220">
        <f t="shared" si="28"/>
        <v>90000000</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248">
        <f t="shared" si="25"/>
        <v>0</v>
      </c>
      <c r="J111" s="220">
        <f t="shared" si="28"/>
        <v>0</v>
      </c>
      <c r="K111" s="220">
        <f t="shared" si="28"/>
        <v>0</v>
      </c>
      <c r="L111" s="220">
        <f t="shared" si="28"/>
        <v>0</v>
      </c>
      <c r="M111" s="220">
        <f t="shared" si="28"/>
        <v>0</v>
      </c>
      <c r="N111" s="220">
        <f t="shared" si="28"/>
        <v>0</v>
      </c>
    </row>
    <row r="112" spans="6:14" ht="12" x14ac:dyDescent="0.2">
      <c r="F112" s="444"/>
      <c r="G112" s="41" t="str">
        <f>STRAT4_IND4</f>
        <v>Objetivo estratégico 4 Indicador 4</v>
      </c>
      <c r="H112" s="268" t="str">
        <f ca="1">OFFSET(Variables_Lu!$D$10,Basic_Setup!H55,0)</f>
        <v>Nutrition-specific</v>
      </c>
      <c r="I112" s="248">
        <f t="shared" si="25"/>
        <v>0</v>
      </c>
      <c r="J112" s="220">
        <f t="shared" si="28"/>
        <v>0</v>
      </c>
      <c r="K112" s="220">
        <f t="shared" si="28"/>
        <v>0</v>
      </c>
      <c r="L112" s="220">
        <f t="shared" si="28"/>
        <v>0</v>
      </c>
      <c r="M112" s="220">
        <f t="shared" si="28"/>
        <v>0</v>
      </c>
      <c r="N112" s="220">
        <f t="shared" si="28"/>
        <v>0</v>
      </c>
    </row>
    <row r="113" spans="6:14" ht="12.6" thickBot="1" x14ac:dyDescent="0.25">
      <c r="F113" s="445"/>
      <c r="G113" s="275" t="str">
        <f>STRAT4_IND5</f>
        <v>Objetivo estratégico 4 Indicador 5</v>
      </c>
      <c r="H113" s="270" t="str">
        <f ca="1">OFFSET(Variables_Lu!$D$10,Basic_Setup!H56,0)</f>
        <v>Nutrition-specific</v>
      </c>
      <c r="I113" s="248">
        <f t="shared" si="25"/>
        <v>0</v>
      </c>
      <c r="J113" s="232">
        <f t="shared" si="28"/>
        <v>0</v>
      </c>
      <c r="K113" s="232">
        <f t="shared" si="28"/>
        <v>0</v>
      </c>
      <c r="L113" s="232">
        <f t="shared" si="28"/>
        <v>0</v>
      </c>
      <c r="M113" s="232">
        <f t="shared" si="28"/>
        <v>0</v>
      </c>
      <c r="N113" s="232">
        <f t="shared" si="28"/>
        <v>0</v>
      </c>
    </row>
    <row r="114" spans="6:14" ht="12.6" thickBot="1" x14ac:dyDescent="0.25">
      <c r="H114" s="152" t="s">
        <v>110</v>
      </c>
      <c r="I114" s="249">
        <f t="shared" si="25"/>
        <v>4950000000</v>
      </c>
      <c r="J114" s="247">
        <f>SUM(J109:J113)</f>
        <v>990000000</v>
      </c>
      <c r="K114" s="247">
        <f t="shared" ref="K114:N114" si="29">SUM(K109:K113)</f>
        <v>990000000</v>
      </c>
      <c r="L114" s="247">
        <f t="shared" si="29"/>
        <v>990000000</v>
      </c>
      <c r="M114" s="247">
        <f t="shared" si="29"/>
        <v>990000000</v>
      </c>
      <c r="N114" s="247">
        <f t="shared" si="29"/>
        <v>990000000</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248">
        <f t="shared" si="25"/>
        <v>9000000000</v>
      </c>
      <c r="J115" s="220">
        <f t="shared" ref="J115:N119" si="30">J44*EXCHANGE_RATE</f>
        <v>1800000000</v>
      </c>
      <c r="K115" s="220">
        <f t="shared" si="30"/>
        <v>1800000000</v>
      </c>
      <c r="L115" s="220">
        <f t="shared" si="30"/>
        <v>1800000000</v>
      </c>
      <c r="M115" s="220">
        <f t="shared" si="30"/>
        <v>1800000000</v>
      </c>
      <c r="N115" s="220">
        <f t="shared" si="30"/>
        <v>1800000000</v>
      </c>
    </row>
    <row r="116" spans="6:14" ht="22.8" x14ac:dyDescent="0.2">
      <c r="F116" s="444"/>
      <c r="G116" s="42" t="str">
        <f>STRAT5_IND2</f>
        <v>Se promueven dietas saludables y estilos de vida saludables para las personas.</v>
      </c>
      <c r="H116" s="268" t="str">
        <f ca="1">OFFSET(Variables_Lu!$D$10,Basic_Setup!H59,0)</f>
        <v>Nutrition-specific</v>
      </c>
      <c r="I116" s="248">
        <f t="shared" si="25"/>
        <v>0</v>
      </c>
      <c r="J116" s="220">
        <f t="shared" si="30"/>
        <v>0</v>
      </c>
      <c r="K116" s="220">
        <f t="shared" si="30"/>
        <v>0</v>
      </c>
      <c r="L116" s="220">
        <f t="shared" si="30"/>
        <v>0</v>
      </c>
      <c r="M116" s="220">
        <f t="shared" si="30"/>
        <v>0</v>
      </c>
      <c r="N116" s="220">
        <f t="shared" si="30"/>
        <v>0</v>
      </c>
    </row>
    <row r="117" spans="6:14" ht="22.8" x14ac:dyDescent="0.2">
      <c r="F117" s="444"/>
      <c r="G117" s="42" t="str">
        <f>STRAT5_IND3</f>
        <v>Se promueven las buenas prácticas WASH a nivel comunitario y doméstico</v>
      </c>
      <c r="H117" s="268" t="str">
        <f ca="1">OFFSET(Variables_Lu!$D$10,Basic_Setup!H60,0)</f>
        <v>Nutrition-sensitive</v>
      </c>
      <c r="I117" s="248">
        <f t="shared" si="25"/>
        <v>0</v>
      </c>
      <c r="J117" s="220">
        <f t="shared" si="30"/>
        <v>0</v>
      </c>
      <c r="K117" s="220">
        <f t="shared" si="30"/>
        <v>0</v>
      </c>
      <c r="L117" s="220">
        <f t="shared" si="30"/>
        <v>0</v>
      </c>
      <c r="M117" s="220">
        <f t="shared" si="30"/>
        <v>0</v>
      </c>
      <c r="N117" s="220">
        <f t="shared" si="30"/>
        <v>0</v>
      </c>
    </row>
    <row r="118" spans="6:14" ht="12" x14ac:dyDescent="0.2">
      <c r="F118" s="444"/>
      <c r="G118" s="41" t="str">
        <f>STRAT5_IND4</f>
        <v>Objetivo estratégico 5 Indicador 4</v>
      </c>
      <c r="H118" s="268" t="str">
        <f ca="1">OFFSET(Variables_Lu!$D$10,Basic_Setup!H61,0)</f>
        <v>Nutrition-specific</v>
      </c>
      <c r="I118" s="248">
        <f t="shared" si="25"/>
        <v>0</v>
      </c>
      <c r="J118" s="220">
        <f t="shared" si="30"/>
        <v>0</v>
      </c>
      <c r="K118" s="220">
        <f t="shared" si="30"/>
        <v>0</v>
      </c>
      <c r="L118" s="220">
        <f t="shared" si="30"/>
        <v>0</v>
      </c>
      <c r="M118" s="220">
        <f t="shared" si="30"/>
        <v>0</v>
      </c>
      <c r="N118" s="220">
        <f t="shared" si="30"/>
        <v>0</v>
      </c>
    </row>
    <row r="119" spans="6:14" ht="12.6" thickBot="1" x14ac:dyDescent="0.25">
      <c r="F119" s="445"/>
      <c r="G119" s="275" t="str">
        <f>STRAT5_IND5</f>
        <v>Objetivo estratégico 5 Indicador 5</v>
      </c>
      <c r="H119" s="270" t="str">
        <f ca="1">OFFSET(Variables_Lu!$D$10,Basic_Setup!H62,0)</f>
        <v>Nutrition-specific</v>
      </c>
      <c r="I119" s="248">
        <f t="shared" si="25"/>
        <v>0</v>
      </c>
      <c r="J119" s="232">
        <f t="shared" si="30"/>
        <v>0</v>
      </c>
      <c r="K119" s="232">
        <f t="shared" si="30"/>
        <v>0</v>
      </c>
      <c r="L119" s="232">
        <f t="shared" si="30"/>
        <v>0</v>
      </c>
      <c r="M119" s="232">
        <f t="shared" si="30"/>
        <v>0</v>
      </c>
      <c r="N119" s="232">
        <f t="shared" si="30"/>
        <v>0</v>
      </c>
    </row>
    <row r="120" spans="6:14" ht="12.6" thickBot="1" x14ac:dyDescent="0.25">
      <c r="H120" s="152" t="s">
        <v>111</v>
      </c>
      <c r="I120" s="249">
        <f t="shared" si="25"/>
        <v>9000000000</v>
      </c>
      <c r="J120" s="247">
        <f>SUM(J115:J119)</f>
        <v>1800000000</v>
      </c>
      <c r="K120" s="247">
        <f t="shared" ref="K120:N120" si="31">SUM(K115:K119)</f>
        <v>1800000000</v>
      </c>
      <c r="L120" s="247">
        <f t="shared" si="31"/>
        <v>1800000000</v>
      </c>
      <c r="M120" s="247">
        <f t="shared" si="31"/>
        <v>1800000000</v>
      </c>
      <c r="N120" s="247">
        <f t="shared" si="31"/>
        <v>1800000000</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248">
        <f t="shared" si="25"/>
        <v>0</v>
      </c>
      <c r="J121" s="220">
        <f t="shared" ref="J121:N125" si="32">J50*EXCHANGE_RATE</f>
        <v>0</v>
      </c>
      <c r="K121" s="220">
        <f t="shared" si="32"/>
        <v>0</v>
      </c>
      <c r="L121" s="220">
        <f t="shared" si="32"/>
        <v>0</v>
      </c>
      <c r="M121" s="220">
        <f t="shared" si="32"/>
        <v>0</v>
      </c>
      <c r="N121" s="220">
        <f t="shared" si="32"/>
        <v>0</v>
      </c>
    </row>
    <row r="122" spans="6:14" ht="12" x14ac:dyDescent="0.2">
      <c r="F122" s="444"/>
      <c r="G122" s="42" t="str">
        <f>STRAT6_IND2</f>
        <v>Objetivo estratégico 6 Indicador 2</v>
      </c>
      <c r="H122" s="268" t="str">
        <f ca="1">OFFSET(Variables_Lu!$D$10,Basic_Setup!H65,0)</f>
        <v>Nutrition-specific</v>
      </c>
      <c r="I122" s="248">
        <f t="shared" si="25"/>
        <v>0</v>
      </c>
      <c r="J122" s="220">
        <f t="shared" si="32"/>
        <v>0</v>
      </c>
      <c r="K122" s="220">
        <f t="shared" si="32"/>
        <v>0</v>
      </c>
      <c r="L122" s="220">
        <f t="shared" si="32"/>
        <v>0</v>
      </c>
      <c r="M122" s="220">
        <f t="shared" si="32"/>
        <v>0</v>
      </c>
      <c r="N122" s="220">
        <f t="shared" si="32"/>
        <v>0</v>
      </c>
    </row>
    <row r="123" spans="6:14" ht="12" x14ac:dyDescent="0.2">
      <c r="F123" s="444"/>
      <c r="G123" s="42" t="str">
        <f>STRAT6_IND3</f>
        <v>Objetivo estratégico 6 Indicador 3</v>
      </c>
      <c r="H123" s="268" t="str">
        <f ca="1">OFFSET(Variables_Lu!$D$10,Basic_Setup!H66,0)</f>
        <v>Nutrition-specific</v>
      </c>
      <c r="I123" s="248">
        <f t="shared" si="25"/>
        <v>0</v>
      </c>
      <c r="J123" s="220">
        <f t="shared" si="32"/>
        <v>0</v>
      </c>
      <c r="K123" s="220">
        <f t="shared" si="32"/>
        <v>0</v>
      </c>
      <c r="L123" s="220">
        <f t="shared" si="32"/>
        <v>0</v>
      </c>
      <c r="M123" s="220">
        <f t="shared" si="32"/>
        <v>0</v>
      </c>
      <c r="N123" s="220">
        <f t="shared" si="32"/>
        <v>0</v>
      </c>
    </row>
    <row r="124" spans="6:14" ht="12" x14ac:dyDescent="0.2">
      <c r="F124" s="444"/>
      <c r="G124" s="41" t="str">
        <f>STRAT6_IND4</f>
        <v>Objetivo estratégico 6 Indicador 4</v>
      </c>
      <c r="H124" s="268" t="str">
        <f ca="1">OFFSET(Variables_Lu!$D$10,Basic_Setup!H67,0)</f>
        <v>Nutrition-specific</v>
      </c>
      <c r="I124" s="248">
        <f t="shared" si="25"/>
        <v>0</v>
      </c>
      <c r="J124" s="220">
        <f t="shared" si="32"/>
        <v>0</v>
      </c>
      <c r="K124" s="220">
        <f t="shared" si="32"/>
        <v>0</v>
      </c>
      <c r="L124" s="220">
        <f t="shared" si="32"/>
        <v>0</v>
      </c>
      <c r="M124" s="220">
        <f t="shared" si="32"/>
        <v>0</v>
      </c>
      <c r="N124" s="220">
        <f t="shared" si="32"/>
        <v>0</v>
      </c>
    </row>
    <row r="125" spans="6:14" ht="12.6" thickBot="1" x14ac:dyDescent="0.25">
      <c r="F125" s="445"/>
      <c r="G125" s="275" t="str">
        <f>STRAT6_IND5</f>
        <v>Objetivo estratégico 6 Indicador 5</v>
      </c>
      <c r="H125" s="270" t="str">
        <f ca="1">OFFSET(Variables_Lu!$D$10,Basic_Setup!H68,0)</f>
        <v>Nutrition-specific</v>
      </c>
      <c r="I125" s="248">
        <f t="shared" si="25"/>
        <v>0</v>
      </c>
      <c r="J125" s="232">
        <f t="shared" si="32"/>
        <v>0</v>
      </c>
      <c r="K125" s="232">
        <f t="shared" si="32"/>
        <v>0</v>
      </c>
      <c r="L125" s="232">
        <f t="shared" si="32"/>
        <v>0</v>
      </c>
      <c r="M125" s="232">
        <f t="shared" si="32"/>
        <v>0</v>
      </c>
      <c r="N125" s="232">
        <f t="shared" si="32"/>
        <v>0</v>
      </c>
    </row>
    <row r="126" spans="6:14" ht="12.6" thickBot="1" x14ac:dyDescent="0.25">
      <c r="H126" s="152" t="s">
        <v>159</v>
      </c>
      <c r="I126" s="249">
        <f t="shared" si="25"/>
        <v>0</v>
      </c>
      <c r="J126" s="247">
        <f>SUM(J121:J125)</f>
        <v>0</v>
      </c>
      <c r="K126" s="247">
        <f>SUM(K121:K125)</f>
        <v>0</v>
      </c>
      <c r="L126" s="247">
        <f>SUM(L121:L125)</f>
        <v>0</v>
      </c>
      <c r="M126" s="247">
        <f>SUM(M121:M125)</f>
        <v>0</v>
      </c>
      <c r="N126" s="247">
        <f>SUM(N121:N125)</f>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248">
        <f t="shared" si="25"/>
        <v>0</v>
      </c>
      <c r="J127" s="220">
        <f t="shared" ref="J127:N131" si="33">J56*EXCHANGE_RATE</f>
        <v>0</v>
      </c>
      <c r="K127" s="220">
        <f t="shared" si="33"/>
        <v>0</v>
      </c>
      <c r="L127" s="220">
        <f t="shared" si="33"/>
        <v>0</v>
      </c>
      <c r="M127" s="220">
        <f t="shared" si="33"/>
        <v>0</v>
      </c>
      <c r="N127" s="220">
        <f t="shared" si="33"/>
        <v>0</v>
      </c>
    </row>
    <row r="128" spans="6:14" ht="12" x14ac:dyDescent="0.2">
      <c r="F128" s="444"/>
      <c r="G128" s="42" t="str">
        <f>STRAT7_IND2</f>
        <v>Objetivo estratégico 7 Indicador 2</v>
      </c>
      <c r="H128" s="268" t="str">
        <f ca="1">OFFSET(Variables_Lu!$D$10,Basic_Setup!H71,0)</f>
        <v>Nutrition-specific</v>
      </c>
      <c r="I128" s="248">
        <f t="shared" si="25"/>
        <v>0</v>
      </c>
      <c r="J128" s="220">
        <f t="shared" si="33"/>
        <v>0</v>
      </c>
      <c r="K128" s="220">
        <f t="shared" si="33"/>
        <v>0</v>
      </c>
      <c r="L128" s="220">
        <f t="shared" si="33"/>
        <v>0</v>
      </c>
      <c r="M128" s="220">
        <f t="shared" si="33"/>
        <v>0</v>
      </c>
      <c r="N128" s="220">
        <f t="shared" si="33"/>
        <v>0</v>
      </c>
    </row>
    <row r="129" spans="6:14" ht="12" x14ac:dyDescent="0.2">
      <c r="F129" s="444"/>
      <c r="G129" s="42" t="str">
        <f>STRAT7_IND3</f>
        <v>Objetivo estratégico 7 Indicador 3</v>
      </c>
      <c r="H129" s="268" t="str">
        <f ca="1">OFFSET(Variables_Lu!$D$10,Basic_Setup!H72,0)</f>
        <v>Nutrition-specific</v>
      </c>
      <c r="I129" s="248">
        <f t="shared" si="25"/>
        <v>0</v>
      </c>
      <c r="J129" s="220">
        <f t="shared" si="33"/>
        <v>0</v>
      </c>
      <c r="K129" s="220">
        <f t="shared" si="33"/>
        <v>0</v>
      </c>
      <c r="L129" s="220">
        <f t="shared" si="33"/>
        <v>0</v>
      </c>
      <c r="M129" s="220">
        <f t="shared" si="33"/>
        <v>0</v>
      </c>
      <c r="N129" s="220">
        <f t="shared" si="33"/>
        <v>0</v>
      </c>
    </row>
    <row r="130" spans="6:14" ht="12" x14ac:dyDescent="0.2">
      <c r="F130" s="444"/>
      <c r="G130" s="41" t="str">
        <f>STRAT7_IND4</f>
        <v>Objetivo estratégico 7 Indicador 4</v>
      </c>
      <c r="H130" s="268" t="str">
        <f ca="1">OFFSET(Variables_Lu!$D$10,Basic_Setup!H73,0)</f>
        <v>Nutrition-specific</v>
      </c>
      <c r="I130" s="248">
        <f t="shared" si="25"/>
        <v>0</v>
      </c>
      <c r="J130" s="220">
        <f t="shared" si="33"/>
        <v>0</v>
      </c>
      <c r="K130" s="220">
        <f t="shared" si="33"/>
        <v>0</v>
      </c>
      <c r="L130" s="220">
        <f t="shared" si="33"/>
        <v>0</v>
      </c>
      <c r="M130" s="220">
        <f t="shared" si="33"/>
        <v>0</v>
      </c>
      <c r="N130" s="220">
        <f t="shared" si="33"/>
        <v>0</v>
      </c>
    </row>
    <row r="131" spans="6:14" ht="12.6" thickBot="1" x14ac:dyDescent="0.25">
      <c r="F131" s="445"/>
      <c r="G131" s="275" t="str">
        <f>STRAT7_IND5</f>
        <v>Objetivo estratégico 7 Indicador 5</v>
      </c>
      <c r="H131" s="270" t="str">
        <f ca="1">OFFSET(Variables_Lu!$D$10,Basic_Setup!H74,0)</f>
        <v>Nutrition-specific</v>
      </c>
      <c r="I131" s="248">
        <f t="shared" si="25"/>
        <v>0</v>
      </c>
      <c r="J131" s="232">
        <f t="shared" si="33"/>
        <v>0</v>
      </c>
      <c r="K131" s="232">
        <f t="shared" si="33"/>
        <v>0</v>
      </c>
      <c r="L131" s="232">
        <f t="shared" si="33"/>
        <v>0</v>
      </c>
      <c r="M131" s="232">
        <f t="shared" si="33"/>
        <v>0</v>
      </c>
      <c r="N131" s="232">
        <f t="shared" si="33"/>
        <v>0</v>
      </c>
    </row>
    <row r="132" spans="6:14" ht="12.6" thickBot="1" x14ac:dyDescent="0.25">
      <c r="H132" s="152" t="s">
        <v>160</v>
      </c>
      <c r="I132" s="249">
        <f t="shared" si="25"/>
        <v>0</v>
      </c>
      <c r="J132" s="247">
        <f>SUM(J127:J131)</f>
        <v>0</v>
      </c>
      <c r="K132" s="247">
        <f>SUM(K127:K131)</f>
        <v>0</v>
      </c>
      <c r="L132" s="247">
        <f>SUM(L127:L131)</f>
        <v>0</v>
      </c>
      <c r="M132" s="247">
        <f>SUM(M127:M131)</f>
        <v>0</v>
      </c>
      <c r="N132" s="247">
        <f>SUM(N127:N131)</f>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248">
        <f t="shared" si="25"/>
        <v>0</v>
      </c>
      <c r="J133" s="220">
        <f t="shared" ref="J133:N137" si="34">J62*EXCHANGE_RATE</f>
        <v>0</v>
      </c>
      <c r="K133" s="220">
        <f t="shared" si="34"/>
        <v>0</v>
      </c>
      <c r="L133" s="220">
        <f t="shared" si="34"/>
        <v>0</v>
      </c>
      <c r="M133" s="220">
        <f t="shared" si="34"/>
        <v>0</v>
      </c>
      <c r="N133" s="220">
        <f t="shared" si="34"/>
        <v>0</v>
      </c>
    </row>
    <row r="134" spans="6:14" ht="12" x14ac:dyDescent="0.2">
      <c r="F134" s="444"/>
      <c r="G134" s="42" t="str">
        <f>STRAT8_IND2</f>
        <v>Objetivo estratégico 8 Indicador 2</v>
      </c>
      <c r="H134" s="268" t="str">
        <f ca="1">OFFSET(Variables_Lu!$D$10,Basic_Setup!H77,0)</f>
        <v>Nutrition-specific</v>
      </c>
      <c r="I134" s="248">
        <f t="shared" ref="I134:I150" si="35">I63*EXCHANGE_RATE</f>
        <v>0</v>
      </c>
      <c r="J134" s="220">
        <f t="shared" si="34"/>
        <v>0</v>
      </c>
      <c r="K134" s="220">
        <f t="shared" si="34"/>
        <v>0</v>
      </c>
      <c r="L134" s="220">
        <f t="shared" si="34"/>
        <v>0</v>
      </c>
      <c r="M134" s="220">
        <f t="shared" si="34"/>
        <v>0</v>
      </c>
      <c r="N134" s="220">
        <f t="shared" si="34"/>
        <v>0</v>
      </c>
    </row>
    <row r="135" spans="6:14" ht="12" x14ac:dyDescent="0.2">
      <c r="F135" s="444"/>
      <c r="G135" s="42" t="str">
        <f>STRAT8_IND3</f>
        <v>Objetivo estratégico 8 Indicador 3</v>
      </c>
      <c r="H135" s="268" t="str">
        <f ca="1">OFFSET(Variables_Lu!$D$10,Basic_Setup!H78,0)</f>
        <v>Nutrition-specific</v>
      </c>
      <c r="I135" s="248">
        <f t="shared" si="35"/>
        <v>0</v>
      </c>
      <c r="J135" s="220">
        <f t="shared" si="34"/>
        <v>0</v>
      </c>
      <c r="K135" s="220">
        <f t="shared" si="34"/>
        <v>0</v>
      </c>
      <c r="L135" s="220">
        <f t="shared" si="34"/>
        <v>0</v>
      </c>
      <c r="M135" s="220">
        <f t="shared" si="34"/>
        <v>0</v>
      </c>
      <c r="N135" s="220">
        <f t="shared" si="34"/>
        <v>0</v>
      </c>
    </row>
    <row r="136" spans="6:14" ht="12" x14ac:dyDescent="0.2">
      <c r="F136" s="444"/>
      <c r="G136" s="41" t="str">
        <f>STRAT8_IND4</f>
        <v>Objetivo estratégico 8 Indicador 4</v>
      </c>
      <c r="H136" s="268" t="str">
        <f ca="1">OFFSET(Variables_Lu!$D$10,Basic_Setup!H79,0)</f>
        <v>Nutrition-specific</v>
      </c>
      <c r="I136" s="248">
        <f t="shared" si="35"/>
        <v>0</v>
      </c>
      <c r="J136" s="220">
        <f t="shared" si="34"/>
        <v>0</v>
      </c>
      <c r="K136" s="220">
        <f t="shared" si="34"/>
        <v>0</v>
      </c>
      <c r="L136" s="220">
        <f t="shared" si="34"/>
        <v>0</v>
      </c>
      <c r="M136" s="220">
        <f t="shared" si="34"/>
        <v>0</v>
      </c>
      <c r="N136" s="220">
        <f t="shared" si="34"/>
        <v>0</v>
      </c>
    </row>
    <row r="137" spans="6:14" ht="12.6" thickBot="1" x14ac:dyDescent="0.25">
      <c r="F137" s="445"/>
      <c r="G137" s="275" t="str">
        <f>STRAT8_IND5</f>
        <v>Objetivo estratégico 8 Indicador 5</v>
      </c>
      <c r="H137" s="270" t="str">
        <f ca="1">OFFSET(Variables_Lu!$D$10,Basic_Setup!H80,0)</f>
        <v>Nutrition-specific</v>
      </c>
      <c r="I137" s="248">
        <f t="shared" si="35"/>
        <v>0</v>
      </c>
      <c r="J137" s="232">
        <f t="shared" si="34"/>
        <v>0</v>
      </c>
      <c r="K137" s="232">
        <f t="shared" si="34"/>
        <v>0</v>
      </c>
      <c r="L137" s="232">
        <f t="shared" si="34"/>
        <v>0</v>
      </c>
      <c r="M137" s="232">
        <f t="shared" si="34"/>
        <v>0</v>
      </c>
      <c r="N137" s="232">
        <f t="shared" si="34"/>
        <v>0</v>
      </c>
    </row>
    <row r="138" spans="6:14" ht="12.6" thickBot="1" x14ac:dyDescent="0.25">
      <c r="H138" s="152" t="s">
        <v>161</v>
      </c>
      <c r="I138" s="249">
        <f t="shared" si="35"/>
        <v>0</v>
      </c>
      <c r="J138" s="247">
        <f>SUM(J133:J137)</f>
        <v>0</v>
      </c>
      <c r="K138" s="247">
        <f>SUM(K133:K137)</f>
        <v>0</v>
      </c>
      <c r="L138" s="247">
        <f>SUM(L133:L137)</f>
        <v>0</v>
      </c>
      <c r="M138" s="247">
        <f>SUM(M133:M137)</f>
        <v>0</v>
      </c>
      <c r="N138" s="247">
        <f>SUM(N133:N137)</f>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248">
        <f t="shared" si="35"/>
        <v>0</v>
      </c>
      <c r="J139" s="220">
        <f t="shared" ref="J139:N143" si="36">J68*EXCHANGE_RATE</f>
        <v>0</v>
      </c>
      <c r="K139" s="220">
        <f t="shared" si="36"/>
        <v>0</v>
      </c>
      <c r="L139" s="220">
        <f t="shared" si="36"/>
        <v>0</v>
      </c>
      <c r="M139" s="220">
        <f t="shared" si="36"/>
        <v>0</v>
      </c>
      <c r="N139" s="220">
        <f t="shared" si="36"/>
        <v>0</v>
      </c>
    </row>
    <row r="140" spans="6:14" ht="12" x14ac:dyDescent="0.2">
      <c r="F140" s="444"/>
      <c r="G140" s="42" t="str">
        <f>STRAT9_IND2</f>
        <v>Objetivo estratégico 9 Indicador 2</v>
      </c>
      <c r="H140" s="268" t="str">
        <f ca="1">OFFSET(Variables_Lu!$D$10,Basic_Setup!H83,0)</f>
        <v>Nutrition-specific</v>
      </c>
      <c r="I140" s="248">
        <f t="shared" si="35"/>
        <v>0</v>
      </c>
      <c r="J140" s="220">
        <f t="shared" si="36"/>
        <v>0</v>
      </c>
      <c r="K140" s="220">
        <f t="shared" si="36"/>
        <v>0</v>
      </c>
      <c r="L140" s="220">
        <f t="shared" si="36"/>
        <v>0</v>
      </c>
      <c r="M140" s="220">
        <f t="shared" si="36"/>
        <v>0</v>
      </c>
      <c r="N140" s="220">
        <f t="shared" si="36"/>
        <v>0</v>
      </c>
    </row>
    <row r="141" spans="6:14" ht="12" x14ac:dyDescent="0.2">
      <c r="F141" s="444"/>
      <c r="G141" s="42" t="str">
        <f>STRAT9_IND3</f>
        <v>Objetivo estratégico 9 Indicador 3</v>
      </c>
      <c r="H141" s="268" t="str">
        <f ca="1">OFFSET(Variables_Lu!$D$10,Basic_Setup!H84,0)</f>
        <v>Nutrition-specific</v>
      </c>
      <c r="I141" s="248">
        <f t="shared" si="35"/>
        <v>0</v>
      </c>
      <c r="J141" s="220">
        <f t="shared" si="36"/>
        <v>0</v>
      </c>
      <c r="K141" s="220">
        <f t="shared" si="36"/>
        <v>0</v>
      </c>
      <c r="L141" s="220">
        <f t="shared" si="36"/>
        <v>0</v>
      </c>
      <c r="M141" s="220">
        <f t="shared" si="36"/>
        <v>0</v>
      </c>
      <c r="N141" s="220">
        <f t="shared" si="36"/>
        <v>0</v>
      </c>
    </row>
    <row r="142" spans="6:14" ht="12" x14ac:dyDescent="0.2">
      <c r="F142" s="444"/>
      <c r="G142" s="41" t="str">
        <f>STRAT9_IND4</f>
        <v>Objetivo estratégico 9 Indicador 4</v>
      </c>
      <c r="H142" s="268" t="str">
        <f ca="1">OFFSET(Variables_Lu!$D$10,Basic_Setup!H85,0)</f>
        <v>Nutrition-specific</v>
      </c>
      <c r="I142" s="248">
        <f t="shared" si="35"/>
        <v>0</v>
      </c>
      <c r="J142" s="220">
        <f t="shared" si="36"/>
        <v>0</v>
      </c>
      <c r="K142" s="220">
        <f t="shared" si="36"/>
        <v>0</v>
      </c>
      <c r="L142" s="220">
        <f t="shared" si="36"/>
        <v>0</v>
      </c>
      <c r="M142" s="220">
        <f t="shared" si="36"/>
        <v>0</v>
      </c>
      <c r="N142" s="220">
        <f t="shared" si="36"/>
        <v>0</v>
      </c>
    </row>
    <row r="143" spans="6:14" ht="12.6" thickBot="1" x14ac:dyDescent="0.25">
      <c r="F143" s="445"/>
      <c r="G143" s="275" t="str">
        <f>STRAT9_IND5</f>
        <v>Objetivo estratégico 9 Indicador 5</v>
      </c>
      <c r="H143" s="270" t="str">
        <f ca="1">OFFSET(Variables_Lu!$D$10,Basic_Setup!H86,0)</f>
        <v>Nutrition-specific</v>
      </c>
      <c r="I143" s="248">
        <f t="shared" si="35"/>
        <v>0</v>
      </c>
      <c r="J143" s="232">
        <f t="shared" si="36"/>
        <v>0</v>
      </c>
      <c r="K143" s="232">
        <f t="shared" si="36"/>
        <v>0</v>
      </c>
      <c r="L143" s="232">
        <f t="shared" si="36"/>
        <v>0</v>
      </c>
      <c r="M143" s="232">
        <f t="shared" si="36"/>
        <v>0</v>
      </c>
      <c r="N143" s="232">
        <f t="shared" si="36"/>
        <v>0</v>
      </c>
    </row>
    <row r="144" spans="6:14" ht="12.6" thickBot="1" x14ac:dyDescent="0.25">
      <c r="H144" s="152" t="s">
        <v>162</v>
      </c>
      <c r="I144" s="249">
        <f t="shared" si="35"/>
        <v>0</v>
      </c>
      <c r="J144" s="247">
        <f>SUM(J139:J143)</f>
        <v>0</v>
      </c>
      <c r="K144" s="247">
        <f>SUM(K139:K143)</f>
        <v>0</v>
      </c>
      <c r="L144" s="247">
        <f>SUM(L139:L143)</f>
        <v>0</v>
      </c>
      <c r="M144" s="247">
        <f>SUM(M139:M143)</f>
        <v>0</v>
      </c>
      <c r="N144" s="247">
        <f>SUM(N139:N143)</f>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248">
        <f t="shared" si="35"/>
        <v>0</v>
      </c>
      <c r="J145" s="220">
        <f t="shared" ref="J145:N149" si="37">J74*EXCHANGE_RATE</f>
        <v>0</v>
      </c>
      <c r="K145" s="220">
        <f t="shared" si="37"/>
        <v>0</v>
      </c>
      <c r="L145" s="220">
        <f t="shared" si="37"/>
        <v>0</v>
      </c>
      <c r="M145" s="220">
        <f t="shared" si="37"/>
        <v>0</v>
      </c>
      <c r="N145" s="220">
        <f t="shared" si="37"/>
        <v>0</v>
      </c>
    </row>
    <row r="146" spans="1:14" ht="12" x14ac:dyDescent="0.2">
      <c r="F146" s="444"/>
      <c r="G146" s="42" t="str">
        <f>STRAT10_IND2</f>
        <v>Objetivo estratégico 10 Indicador 2</v>
      </c>
      <c r="H146" s="268" t="str">
        <f ca="1">OFFSET(Variables_Lu!$D$10,Basic_Setup!H89,0)</f>
        <v>Nutrition-specific</v>
      </c>
      <c r="I146" s="248">
        <f t="shared" si="35"/>
        <v>0</v>
      </c>
      <c r="J146" s="220">
        <f t="shared" si="37"/>
        <v>0</v>
      </c>
      <c r="K146" s="220">
        <f t="shared" si="37"/>
        <v>0</v>
      </c>
      <c r="L146" s="220">
        <f t="shared" si="37"/>
        <v>0</v>
      </c>
      <c r="M146" s="220">
        <f t="shared" si="37"/>
        <v>0</v>
      </c>
      <c r="N146" s="220">
        <f t="shared" si="37"/>
        <v>0</v>
      </c>
    </row>
    <row r="147" spans="1:14" ht="12" x14ac:dyDescent="0.2">
      <c r="F147" s="444"/>
      <c r="G147" s="42" t="str">
        <f>STRAT10_IND3</f>
        <v>Objetivo estratégico 10 Indicador 3</v>
      </c>
      <c r="H147" s="268" t="str">
        <f ca="1">OFFSET(Variables_Lu!$D$10,Basic_Setup!H90,0)</f>
        <v>Nutrition-specific</v>
      </c>
      <c r="I147" s="248">
        <f t="shared" si="35"/>
        <v>0</v>
      </c>
      <c r="J147" s="220">
        <f t="shared" si="37"/>
        <v>0</v>
      </c>
      <c r="K147" s="220">
        <f t="shared" si="37"/>
        <v>0</v>
      </c>
      <c r="L147" s="220">
        <f t="shared" si="37"/>
        <v>0</v>
      </c>
      <c r="M147" s="220">
        <f t="shared" si="37"/>
        <v>0</v>
      </c>
      <c r="N147" s="220">
        <f t="shared" si="37"/>
        <v>0</v>
      </c>
    </row>
    <row r="148" spans="1:14" ht="12" x14ac:dyDescent="0.2">
      <c r="F148" s="444"/>
      <c r="G148" s="41" t="str">
        <f>STRAT10_IND4</f>
        <v>Objetivo estratégico 10 Indicador 4</v>
      </c>
      <c r="H148" s="268" t="str">
        <f ca="1">OFFSET(Variables_Lu!$D$10,Basic_Setup!H91,0)</f>
        <v>Nutrition-specific</v>
      </c>
      <c r="I148" s="248">
        <f t="shared" si="35"/>
        <v>0</v>
      </c>
      <c r="J148" s="220">
        <f t="shared" si="37"/>
        <v>0</v>
      </c>
      <c r="K148" s="220">
        <f t="shared" si="37"/>
        <v>0</v>
      </c>
      <c r="L148" s="220">
        <f t="shared" si="37"/>
        <v>0</v>
      </c>
      <c r="M148" s="220">
        <f t="shared" si="37"/>
        <v>0</v>
      </c>
      <c r="N148" s="220">
        <f t="shared" si="37"/>
        <v>0</v>
      </c>
    </row>
    <row r="149" spans="1:14" ht="12.6" thickBot="1" x14ac:dyDescent="0.25">
      <c r="F149" s="445"/>
      <c r="G149" s="275" t="str">
        <f>STRAT10_IND5</f>
        <v>Objetivo estratégico 10 Indicador 5</v>
      </c>
      <c r="H149" s="270" t="str">
        <f ca="1">OFFSET(Variables_Lu!$D$10,Basic_Setup!H92,0)</f>
        <v>Nutrition-specific</v>
      </c>
      <c r="I149" s="248">
        <f t="shared" si="35"/>
        <v>0</v>
      </c>
      <c r="J149" s="232">
        <f t="shared" si="37"/>
        <v>0</v>
      </c>
      <c r="K149" s="232">
        <f t="shared" si="37"/>
        <v>0</v>
      </c>
      <c r="L149" s="232">
        <f t="shared" si="37"/>
        <v>0</v>
      </c>
      <c r="M149" s="232">
        <f t="shared" si="37"/>
        <v>0</v>
      </c>
      <c r="N149" s="232">
        <f t="shared" si="37"/>
        <v>0</v>
      </c>
    </row>
    <row r="150" spans="1:14" ht="12" x14ac:dyDescent="0.2">
      <c r="H150" s="152" t="s">
        <v>163</v>
      </c>
      <c r="I150" s="249">
        <f t="shared" si="35"/>
        <v>0</v>
      </c>
      <c r="J150" s="247">
        <f>SUM(J145:J149)</f>
        <v>0</v>
      </c>
      <c r="K150" s="247">
        <f>SUM(K145:K149)</f>
        <v>0</v>
      </c>
      <c r="L150" s="247">
        <f>SUM(L145:L149)</f>
        <v>0</v>
      </c>
      <c r="M150" s="247">
        <f>SUM(M145:M149)</f>
        <v>0</v>
      </c>
      <c r="N150" s="247">
        <f>SUM(N145:N149)</f>
        <v>0</v>
      </c>
    </row>
    <row r="151" spans="1:14" x14ac:dyDescent="0.2">
      <c r="I151" s="231"/>
      <c r="J151" s="231"/>
      <c r="K151" s="231"/>
      <c r="L151" s="231"/>
      <c r="M151" s="231"/>
      <c r="N151" s="231"/>
    </row>
    <row r="152" spans="1:14" ht="12.6" thickBot="1" x14ac:dyDescent="0.25">
      <c r="H152" s="149" t="str">
        <f>"TOTAL - "&amp;$F$12</f>
        <v>TOTAL - Programa Mundial de Alimentos</v>
      </c>
      <c r="I152" s="222">
        <f t="shared" ref="I152:N152" si="38">I81*EXCHANGE_RATE</f>
        <v>34425000000</v>
      </c>
      <c r="J152" s="222">
        <f t="shared" si="38"/>
        <v>6885000000</v>
      </c>
      <c r="K152" s="222">
        <f t="shared" si="38"/>
        <v>6885000000</v>
      </c>
      <c r="L152" s="222">
        <f t="shared" si="38"/>
        <v>6885000000</v>
      </c>
      <c r="M152" s="222">
        <f t="shared" si="38"/>
        <v>6885000000</v>
      </c>
      <c r="N152" s="222">
        <f t="shared" si="38"/>
        <v>6885000000</v>
      </c>
    </row>
    <row r="153" spans="1:14" ht="12" x14ac:dyDescent="0.2">
      <c r="I153" s="149"/>
    </row>
    <row r="155" spans="1:14" x14ac:dyDescent="0.2">
      <c r="A155" s="39" t="s">
        <v>76</v>
      </c>
      <c r="B155" s="40" t="str">
        <f>"Summary of "&amp;Partner5&amp;" - by Result/Indicator Type"</f>
        <v>Summary of Programa Mundial de Alimentos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f ca="1">I159/$I$162</f>
        <v>0.83006535947712423</v>
      </c>
      <c r="I159" s="68">
        <f ca="1">SUM(J159:N159)</f>
        <v>28575000000</v>
      </c>
      <c r="J159" s="325">
        <f ca="1">SUMIF($H$91:$H$149,Lu_Nutrition_Specific,J$91:J$149)</f>
        <v>5715000000</v>
      </c>
      <c r="K159" s="325">
        <f ca="1">SUMIF($H$91:$H$149,Lu_Nutrition_Specific,K$91:K$149)</f>
        <v>5715000000</v>
      </c>
      <c r="L159" s="325">
        <f ca="1">SUMIF($H$91:$H$149,Lu_Nutrition_Specific,L$91:L$149)</f>
        <v>5715000000</v>
      </c>
      <c r="M159" s="325">
        <f ca="1">SUMIF($H$91:$H$149,Lu_Nutrition_Specific,M$91:M$149)</f>
        <v>5715000000</v>
      </c>
      <c r="N159" s="325">
        <f ca="1">SUMIF($H$91:$H$149,Lu_Nutrition_Specific,N$91:N$149)</f>
        <v>5715000000</v>
      </c>
    </row>
    <row r="160" spans="1:14" ht="12" x14ac:dyDescent="0.2">
      <c r="F160" s="38" t="str">
        <f>Lu_Nutrition_Sensitive</f>
        <v>Nutrition-sensitive</v>
      </c>
      <c r="G160" s="38"/>
      <c r="H160" s="289">
        <f t="shared" ref="H160:H161" ca="1" si="39">I160/$I$162</f>
        <v>0.13071895424836602</v>
      </c>
      <c r="I160" s="69">
        <f t="shared" ref="I160:I161" ca="1" si="40">SUM(J160:N160)</f>
        <v>4500000000</v>
      </c>
      <c r="J160" s="325">
        <f ca="1">SUMIF($H$91:$H$149,Lu_Nutrition_Sensitive,J$91:J$149)</f>
        <v>900000000</v>
      </c>
      <c r="K160" s="325">
        <f ca="1">SUMIF($H$91:$H$149,Lu_Nutrition_Sensitive,K$91:K$149)</f>
        <v>900000000</v>
      </c>
      <c r="L160" s="325">
        <f ca="1">SUMIF($H$91:$H$149,Lu_Nutrition_Sensitive,L$91:L$149)</f>
        <v>900000000</v>
      </c>
      <c r="M160" s="325">
        <f ca="1">SUMIF($H$91:$H$149,Lu_Nutrition_Sensitive,M$91:M$149)</f>
        <v>900000000</v>
      </c>
      <c r="N160" s="325">
        <f ca="1">SUMIF($H$91:$H$149,Lu_Nutrition_Sensitive,N$91:N$149)</f>
        <v>900000000</v>
      </c>
    </row>
    <row r="161" spans="6:14" ht="12" x14ac:dyDescent="0.2">
      <c r="F161" s="38" t="str">
        <f>Lu_Governance</f>
        <v>Governance</v>
      </c>
      <c r="G161" s="38"/>
      <c r="H161" s="289">
        <f t="shared" ca="1" si="39"/>
        <v>3.9215686274509803E-2</v>
      </c>
      <c r="I161" s="396">
        <f t="shared" ca="1" si="40"/>
        <v>1350000000</v>
      </c>
      <c r="J161" s="325">
        <f ca="1">SUMIF($H$91:$H$149,Lu_Governance,J$91:J$149)</f>
        <v>270000000</v>
      </c>
      <c r="K161" s="325">
        <f ca="1">SUMIF($H$91:$H$149,Lu_Governance,K$91:K$149)</f>
        <v>270000000</v>
      </c>
      <c r="L161" s="325">
        <f ca="1">SUMIF($H$91:$H$149,Lu_Governance,L$91:L$149)</f>
        <v>270000000</v>
      </c>
      <c r="M161" s="325">
        <f ca="1">SUMIF($H$91:$H$149,Lu_Governance,M$91:M$149)</f>
        <v>270000000</v>
      </c>
      <c r="N161" s="325">
        <f ca="1">SUMIF($H$91:$H$149,Lu_Governance,N$91:N$149)</f>
        <v>270000000</v>
      </c>
    </row>
    <row r="162" spans="6:14" ht="12" x14ac:dyDescent="0.2">
      <c r="F162" s="324" t="str">
        <f>"TOTAL - "&amp;Summary_Govt_Contributions!$F$12&amp;" ("&amp;CURR_LCU_ABBR&amp;")"</f>
        <v>TOTAL - TODAS las contribuciones de las agencias gubernamentales (GOZ)</v>
      </c>
      <c r="G162" s="74"/>
      <c r="H162" s="291">
        <f ca="1">SUM(H159:H161)</f>
        <v>1</v>
      </c>
      <c r="I162" s="57">
        <f ca="1">SUM(J162:N162)</f>
        <v>34425000000</v>
      </c>
      <c r="J162" s="55">
        <f ca="1">SUM(J159:J161)</f>
        <v>6885000000</v>
      </c>
      <c r="K162" s="55">
        <f t="shared" ref="K162:N162" ca="1" si="41">SUM(K159:K161)</f>
        <v>6885000000</v>
      </c>
      <c r="L162" s="55">
        <f t="shared" ca="1" si="41"/>
        <v>6885000000</v>
      </c>
      <c r="M162" s="55">
        <f t="shared" ca="1" si="41"/>
        <v>6885000000</v>
      </c>
      <c r="N162" s="55">
        <f t="shared" ca="1" si="41"/>
        <v>6885000000</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f ca="1">I166/$I$169</f>
        <v>0.83006535947712423</v>
      </c>
      <c r="I166" s="404">
        <f ca="1">SUM(J166:N166)</f>
        <v>15875000</v>
      </c>
      <c r="J166" s="407">
        <f t="shared" ref="J166:N168" ca="1" si="42">J159/EXCHANGE_RATE</f>
        <v>3175000</v>
      </c>
      <c r="K166" s="407">
        <f t="shared" ca="1" si="42"/>
        <v>3175000</v>
      </c>
      <c r="L166" s="407">
        <f t="shared" ca="1" si="42"/>
        <v>3175000</v>
      </c>
      <c r="M166" s="407">
        <f t="shared" ca="1" si="42"/>
        <v>3175000</v>
      </c>
      <c r="N166" s="407">
        <f t="shared" ca="1" si="42"/>
        <v>3175000</v>
      </c>
    </row>
    <row r="167" spans="6:14" ht="12" x14ac:dyDescent="0.2">
      <c r="F167" t="str">
        <f>Lu_Nutrition_Sensitive</f>
        <v>Nutrition-sensitive</v>
      </c>
      <c r="H167" s="289">
        <f t="shared" ref="H167:H168" ca="1" si="43">I167/$I$169</f>
        <v>0.13071895424836602</v>
      </c>
      <c r="I167" s="404">
        <f t="shared" ref="I167:I168" ca="1" si="44">SUM(J167:N167)</f>
        <v>2500000</v>
      </c>
      <c r="J167" s="407">
        <f t="shared" ca="1" si="42"/>
        <v>500000</v>
      </c>
      <c r="K167" s="407">
        <f t="shared" ca="1" si="42"/>
        <v>500000</v>
      </c>
      <c r="L167" s="407">
        <f t="shared" ca="1" si="42"/>
        <v>500000</v>
      </c>
      <c r="M167" s="407">
        <f t="shared" ca="1" si="42"/>
        <v>500000</v>
      </c>
      <c r="N167" s="407">
        <f t="shared" ca="1" si="42"/>
        <v>500000</v>
      </c>
    </row>
    <row r="168" spans="6:14" ht="12" x14ac:dyDescent="0.2">
      <c r="F168" t="str">
        <f>Lu_Governance</f>
        <v>Governance</v>
      </c>
      <c r="H168" s="289">
        <f t="shared" ca="1" si="43"/>
        <v>3.9215686274509803E-2</v>
      </c>
      <c r="I168" s="404">
        <f t="shared" ca="1" si="44"/>
        <v>750000</v>
      </c>
      <c r="J168" s="407">
        <f t="shared" ca="1" si="42"/>
        <v>150000</v>
      </c>
      <c r="K168" s="407">
        <f t="shared" ca="1" si="42"/>
        <v>150000</v>
      </c>
      <c r="L168" s="407">
        <f t="shared" ca="1" si="42"/>
        <v>150000</v>
      </c>
      <c r="M168" s="407">
        <f t="shared" ca="1" si="42"/>
        <v>150000</v>
      </c>
      <c r="N168" s="407">
        <f t="shared" ca="1" si="42"/>
        <v>150000</v>
      </c>
    </row>
    <row r="169" spans="6:14" ht="12" x14ac:dyDescent="0.2">
      <c r="F169" s="324" t="str">
        <f>"TOTAL - "&amp;Summary_Govt_Contributions!$F$12&amp;" ("&amp;CURR_INT_ABBR&amp;")"</f>
        <v>TOTAL - TODAS las contribuciones de las agencias gubernamentales (USD)</v>
      </c>
      <c r="G169" s="74"/>
      <c r="H169" s="291">
        <f ca="1">SUM(H166:H168)</f>
        <v>1</v>
      </c>
      <c r="I169" s="295">
        <f ca="1">SUM(J169:N169)</f>
        <v>19125000</v>
      </c>
      <c r="J169" s="408">
        <f ca="1">SUM(J166:J168)</f>
        <v>3825000</v>
      </c>
      <c r="K169" s="408">
        <f t="shared" ref="K169:N169" ca="1" si="45">SUM(K166:K168)</f>
        <v>3825000</v>
      </c>
      <c r="L169" s="408">
        <f t="shared" ca="1" si="45"/>
        <v>3825000</v>
      </c>
      <c r="M169" s="408">
        <f t="shared" ca="1" si="45"/>
        <v>3825000</v>
      </c>
      <c r="N169" s="408">
        <f t="shared" ca="1" si="45"/>
        <v>3825000</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3 J32:N36 J26:N30 J44:N48 J50:N54 J56:N60 J62:N66 J68:N72 J74:N78 J38:N42 J103:N107 J97:N101 J91:N95 J109:N113 J115:N119 J121:N125 J127:N131 J133:N137 J139:N143 J145:N149" xr:uid="{00000000-0002-0000-1900-000000000000}">
      <formula1>NOT(ISERROR(J20/1))</formula1>
    </dataValidation>
  </dataValidations>
  <hyperlinks>
    <hyperlink ref="A14" location="HL_Mod_Out" tooltip="Click to follow hyperlink." display="ð" xr:uid="{00000000-0004-0000-1900-000000000000}"/>
    <hyperlink ref="B4" location="Partner4!HL_Sheet_Main_13" tooltip="Go to Previous Sheet" display="ç" xr:uid="{00000000-0004-0000-1900-000001000000}"/>
    <hyperlink ref="C4" location="Partner6!HL_Sheet_Main_13" tooltip="Go to Next Sheet" display="è" xr:uid="{00000000-0004-0000-1900-000002000000}"/>
    <hyperlink ref="A4" r:id="rId1" tooltip="Go to Top of Sheet" xr:uid="{00000000-0004-0000-1900-000003000000}"/>
    <hyperlink ref="B3" location="HL_Home" tooltip="Go to Table of Contents" display="Go to Table of Contents" xr:uid="{00000000-0004-0000-1900-000004000000}"/>
    <hyperlink ref="A155" location="HL_Mod_Out" tooltip="Click to follow hyperlink." display="ð" xr:uid="{00000000-0004-0000-1900-000005000000}"/>
  </hyperlinks>
  <pageMargins left="0.4" right="0.4" top="0.6" bottom="1" header="0" footer="0.3"/>
  <pageSetup orientation="landscape" r:id="rId2"/>
  <headerFooter>
    <oddFooter>&amp;L&amp;F
&amp;A
Printed: &amp;T on &amp;D&amp;C&amp;",Bold"Sheet 2.q.
Page &amp;P of &amp;N</oddFooter>
  </headerFooter>
  <drawing r:id="rId3"/>
  <legacyDrawing r:id="rId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N169"/>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0.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Partner6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F12" s="198" t="str">
        <f>Partner6</f>
        <v>[No está en uso]</v>
      </c>
      <c r="G12" s="60">
        <v>1</v>
      </c>
    </row>
    <row r="13" spans="1:14" s="38" customFormat="1" x14ac:dyDescent="0.2">
      <c r="G13"/>
    </row>
    <row r="14" spans="1:14" s="38" customFormat="1" x14ac:dyDescent="0.2">
      <c r="A14" s="39" t="s">
        <v>76</v>
      </c>
      <c r="B14" s="40" t="str">
        <f>"Planned Annual Contributions by "&amp;Partner6&amp;" - by Strategic Objective and Result/Indicator"</f>
        <v>Planned Annual Contributions by [No está en uso]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409" t="s">
        <v>106</v>
      </c>
      <c r="J19" s="54" t="str">
        <f>CURR_INT_ABBR</f>
        <v>USD</v>
      </c>
      <c r="K19" s="54" t="str">
        <f>CURR_INT_ABBR</f>
        <v>USD</v>
      </c>
      <c r="L19" s="54" t="str">
        <f>CURR_INT_ABBR</f>
        <v>USD</v>
      </c>
      <c r="M19" s="54" t="str">
        <f>CURR_INT_ABBR</f>
        <v>USD</v>
      </c>
      <c r="N19" s="54" t="str">
        <f>CURR_INT_ABBR</f>
        <v>USD</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67">
        <f>SUM(J20:N20)</f>
        <v>0</v>
      </c>
      <c r="J20" s="61"/>
      <c r="K20" s="61"/>
      <c r="L20" s="61"/>
      <c r="M20" s="61"/>
      <c r="N20" s="61"/>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67">
        <f t="shared" ref="I21:I22" si="2">SUM(J21:N21)</f>
        <v>0</v>
      </c>
      <c r="J21" s="61"/>
      <c r="K21" s="61"/>
      <c r="L21" s="61"/>
      <c r="M21" s="61"/>
      <c r="N21" s="61"/>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67">
        <f t="shared" si="2"/>
        <v>0</v>
      </c>
      <c r="J22" s="61"/>
      <c r="K22" s="61"/>
      <c r="L22" s="61"/>
      <c r="M22" s="61"/>
      <c r="N22" s="61"/>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67">
        <f>SUM(J23:N23)</f>
        <v>0</v>
      </c>
      <c r="J23" s="61"/>
      <c r="K23" s="61"/>
      <c r="L23" s="61"/>
      <c r="M23" s="61"/>
      <c r="N23" s="61"/>
    </row>
    <row r="24" spans="6:14" s="38" customFormat="1" ht="12" x14ac:dyDescent="0.2">
      <c r="F24" s="448"/>
      <c r="G24" s="41" t="str">
        <f>STRAT1_IND5</f>
        <v>Objetivo estratégico 1 Indicador 5</v>
      </c>
      <c r="H24" s="260" t="str">
        <f ca="1">OFFSET(Variables_Lu!$D$10,Basic_Setup!H38,0)</f>
        <v>Governance</v>
      </c>
      <c r="I24" s="67">
        <f>SUM(J24:N24)</f>
        <v>0</v>
      </c>
      <c r="J24" s="61"/>
      <c r="K24" s="61"/>
      <c r="L24" s="61"/>
      <c r="M24" s="61"/>
      <c r="N24" s="61"/>
    </row>
    <row r="25" spans="6:14" s="38" customFormat="1" ht="12" x14ac:dyDescent="0.2">
      <c r="H25" s="152" t="s">
        <v>107</v>
      </c>
      <c r="I25" s="250">
        <f>SUM(I20:I24)</f>
        <v>0</v>
      </c>
      <c r="J25" s="64">
        <f>SUM(J20:J24)</f>
        <v>0</v>
      </c>
      <c r="K25" s="64">
        <f t="shared" ref="K25:N25" si="3">SUM(K20:K24)</f>
        <v>0</v>
      </c>
      <c r="L25" s="64">
        <f t="shared" si="3"/>
        <v>0</v>
      </c>
      <c r="M25" s="64">
        <f t="shared" si="3"/>
        <v>0</v>
      </c>
      <c r="N25" s="64">
        <f t="shared" si="3"/>
        <v>0</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67">
        <f>SUM(J26:N26)</f>
        <v>0</v>
      </c>
      <c r="J26" s="61"/>
      <c r="K26" s="61"/>
      <c r="L26" s="61"/>
      <c r="M26" s="61"/>
      <c r="N26" s="61"/>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67">
        <f t="shared" ref="I27:I30" si="4">SUM(J27:N27)</f>
        <v>0</v>
      </c>
      <c r="J27" s="61"/>
      <c r="K27" s="61"/>
      <c r="L27" s="61"/>
      <c r="M27" s="61"/>
      <c r="N27" s="61"/>
    </row>
    <row r="28" spans="6:14" s="38" customFormat="1" ht="22.8" x14ac:dyDescent="0.2">
      <c r="F28" s="447"/>
      <c r="G28" s="42" t="str">
        <f>STRAT2_IND3</f>
        <v>Se refuerzan las intervenciones comunitarias en materia de nutrición.</v>
      </c>
      <c r="H28" s="260" t="str">
        <f ca="1">OFFSET(Variables_Lu!$D$10,Basic_Setup!H42,0)</f>
        <v>Nutrition-specific</v>
      </c>
      <c r="I28" s="67">
        <f t="shared" si="4"/>
        <v>0</v>
      </c>
      <c r="J28" s="61"/>
      <c r="K28" s="61"/>
      <c r="L28" s="61"/>
      <c r="M28" s="61"/>
      <c r="N28" s="61"/>
    </row>
    <row r="29" spans="6:14" s="38" customFormat="1" ht="12" x14ac:dyDescent="0.2">
      <c r="F29" s="447"/>
      <c r="G29" s="41" t="str">
        <f>STRAT2_IND4</f>
        <v>Objetivo estratégico 2 Indicador 4</v>
      </c>
      <c r="H29" s="260" t="str">
        <f ca="1">OFFSET(Variables_Lu!$D$10,Basic_Setup!H43,0)</f>
        <v>Nutrition-specific</v>
      </c>
      <c r="I29" s="67">
        <f t="shared" si="4"/>
        <v>0</v>
      </c>
      <c r="J29" s="61"/>
      <c r="K29" s="61"/>
      <c r="L29" s="61"/>
      <c r="M29" s="61"/>
      <c r="N29" s="61"/>
    </row>
    <row r="30" spans="6:14" s="38" customFormat="1" ht="12" x14ac:dyDescent="0.2">
      <c r="F30" s="448"/>
      <c r="G30" s="41" t="str">
        <f>STRAT2_IND5</f>
        <v>Objetivo estratégico 2 Indicador 5</v>
      </c>
      <c r="H30" s="260" t="str">
        <f ca="1">OFFSET(Variables_Lu!$D$10,Basic_Setup!H44,0)</f>
        <v>Nutrition-specific</v>
      </c>
      <c r="I30" s="67">
        <f t="shared" si="4"/>
        <v>0</v>
      </c>
      <c r="J30" s="61"/>
      <c r="K30" s="61"/>
      <c r="L30" s="61"/>
      <c r="M30" s="61"/>
      <c r="N30" s="61"/>
    </row>
    <row r="31" spans="6:14" s="38" customFormat="1" ht="12" x14ac:dyDescent="0.2">
      <c r="H31" s="152" t="s">
        <v>108</v>
      </c>
      <c r="I31" s="250">
        <f t="shared" ref="I31" si="5">SUM(I26:I30)</f>
        <v>0</v>
      </c>
      <c r="J31" s="64">
        <f t="shared" ref="J31:N31" si="6">SUM(J26:J30)</f>
        <v>0</v>
      </c>
      <c r="K31" s="64">
        <f t="shared" si="6"/>
        <v>0</v>
      </c>
      <c r="L31" s="64">
        <f t="shared" si="6"/>
        <v>0</v>
      </c>
      <c r="M31" s="64">
        <f t="shared" si="6"/>
        <v>0</v>
      </c>
      <c r="N31" s="64">
        <f t="shared" si="6"/>
        <v>0</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67">
        <f>SUM(J32:N32)</f>
        <v>0</v>
      </c>
      <c r="J32" s="61"/>
      <c r="K32" s="61"/>
      <c r="L32" s="61"/>
      <c r="M32" s="61"/>
      <c r="N32" s="61"/>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67">
        <f t="shared" ref="I33:I36" si="7">SUM(J33:N33)</f>
        <v>0</v>
      </c>
      <c r="J33" s="61"/>
      <c r="K33" s="61"/>
      <c r="L33" s="61"/>
      <c r="M33" s="61"/>
      <c r="N33" s="61"/>
    </row>
    <row r="34" spans="6:14" s="38" customFormat="1" ht="12" x14ac:dyDescent="0.2">
      <c r="F34" s="447"/>
      <c r="G34" s="42" t="str">
        <f>STRAT3_IND3</f>
        <v>Objetivo estratégico 3 Indicador 3</v>
      </c>
      <c r="H34" s="260" t="str">
        <f ca="1">OFFSET(Variables_Lu!$D$10,Basic_Setup!H48,0)</f>
        <v>Nutrition-specific</v>
      </c>
      <c r="I34" s="67">
        <f t="shared" si="7"/>
        <v>0</v>
      </c>
      <c r="J34" s="61"/>
      <c r="K34" s="61"/>
      <c r="L34" s="61"/>
      <c r="M34" s="61"/>
      <c r="N34" s="61"/>
    </row>
    <row r="35" spans="6:14" s="38" customFormat="1" ht="12" x14ac:dyDescent="0.2">
      <c r="F35" s="447"/>
      <c r="G35" s="41" t="str">
        <f>STRAT3_IND4</f>
        <v>Objetivo estratégico 3 Indicador 4</v>
      </c>
      <c r="H35" s="260" t="str">
        <f ca="1">OFFSET(Variables_Lu!$D$10,Basic_Setup!H49,0)</f>
        <v>Nutrition-specific</v>
      </c>
      <c r="I35" s="67">
        <f t="shared" si="7"/>
        <v>0</v>
      </c>
      <c r="J35" s="61"/>
      <c r="K35" s="61"/>
      <c r="L35" s="61"/>
      <c r="M35" s="61"/>
      <c r="N35" s="61"/>
    </row>
    <row r="36" spans="6:14" s="38" customFormat="1" ht="12" x14ac:dyDescent="0.2">
      <c r="F36" s="448"/>
      <c r="G36" s="41" t="str">
        <f>STRAT3_IND5</f>
        <v>Objetivo estratégico 3 Indicador 5</v>
      </c>
      <c r="H36" s="260" t="str">
        <f ca="1">OFFSET(Variables_Lu!$D$10,Basic_Setup!H50,0)</f>
        <v>Nutrition-specific</v>
      </c>
      <c r="I36" s="67">
        <f t="shared" si="7"/>
        <v>0</v>
      </c>
      <c r="J36" s="61"/>
      <c r="K36" s="61"/>
      <c r="L36" s="61"/>
      <c r="M36" s="61"/>
      <c r="N36" s="61"/>
    </row>
    <row r="37" spans="6:14" ht="12" x14ac:dyDescent="0.2">
      <c r="H37" s="152" t="s">
        <v>109</v>
      </c>
      <c r="I37" s="250">
        <f>SUM(I32:I36)</f>
        <v>0</v>
      </c>
      <c r="J37" s="64">
        <f>SUM(J32:J36)</f>
        <v>0</v>
      </c>
      <c r="K37" s="64">
        <f t="shared" ref="K37:N37" si="8">SUM(K32:K36)</f>
        <v>0</v>
      </c>
      <c r="L37" s="64">
        <f t="shared" si="8"/>
        <v>0</v>
      </c>
      <c r="M37" s="64">
        <f t="shared" si="8"/>
        <v>0</v>
      </c>
      <c r="N37" s="64">
        <f t="shared" si="8"/>
        <v>0</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67">
        <f>SUM(J38:N38)</f>
        <v>0</v>
      </c>
      <c r="J38" s="61"/>
      <c r="K38" s="61"/>
      <c r="L38" s="61"/>
      <c r="M38" s="61"/>
      <c r="N38" s="61"/>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67">
        <f t="shared" ref="I39:I42" si="9">SUM(J39:N39)</f>
        <v>0</v>
      </c>
      <c r="J39" s="61"/>
      <c r="K39" s="61"/>
      <c r="L39" s="61"/>
      <c r="M39" s="61"/>
      <c r="N39" s="61"/>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67">
        <f>SUM(J40:N40)</f>
        <v>0</v>
      </c>
      <c r="J40" s="61"/>
      <c r="K40" s="61"/>
      <c r="L40" s="61"/>
      <c r="M40" s="61"/>
      <c r="N40" s="61"/>
    </row>
    <row r="41" spans="6:14" ht="12" x14ac:dyDescent="0.2">
      <c r="F41" s="447"/>
      <c r="G41" s="41" t="str">
        <f>STRAT4_IND4</f>
        <v>Objetivo estratégico 4 Indicador 4</v>
      </c>
      <c r="H41" s="260" t="str">
        <f ca="1">OFFSET(Variables_Lu!$D$10,Basic_Setup!H55,0)</f>
        <v>Nutrition-specific</v>
      </c>
      <c r="I41" s="67">
        <f>SUM(J41:N41)</f>
        <v>0</v>
      </c>
      <c r="J41" s="61"/>
      <c r="K41" s="61"/>
      <c r="L41" s="61"/>
      <c r="M41" s="61"/>
      <c r="N41" s="61"/>
    </row>
    <row r="42" spans="6:14" ht="12" x14ac:dyDescent="0.2">
      <c r="F42" s="448"/>
      <c r="G42" s="41" t="str">
        <f>STRAT4_IND5</f>
        <v>Objetivo estratégico 4 Indicador 5</v>
      </c>
      <c r="H42" s="260" t="str">
        <f ca="1">OFFSET(Variables_Lu!$D$10,Basic_Setup!H56,0)</f>
        <v>Nutrition-specific</v>
      </c>
      <c r="I42" s="67">
        <f t="shared" si="9"/>
        <v>0</v>
      </c>
      <c r="J42" s="61"/>
      <c r="K42" s="61"/>
      <c r="L42" s="61"/>
      <c r="M42" s="61"/>
      <c r="N42" s="61"/>
    </row>
    <row r="43" spans="6:14" ht="12" x14ac:dyDescent="0.2">
      <c r="H43" s="152" t="s">
        <v>110</v>
      </c>
      <c r="I43" s="250">
        <f>SUM(I38:I42)</f>
        <v>0</v>
      </c>
      <c r="J43" s="64">
        <f>SUM(J38:J42)</f>
        <v>0</v>
      </c>
      <c r="K43" s="64">
        <f t="shared" ref="K43:N43" si="10">SUM(K38:K42)</f>
        <v>0</v>
      </c>
      <c r="L43" s="64">
        <f t="shared" si="10"/>
        <v>0</v>
      </c>
      <c r="M43" s="64">
        <f t="shared" si="10"/>
        <v>0</v>
      </c>
      <c r="N43" s="64">
        <f t="shared" si="10"/>
        <v>0</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67">
        <f>SUM(J44:N44)</f>
        <v>0</v>
      </c>
      <c r="J44" s="61"/>
      <c r="K44" s="61"/>
      <c r="L44" s="61"/>
      <c r="M44" s="61"/>
      <c r="N44" s="61"/>
    </row>
    <row r="45" spans="6:14" ht="22.8" x14ac:dyDescent="0.2">
      <c r="F45" s="447"/>
      <c r="G45" s="42" t="str">
        <f>STRAT5_IND2</f>
        <v>Se promueven dietas saludables y estilos de vida saludables para las personas.</v>
      </c>
      <c r="H45" s="260" t="str">
        <f ca="1">OFFSET(Variables_Lu!$D$10,Basic_Setup!H59,0)</f>
        <v>Nutrition-specific</v>
      </c>
      <c r="I45" s="67">
        <f t="shared" ref="I45:I48" si="11">SUM(J45:N45)</f>
        <v>0</v>
      </c>
      <c r="J45" s="61"/>
      <c r="K45" s="61"/>
      <c r="L45" s="61"/>
      <c r="M45" s="61"/>
      <c r="N45" s="61"/>
    </row>
    <row r="46" spans="6:14" ht="22.8" x14ac:dyDescent="0.2">
      <c r="F46" s="447"/>
      <c r="G46" s="42" t="str">
        <f>STRAT5_IND3</f>
        <v>Se promueven las buenas prácticas WASH a nivel comunitario y doméstico</v>
      </c>
      <c r="H46" s="260" t="str">
        <f ca="1">OFFSET(Variables_Lu!$D$10,Basic_Setup!H60,0)</f>
        <v>Nutrition-sensitive</v>
      </c>
      <c r="I46" s="67">
        <f t="shared" si="11"/>
        <v>0</v>
      </c>
      <c r="J46" s="61"/>
      <c r="K46" s="61"/>
      <c r="L46" s="61"/>
      <c r="M46" s="61"/>
      <c r="N46" s="61"/>
    </row>
    <row r="47" spans="6:14" ht="12" x14ac:dyDescent="0.2">
      <c r="F47" s="447"/>
      <c r="G47" s="41" t="str">
        <f>STRAT5_IND4</f>
        <v>Objetivo estratégico 5 Indicador 4</v>
      </c>
      <c r="H47" s="260" t="str">
        <f ca="1">OFFSET(Variables_Lu!$D$10,Basic_Setup!H61,0)</f>
        <v>Nutrition-specific</v>
      </c>
      <c r="I47" s="67">
        <f t="shared" si="11"/>
        <v>0</v>
      </c>
      <c r="J47" s="61"/>
      <c r="K47" s="61"/>
      <c r="L47" s="61"/>
      <c r="M47" s="61"/>
      <c r="N47" s="61"/>
    </row>
    <row r="48" spans="6:14" ht="12" x14ac:dyDescent="0.2">
      <c r="F48" s="448"/>
      <c r="G48" s="41" t="str">
        <f>STRAT5_IND5</f>
        <v>Objetivo estratégico 5 Indicador 5</v>
      </c>
      <c r="H48" s="260" t="str">
        <f ca="1">OFFSET(Variables_Lu!$D$10,Basic_Setup!H62,0)</f>
        <v>Nutrition-specific</v>
      </c>
      <c r="I48" s="67">
        <f t="shared" si="11"/>
        <v>0</v>
      </c>
      <c r="J48" s="61"/>
      <c r="K48" s="61"/>
      <c r="L48" s="61"/>
      <c r="M48" s="61"/>
      <c r="N48" s="61"/>
    </row>
    <row r="49" spans="6:14" ht="12" x14ac:dyDescent="0.2">
      <c r="H49" s="152" t="s">
        <v>111</v>
      </c>
      <c r="I49" s="250">
        <f>SUM(I44:I48)</f>
        <v>0</v>
      </c>
      <c r="J49" s="64">
        <f>SUM(J44:J48)</f>
        <v>0</v>
      </c>
      <c r="K49" s="64">
        <f t="shared" ref="K49:N49" si="12">SUM(K44:K48)</f>
        <v>0</v>
      </c>
      <c r="L49" s="64">
        <f t="shared" si="12"/>
        <v>0</v>
      </c>
      <c r="M49" s="64">
        <f t="shared" si="12"/>
        <v>0</v>
      </c>
      <c r="N49" s="64">
        <f t="shared" si="12"/>
        <v>0</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67">
        <f>SUM(J50:N50)</f>
        <v>0</v>
      </c>
      <c r="J50" s="61"/>
      <c r="K50" s="61"/>
      <c r="L50" s="61"/>
      <c r="M50" s="61"/>
      <c r="N50" s="61"/>
    </row>
    <row r="51" spans="6:14" ht="12" x14ac:dyDescent="0.2">
      <c r="F51" s="447"/>
      <c r="G51" s="42" t="str">
        <f>STRAT6_IND2</f>
        <v>Objetivo estratégico 6 Indicador 2</v>
      </c>
      <c r="H51" s="260" t="str">
        <f ca="1">OFFSET(Variables_Lu!$D$10,Basic_Setup!H65,0)</f>
        <v>Nutrition-specific</v>
      </c>
      <c r="I51" s="67">
        <f>SUM(J51:N51)</f>
        <v>0</v>
      </c>
      <c r="J51" s="61"/>
      <c r="K51" s="61"/>
      <c r="L51" s="61"/>
      <c r="M51" s="61"/>
      <c r="N51" s="61"/>
    </row>
    <row r="52" spans="6:14" ht="12" x14ac:dyDescent="0.2">
      <c r="F52" s="447"/>
      <c r="G52" s="42" t="str">
        <f>STRAT6_IND3</f>
        <v>Objetivo estratégico 6 Indicador 3</v>
      </c>
      <c r="H52" s="260" t="str">
        <f ca="1">OFFSET(Variables_Lu!$D$10,Basic_Setup!H66,0)</f>
        <v>Nutrition-specific</v>
      </c>
      <c r="I52" s="67">
        <f>SUM(J52:N52)</f>
        <v>0</v>
      </c>
      <c r="J52" s="61"/>
      <c r="K52" s="61"/>
      <c r="L52" s="61"/>
      <c r="M52" s="61"/>
      <c r="N52" s="61"/>
    </row>
    <row r="53" spans="6:14" ht="12" x14ac:dyDescent="0.2">
      <c r="F53" s="447"/>
      <c r="G53" s="41" t="str">
        <f>STRAT6_IND4</f>
        <v>Objetivo estratégico 6 Indicador 4</v>
      </c>
      <c r="H53" s="260" t="str">
        <f ca="1">OFFSET(Variables_Lu!$D$10,Basic_Setup!H67,0)</f>
        <v>Nutrition-specific</v>
      </c>
      <c r="I53" s="67">
        <f>SUM(J53:N53)</f>
        <v>0</v>
      </c>
      <c r="J53" s="61"/>
      <c r="K53" s="61"/>
      <c r="L53" s="61"/>
      <c r="M53" s="61"/>
      <c r="N53" s="61"/>
    </row>
    <row r="54" spans="6:14" ht="12" x14ac:dyDescent="0.2">
      <c r="F54" s="448"/>
      <c r="G54" s="41" t="str">
        <f>STRAT6_IND5</f>
        <v>Objetivo estratégico 6 Indicador 5</v>
      </c>
      <c r="H54" s="260" t="str">
        <f ca="1">OFFSET(Variables_Lu!$D$10,Basic_Setup!H68,0)</f>
        <v>Nutrition-specific</v>
      </c>
      <c r="I54" s="67">
        <f>SUM(J54:N54)</f>
        <v>0</v>
      </c>
      <c r="J54" s="61"/>
      <c r="K54" s="61"/>
      <c r="L54" s="61"/>
      <c r="M54" s="61"/>
      <c r="N54" s="61"/>
    </row>
    <row r="55" spans="6:14" ht="12" x14ac:dyDescent="0.2">
      <c r="H55" s="152" t="s">
        <v>159</v>
      </c>
      <c r="I55" s="250">
        <f t="shared" ref="I55" si="13">SUM(I50:I54)</f>
        <v>0</v>
      </c>
      <c r="J55" s="64">
        <f t="shared" ref="J55:N55" si="14">SUM(J50:J54)</f>
        <v>0</v>
      </c>
      <c r="K55" s="64">
        <f t="shared" si="14"/>
        <v>0</v>
      </c>
      <c r="L55" s="64">
        <f t="shared" si="14"/>
        <v>0</v>
      </c>
      <c r="M55" s="64">
        <f t="shared" si="14"/>
        <v>0</v>
      </c>
      <c r="N55" s="64">
        <f t="shared" si="14"/>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67">
        <f>SUM(J56:N56)</f>
        <v>0</v>
      </c>
      <c r="J56" s="61"/>
      <c r="K56" s="61"/>
      <c r="L56" s="61"/>
      <c r="M56" s="61"/>
      <c r="N56" s="61"/>
    </row>
    <row r="57" spans="6:14" ht="12" x14ac:dyDescent="0.2">
      <c r="F57" s="447"/>
      <c r="G57" s="42" t="str">
        <f>STRAT7_IND2</f>
        <v>Objetivo estratégico 7 Indicador 2</v>
      </c>
      <c r="H57" s="260" t="str">
        <f ca="1">OFFSET(Variables_Lu!$D$10,Basic_Setup!H71,0)</f>
        <v>Nutrition-specific</v>
      </c>
      <c r="I57" s="67">
        <f>SUM(J57:N57)</f>
        <v>0</v>
      </c>
      <c r="J57" s="61"/>
      <c r="K57" s="61"/>
      <c r="L57" s="61"/>
      <c r="M57" s="61"/>
      <c r="N57" s="61"/>
    </row>
    <row r="58" spans="6:14" ht="12" x14ac:dyDescent="0.2">
      <c r="F58" s="447"/>
      <c r="G58" s="42" t="str">
        <f>STRAT7_IND3</f>
        <v>Objetivo estratégico 7 Indicador 3</v>
      </c>
      <c r="H58" s="260" t="str">
        <f ca="1">OFFSET(Variables_Lu!$D$10,Basic_Setup!H72,0)</f>
        <v>Nutrition-specific</v>
      </c>
      <c r="I58" s="67">
        <f>SUM(J58:N58)</f>
        <v>0</v>
      </c>
      <c r="J58" s="61"/>
      <c r="K58" s="61"/>
      <c r="L58" s="61"/>
      <c r="M58" s="61"/>
      <c r="N58" s="61"/>
    </row>
    <row r="59" spans="6:14" ht="12" x14ac:dyDescent="0.2">
      <c r="F59" s="447"/>
      <c r="G59" s="41" t="str">
        <f>STRAT7_IND4</f>
        <v>Objetivo estratégico 7 Indicador 4</v>
      </c>
      <c r="H59" s="260" t="str">
        <f ca="1">OFFSET(Variables_Lu!$D$10,Basic_Setup!H73,0)</f>
        <v>Nutrition-specific</v>
      </c>
      <c r="I59" s="67">
        <f>SUM(J59:N59)</f>
        <v>0</v>
      </c>
      <c r="J59" s="61"/>
      <c r="K59" s="61"/>
      <c r="L59" s="61"/>
      <c r="M59" s="61"/>
      <c r="N59" s="61"/>
    </row>
    <row r="60" spans="6:14" ht="12" x14ac:dyDescent="0.2">
      <c r="F60" s="448"/>
      <c r="G60" s="41" t="str">
        <f>STRAT7_IND5</f>
        <v>Objetivo estratégico 7 Indicador 5</v>
      </c>
      <c r="H60" s="260" t="str">
        <f ca="1">OFFSET(Variables_Lu!$D$10,Basic_Setup!H74,0)</f>
        <v>Nutrition-specific</v>
      </c>
      <c r="I60" s="67">
        <f>SUM(J60:N60)</f>
        <v>0</v>
      </c>
      <c r="J60" s="61"/>
      <c r="K60" s="61"/>
      <c r="L60" s="61"/>
      <c r="M60" s="61"/>
      <c r="N60" s="61"/>
    </row>
    <row r="61" spans="6:14" ht="12" x14ac:dyDescent="0.2">
      <c r="H61" s="152" t="s">
        <v>160</v>
      </c>
      <c r="I61" s="250">
        <f t="shared" ref="I61" si="15">SUM(I56:I60)</f>
        <v>0</v>
      </c>
      <c r="J61" s="64">
        <f t="shared" ref="J61:N61" si="16">SUM(J56:J60)</f>
        <v>0</v>
      </c>
      <c r="K61" s="64">
        <f t="shared" si="16"/>
        <v>0</v>
      </c>
      <c r="L61" s="64">
        <f t="shared" si="16"/>
        <v>0</v>
      </c>
      <c r="M61" s="64">
        <f t="shared" si="16"/>
        <v>0</v>
      </c>
      <c r="N61" s="64">
        <f t="shared" si="16"/>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67">
        <f>SUM(J62:N62)</f>
        <v>0</v>
      </c>
      <c r="J62" s="61"/>
      <c r="K62" s="61"/>
      <c r="L62" s="61"/>
      <c r="M62" s="61"/>
      <c r="N62" s="61"/>
    </row>
    <row r="63" spans="6:14" ht="12" x14ac:dyDescent="0.2">
      <c r="F63" s="447"/>
      <c r="G63" s="42" t="str">
        <f>STRAT8_IND2</f>
        <v>Objetivo estratégico 8 Indicador 2</v>
      </c>
      <c r="H63" s="260" t="str">
        <f ca="1">OFFSET(Variables_Lu!$D$10,Basic_Setup!H77,0)</f>
        <v>Nutrition-specific</v>
      </c>
      <c r="I63" s="67">
        <f>SUM(J63:N63)</f>
        <v>0</v>
      </c>
      <c r="J63" s="61"/>
      <c r="K63" s="61"/>
      <c r="L63" s="61"/>
      <c r="M63" s="61"/>
      <c r="N63" s="61"/>
    </row>
    <row r="64" spans="6:14" ht="12" x14ac:dyDescent="0.2">
      <c r="F64" s="447"/>
      <c r="G64" s="42" t="str">
        <f>STRAT8_IND3</f>
        <v>Objetivo estratégico 8 Indicador 3</v>
      </c>
      <c r="H64" s="260" t="str">
        <f ca="1">OFFSET(Variables_Lu!$D$10,Basic_Setup!H78,0)</f>
        <v>Nutrition-specific</v>
      </c>
      <c r="I64" s="67">
        <f>SUM(J64:N64)</f>
        <v>0</v>
      </c>
      <c r="J64" s="61"/>
      <c r="K64" s="61"/>
      <c r="L64" s="61"/>
      <c r="M64" s="61"/>
      <c r="N64" s="61"/>
    </row>
    <row r="65" spans="6:14" ht="12" x14ac:dyDescent="0.2">
      <c r="F65" s="447"/>
      <c r="G65" s="41" t="str">
        <f>STRAT8_IND4</f>
        <v>Objetivo estratégico 8 Indicador 4</v>
      </c>
      <c r="H65" s="260" t="str">
        <f ca="1">OFFSET(Variables_Lu!$D$10,Basic_Setup!H79,0)</f>
        <v>Nutrition-specific</v>
      </c>
      <c r="I65" s="67">
        <f>SUM(J65:N65)</f>
        <v>0</v>
      </c>
      <c r="J65" s="61"/>
      <c r="K65" s="61"/>
      <c r="L65" s="61"/>
      <c r="M65" s="61"/>
      <c r="N65" s="61"/>
    </row>
    <row r="66" spans="6:14" ht="12" x14ac:dyDescent="0.2">
      <c r="F66" s="448"/>
      <c r="G66" s="41" t="str">
        <f>STRAT8_IND5</f>
        <v>Objetivo estratégico 8 Indicador 5</v>
      </c>
      <c r="H66" s="260" t="str">
        <f ca="1">OFFSET(Variables_Lu!$D$10,Basic_Setup!H80,0)</f>
        <v>Nutrition-specific</v>
      </c>
      <c r="I66" s="67">
        <f>SUM(J66:N66)</f>
        <v>0</v>
      </c>
      <c r="J66" s="61"/>
      <c r="K66" s="61"/>
      <c r="L66" s="61"/>
      <c r="M66" s="61"/>
      <c r="N66" s="61"/>
    </row>
    <row r="67" spans="6:14" ht="12" x14ac:dyDescent="0.2">
      <c r="H67" s="152" t="s">
        <v>161</v>
      </c>
      <c r="I67" s="250">
        <f t="shared" ref="I67" si="17">SUM(I62:I66)</f>
        <v>0</v>
      </c>
      <c r="J67" s="64">
        <f t="shared" ref="J67:N67" si="18">SUM(J62:J66)</f>
        <v>0</v>
      </c>
      <c r="K67" s="64">
        <f t="shared" si="18"/>
        <v>0</v>
      </c>
      <c r="L67" s="64">
        <f t="shared" si="18"/>
        <v>0</v>
      </c>
      <c r="M67" s="64">
        <f t="shared" si="18"/>
        <v>0</v>
      </c>
      <c r="N67" s="64">
        <f t="shared" si="18"/>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67">
        <f>SUM(J68:N68)</f>
        <v>0</v>
      </c>
      <c r="J68" s="61"/>
      <c r="K68" s="61"/>
      <c r="L68" s="61"/>
      <c r="M68" s="61"/>
      <c r="N68" s="61"/>
    </row>
    <row r="69" spans="6:14" ht="12" x14ac:dyDescent="0.2">
      <c r="F69" s="447"/>
      <c r="G69" s="42" t="str">
        <f>STRAT9_IND2</f>
        <v>Objetivo estratégico 9 Indicador 2</v>
      </c>
      <c r="H69" s="260" t="str">
        <f ca="1">OFFSET(Variables_Lu!$D$10,Basic_Setup!H83,0)</f>
        <v>Nutrition-specific</v>
      </c>
      <c r="I69" s="67">
        <f>SUM(J69:N69)</f>
        <v>0</v>
      </c>
      <c r="J69" s="61"/>
      <c r="K69" s="61"/>
      <c r="L69" s="61"/>
      <c r="M69" s="61"/>
      <c r="N69" s="61"/>
    </row>
    <row r="70" spans="6:14" ht="12" x14ac:dyDescent="0.2">
      <c r="F70" s="447"/>
      <c r="G70" s="42" t="str">
        <f>STRAT9_IND3</f>
        <v>Objetivo estratégico 9 Indicador 3</v>
      </c>
      <c r="H70" s="260" t="str">
        <f ca="1">OFFSET(Variables_Lu!$D$10,Basic_Setup!H84,0)</f>
        <v>Nutrition-specific</v>
      </c>
      <c r="I70" s="67">
        <f>SUM(J70:N70)</f>
        <v>0</v>
      </c>
      <c r="J70" s="61"/>
      <c r="K70" s="61"/>
      <c r="L70" s="61"/>
      <c r="M70" s="61"/>
      <c r="N70" s="61"/>
    </row>
    <row r="71" spans="6:14" ht="12" x14ac:dyDescent="0.2">
      <c r="F71" s="447"/>
      <c r="G71" s="41" t="str">
        <f>STRAT9_IND4</f>
        <v>Objetivo estratégico 9 Indicador 4</v>
      </c>
      <c r="H71" s="260" t="str">
        <f ca="1">OFFSET(Variables_Lu!$D$10,Basic_Setup!H85,0)</f>
        <v>Nutrition-specific</v>
      </c>
      <c r="I71" s="67">
        <f>SUM(J71:N71)</f>
        <v>0</v>
      </c>
      <c r="J71" s="61"/>
      <c r="K71" s="61"/>
      <c r="L71" s="61"/>
      <c r="M71" s="61"/>
      <c r="N71" s="61"/>
    </row>
    <row r="72" spans="6:14" ht="12" x14ac:dyDescent="0.2">
      <c r="F72" s="448"/>
      <c r="G72" s="41" t="str">
        <f>STRAT9_IND5</f>
        <v>Objetivo estratégico 9 Indicador 5</v>
      </c>
      <c r="H72" s="260" t="str">
        <f ca="1">OFFSET(Variables_Lu!$D$10,Basic_Setup!H86,0)</f>
        <v>Nutrition-specific</v>
      </c>
      <c r="I72" s="67">
        <f>SUM(J72:N72)</f>
        <v>0</v>
      </c>
      <c r="J72" s="61"/>
      <c r="K72" s="61"/>
      <c r="L72" s="61"/>
      <c r="M72" s="61"/>
      <c r="N72" s="61"/>
    </row>
    <row r="73" spans="6:14" ht="12" x14ac:dyDescent="0.2">
      <c r="H73" s="152" t="s">
        <v>162</v>
      </c>
      <c r="I73" s="250">
        <f t="shared" ref="I73" si="19">SUM(I68:I72)</f>
        <v>0</v>
      </c>
      <c r="J73" s="64">
        <f t="shared" ref="J73:N73" si="20">SUM(J68:J72)</f>
        <v>0</v>
      </c>
      <c r="K73" s="64">
        <f t="shared" si="20"/>
        <v>0</v>
      </c>
      <c r="L73" s="64">
        <f t="shared" si="20"/>
        <v>0</v>
      </c>
      <c r="M73" s="64">
        <f t="shared" si="20"/>
        <v>0</v>
      </c>
      <c r="N73" s="64">
        <f t="shared" si="20"/>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67">
        <f>SUM(J74:N74)</f>
        <v>0</v>
      </c>
      <c r="J74" s="61"/>
      <c r="K74" s="61"/>
      <c r="L74" s="61"/>
      <c r="M74" s="61"/>
      <c r="N74" s="61"/>
    </row>
    <row r="75" spans="6:14" ht="12" x14ac:dyDescent="0.2">
      <c r="F75" s="447"/>
      <c r="G75" s="42" t="str">
        <f>STRAT10_IND2</f>
        <v>Objetivo estratégico 10 Indicador 2</v>
      </c>
      <c r="H75" s="260" t="str">
        <f ca="1">OFFSET(Variables_Lu!$D$10,Basic_Setup!H89,0)</f>
        <v>Nutrition-specific</v>
      </c>
      <c r="I75" s="67">
        <f>SUM(J75:N75)</f>
        <v>0</v>
      </c>
      <c r="J75" s="61"/>
      <c r="K75" s="61"/>
      <c r="L75" s="61"/>
      <c r="M75" s="61"/>
      <c r="N75" s="61"/>
    </row>
    <row r="76" spans="6:14" ht="12" x14ac:dyDescent="0.2">
      <c r="F76" s="447"/>
      <c r="G76" s="42" t="str">
        <f>STRAT10_IND3</f>
        <v>Objetivo estratégico 10 Indicador 3</v>
      </c>
      <c r="H76" s="260" t="str">
        <f ca="1">OFFSET(Variables_Lu!$D$10,Basic_Setup!H90,0)</f>
        <v>Nutrition-specific</v>
      </c>
      <c r="I76" s="67">
        <f>SUM(J76:N76)</f>
        <v>0</v>
      </c>
      <c r="J76" s="61"/>
      <c r="K76" s="61"/>
      <c r="L76" s="61"/>
      <c r="M76" s="61"/>
      <c r="N76" s="61"/>
    </row>
    <row r="77" spans="6:14" ht="11.25" customHeight="1" x14ac:dyDescent="0.2">
      <c r="F77" s="447"/>
      <c r="G77" s="41" t="str">
        <f>STRAT10_IND4</f>
        <v>Objetivo estratégico 10 Indicador 4</v>
      </c>
      <c r="H77" s="260" t="str">
        <f ca="1">OFFSET(Variables_Lu!$D$10,Basic_Setup!H91,0)</f>
        <v>Nutrition-specific</v>
      </c>
      <c r="I77" s="67">
        <f>SUM(J77:N77)</f>
        <v>0</v>
      </c>
      <c r="J77" s="61"/>
      <c r="K77" s="61"/>
      <c r="L77" s="61"/>
      <c r="M77" s="61"/>
      <c r="N77" s="61"/>
    </row>
    <row r="78" spans="6:14" ht="11.25" customHeight="1" x14ac:dyDescent="0.2">
      <c r="F78" s="448"/>
      <c r="G78" s="41" t="str">
        <f>STRAT10_IND5</f>
        <v>Objetivo estratégico 10 Indicador 5</v>
      </c>
      <c r="H78" s="260" t="str">
        <f ca="1">OFFSET(Variables_Lu!$D$10,Basic_Setup!H92,0)</f>
        <v>Nutrition-specific</v>
      </c>
      <c r="I78" s="67">
        <f>SUM(J78:N78)</f>
        <v>0</v>
      </c>
      <c r="J78" s="61"/>
      <c r="K78" s="61"/>
      <c r="L78" s="61"/>
      <c r="M78" s="61"/>
      <c r="N78" s="61"/>
    </row>
    <row r="79" spans="6:14" ht="11.25" customHeight="1" x14ac:dyDescent="0.2">
      <c r="H79" s="152" t="s">
        <v>163</v>
      </c>
      <c r="I79" s="250">
        <f t="shared" ref="I79" si="21">SUM(I74:I78)</f>
        <v>0</v>
      </c>
      <c r="J79" s="64">
        <f t="shared" ref="J79:N79" si="22">SUM(J74:J78)</f>
        <v>0</v>
      </c>
      <c r="K79" s="64">
        <f t="shared" si="22"/>
        <v>0</v>
      </c>
      <c r="L79" s="64">
        <f t="shared" si="22"/>
        <v>0</v>
      </c>
      <c r="M79" s="64">
        <f t="shared" si="22"/>
        <v>0</v>
      </c>
      <c r="N79" s="64">
        <f t="shared" si="22"/>
        <v>0</v>
      </c>
    </row>
    <row r="80" spans="6:14" ht="11.25" customHeight="1" x14ac:dyDescent="0.2"/>
    <row r="81" spans="6:14" ht="12.6" thickBot="1" x14ac:dyDescent="0.25">
      <c r="H81" s="149" t="str">
        <f>"TOTAL - "&amp;$F$12</f>
        <v>TOTAL - [No está en uso]</v>
      </c>
      <c r="I81" s="65">
        <f t="shared" ref="I81:N81" si="23">SUM(I25,I31,I37,I43,I49,I55,I61,I67,I73,I79)</f>
        <v>0</v>
      </c>
      <c r="J81" s="65">
        <f t="shared" si="23"/>
        <v>0</v>
      </c>
      <c r="K81" s="65">
        <f t="shared" si="23"/>
        <v>0</v>
      </c>
      <c r="L81" s="65">
        <f t="shared" si="23"/>
        <v>0</v>
      </c>
      <c r="M81" s="65">
        <f t="shared" si="23"/>
        <v>0</v>
      </c>
      <c r="N81" s="65">
        <f t="shared" si="23"/>
        <v>0</v>
      </c>
    </row>
    <row r="82" spans="6:14" ht="12" x14ac:dyDescent="0.2">
      <c r="I82" s="149"/>
    </row>
    <row r="83" spans="6:14" ht="12" x14ac:dyDescent="0.2">
      <c r="F83" s="44" t="s">
        <v>171</v>
      </c>
    </row>
    <row r="84" spans="6:14" x14ac:dyDescent="0.2">
      <c r="F84" s="49" t="s">
        <v>174</v>
      </c>
    </row>
    <row r="85" spans="6:14" x14ac:dyDescent="0.2">
      <c r="F85" s="49" t="s">
        <v>175</v>
      </c>
    </row>
    <row r="86" spans="6:14" x14ac:dyDescent="0.2">
      <c r="F86" s="49"/>
    </row>
    <row r="87" spans="6:14" x14ac:dyDescent="0.2">
      <c r="F87" s="49"/>
    </row>
    <row r="90" spans="6:14" ht="12.6" thickBot="1" x14ac:dyDescent="0.25">
      <c r="F90" s="1" t="s">
        <v>411</v>
      </c>
      <c r="G90" s="1" t="s">
        <v>412</v>
      </c>
      <c r="H90" s="406" t="s">
        <v>472</v>
      </c>
      <c r="I90" s="409" t="s">
        <v>106</v>
      </c>
      <c r="J90" s="54" t="str">
        <f>CURR_LCU_ABBR</f>
        <v>GOZ</v>
      </c>
      <c r="K90" s="54" t="str">
        <f>CURR_LCU_ABBR</f>
        <v>GOZ</v>
      </c>
      <c r="L90" s="54" t="str">
        <f>CURR_LCU_ABBR</f>
        <v>GOZ</v>
      </c>
      <c r="M90" s="54" t="str">
        <f>CURR_LCU_ABBR</f>
        <v>GOZ</v>
      </c>
      <c r="N90" s="54" t="str">
        <f>CURR_LCU_ABBR</f>
        <v>GOZ</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248">
        <f t="shared" ref="I91:N101" si="24">I20*EXCHANGE_RATE</f>
        <v>0</v>
      </c>
      <c r="J91" s="220">
        <f t="shared" si="24"/>
        <v>0</v>
      </c>
      <c r="K91" s="220">
        <f t="shared" si="24"/>
        <v>0</v>
      </c>
      <c r="L91" s="220">
        <f t="shared" si="24"/>
        <v>0</v>
      </c>
      <c r="M91" s="220">
        <f t="shared" si="24"/>
        <v>0</v>
      </c>
      <c r="N91" s="220">
        <f t="shared" si="24"/>
        <v>0</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248">
        <f t="shared" si="24"/>
        <v>0</v>
      </c>
      <c r="J92" s="220">
        <f t="shared" si="24"/>
        <v>0</v>
      </c>
      <c r="K92" s="220">
        <f t="shared" si="24"/>
        <v>0</v>
      </c>
      <c r="L92" s="220">
        <f t="shared" si="24"/>
        <v>0</v>
      </c>
      <c r="M92" s="220">
        <f t="shared" si="24"/>
        <v>0</v>
      </c>
      <c r="N92" s="220">
        <f t="shared" si="24"/>
        <v>0</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248">
        <f t="shared" si="24"/>
        <v>0</v>
      </c>
      <c r="J93" s="220">
        <f t="shared" si="24"/>
        <v>0</v>
      </c>
      <c r="K93" s="220">
        <f t="shared" si="24"/>
        <v>0</v>
      </c>
      <c r="L93" s="220">
        <f t="shared" si="24"/>
        <v>0</v>
      </c>
      <c r="M93" s="220">
        <f t="shared" si="24"/>
        <v>0</v>
      </c>
      <c r="N93" s="220">
        <f t="shared" si="24"/>
        <v>0</v>
      </c>
    </row>
    <row r="94" spans="6:14" ht="22.8" x14ac:dyDescent="0.2">
      <c r="F94" s="444"/>
      <c r="G94" s="41" t="str">
        <f>STRAT1_IND4</f>
        <v>El marco legislativo y reglamentario de la nutrición se ha fortalecido y está en funcionamiento.</v>
      </c>
      <c r="H94" s="268" t="str">
        <f ca="1">OFFSET(Variables_Lu!$D$10,Basic_Setup!H37,0)</f>
        <v>Governance</v>
      </c>
      <c r="I94" s="248">
        <f t="shared" si="24"/>
        <v>0</v>
      </c>
      <c r="J94" s="220">
        <f t="shared" si="24"/>
        <v>0</v>
      </c>
      <c r="K94" s="220">
        <f t="shared" si="24"/>
        <v>0</v>
      </c>
      <c r="L94" s="220">
        <f t="shared" si="24"/>
        <v>0</v>
      </c>
      <c r="M94" s="220">
        <f t="shared" si="24"/>
        <v>0</v>
      </c>
      <c r="N94" s="220">
        <f t="shared" si="24"/>
        <v>0</v>
      </c>
    </row>
    <row r="95" spans="6:14" ht="12.6" thickBot="1" x14ac:dyDescent="0.25">
      <c r="F95" s="445"/>
      <c r="G95" s="275" t="str">
        <f>STRAT1_IND5</f>
        <v>Objetivo estratégico 1 Indicador 5</v>
      </c>
      <c r="H95" s="270" t="str">
        <f ca="1">OFFSET(Variables_Lu!$D$10,Basic_Setup!H38,0)</f>
        <v>Governance</v>
      </c>
      <c r="I95" s="248">
        <f t="shared" si="24"/>
        <v>0</v>
      </c>
      <c r="J95" s="232">
        <f t="shared" si="24"/>
        <v>0</v>
      </c>
      <c r="K95" s="232">
        <f t="shared" si="24"/>
        <v>0</v>
      </c>
      <c r="L95" s="232">
        <f t="shared" si="24"/>
        <v>0</v>
      </c>
      <c r="M95" s="232">
        <f t="shared" si="24"/>
        <v>0</v>
      </c>
      <c r="N95" s="232">
        <f t="shared" si="24"/>
        <v>0</v>
      </c>
    </row>
    <row r="96" spans="6:14" ht="12.6" thickBot="1" x14ac:dyDescent="0.25">
      <c r="F96" s="38"/>
      <c r="G96" s="38"/>
      <c r="H96" s="152" t="s">
        <v>107</v>
      </c>
      <c r="I96" s="249">
        <f t="shared" si="24"/>
        <v>0</v>
      </c>
      <c r="J96" s="221">
        <f t="shared" si="24"/>
        <v>0</v>
      </c>
      <c r="K96" s="221">
        <f t="shared" si="24"/>
        <v>0</v>
      </c>
      <c r="L96" s="221">
        <f t="shared" si="24"/>
        <v>0</v>
      </c>
      <c r="M96" s="221">
        <f t="shared" si="24"/>
        <v>0</v>
      </c>
      <c r="N96" s="221">
        <f t="shared" si="24"/>
        <v>0</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248">
        <f t="shared" si="24"/>
        <v>0</v>
      </c>
      <c r="J97" s="220">
        <f t="shared" si="24"/>
        <v>0</v>
      </c>
      <c r="K97" s="220">
        <f t="shared" si="24"/>
        <v>0</v>
      </c>
      <c r="L97" s="220">
        <f t="shared" si="24"/>
        <v>0</v>
      </c>
      <c r="M97" s="220">
        <f t="shared" si="24"/>
        <v>0</v>
      </c>
      <c r="N97" s="220">
        <f t="shared" si="24"/>
        <v>0</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248">
        <f t="shared" si="24"/>
        <v>0</v>
      </c>
      <c r="J98" s="220">
        <f t="shared" si="24"/>
        <v>0</v>
      </c>
      <c r="K98" s="220">
        <f t="shared" si="24"/>
        <v>0</v>
      </c>
      <c r="L98" s="220">
        <f t="shared" si="24"/>
        <v>0</v>
      </c>
      <c r="M98" s="220">
        <f t="shared" si="24"/>
        <v>0</v>
      </c>
      <c r="N98" s="220">
        <f t="shared" si="24"/>
        <v>0</v>
      </c>
    </row>
    <row r="99" spans="6:14" ht="22.8" x14ac:dyDescent="0.2">
      <c r="F99" s="444"/>
      <c r="G99" s="42" t="str">
        <f>STRAT2_IND3</f>
        <v>Se refuerzan las intervenciones comunitarias en materia de nutrición.</v>
      </c>
      <c r="H99" s="268" t="str">
        <f ca="1">OFFSET(Variables_Lu!$D$10,Basic_Setup!H42,0)</f>
        <v>Nutrition-specific</v>
      </c>
      <c r="I99" s="248">
        <f t="shared" si="24"/>
        <v>0</v>
      </c>
      <c r="J99" s="220">
        <f t="shared" si="24"/>
        <v>0</v>
      </c>
      <c r="K99" s="220">
        <f t="shared" si="24"/>
        <v>0</v>
      </c>
      <c r="L99" s="220">
        <f t="shared" si="24"/>
        <v>0</v>
      </c>
      <c r="M99" s="220">
        <f t="shared" si="24"/>
        <v>0</v>
      </c>
      <c r="N99" s="220">
        <f t="shared" si="24"/>
        <v>0</v>
      </c>
    </row>
    <row r="100" spans="6:14" ht="12" x14ac:dyDescent="0.2">
      <c r="F100" s="444"/>
      <c r="G100" s="41" t="str">
        <f>STRAT2_IND4</f>
        <v>Objetivo estratégico 2 Indicador 4</v>
      </c>
      <c r="H100" s="268" t="str">
        <f ca="1">OFFSET(Variables_Lu!$D$10,Basic_Setup!H43,0)</f>
        <v>Nutrition-specific</v>
      </c>
      <c r="I100" s="248">
        <f t="shared" si="24"/>
        <v>0</v>
      </c>
      <c r="J100" s="220">
        <f t="shared" si="24"/>
        <v>0</v>
      </c>
      <c r="K100" s="220">
        <f t="shared" si="24"/>
        <v>0</v>
      </c>
      <c r="L100" s="220">
        <f t="shared" si="24"/>
        <v>0</v>
      </c>
      <c r="M100" s="220">
        <f t="shared" si="24"/>
        <v>0</v>
      </c>
      <c r="N100" s="220">
        <f t="shared" si="24"/>
        <v>0</v>
      </c>
    </row>
    <row r="101" spans="6:14" ht="12.6" thickBot="1" x14ac:dyDescent="0.25">
      <c r="F101" s="445"/>
      <c r="G101" s="275" t="str">
        <f>STRAT2_IND5</f>
        <v>Objetivo estratégico 2 Indicador 5</v>
      </c>
      <c r="H101" s="270" t="str">
        <f ca="1">OFFSET(Variables_Lu!$D$10,Basic_Setup!H44,0)</f>
        <v>Nutrition-specific</v>
      </c>
      <c r="I101" s="248">
        <f t="shared" si="24"/>
        <v>0</v>
      </c>
      <c r="J101" s="232">
        <f t="shared" si="24"/>
        <v>0</v>
      </c>
      <c r="K101" s="232">
        <f t="shared" si="24"/>
        <v>0</v>
      </c>
      <c r="L101" s="232">
        <f t="shared" si="24"/>
        <v>0</v>
      </c>
      <c r="M101" s="232">
        <f t="shared" si="24"/>
        <v>0</v>
      </c>
      <c r="N101" s="232">
        <f t="shared" si="24"/>
        <v>0</v>
      </c>
    </row>
    <row r="102" spans="6:14" ht="12.6" thickBot="1" x14ac:dyDescent="0.25">
      <c r="F102" s="38"/>
      <c r="G102" s="38"/>
      <c r="H102" s="152" t="s">
        <v>108</v>
      </c>
      <c r="I102" s="249">
        <f t="shared" ref="I102:I133" si="25">I31*EXCHANGE_RATE</f>
        <v>0</v>
      </c>
      <c r="J102" s="247">
        <f>SUM(J97:J101)</f>
        <v>0</v>
      </c>
      <c r="K102" s="247">
        <f>SUM(K97:K101)</f>
        <v>0</v>
      </c>
      <c r="L102" s="247">
        <f>SUM(L97:L101)</f>
        <v>0</v>
      </c>
      <c r="M102" s="247">
        <f>SUM(M97:M101)</f>
        <v>0</v>
      </c>
      <c r="N102" s="247">
        <f>SUM(N97:N101)</f>
        <v>0</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248">
        <f t="shared" si="25"/>
        <v>0</v>
      </c>
      <c r="J103" s="220">
        <f t="shared" ref="J103:N107" si="26">J32*EXCHANGE_RATE</f>
        <v>0</v>
      </c>
      <c r="K103" s="220">
        <f t="shared" si="26"/>
        <v>0</v>
      </c>
      <c r="L103" s="220">
        <f t="shared" si="26"/>
        <v>0</v>
      </c>
      <c r="M103" s="220">
        <f t="shared" si="26"/>
        <v>0</v>
      </c>
      <c r="N103" s="220">
        <f t="shared" si="26"/>
        <v>0</v>
      </c>
    </row>
    <row r="104" spans="6:14" ht="22.8" x14ac:dyDescent="0.2">
      <c r="F104" s="444"/>
      <c r="G104" s="42" t="str">
        <f>STRAT3_IND2</f>
        <v xml:space="preserve"> La seguridad alimentaria está garantizada para toda la nación.</v>
      </c>
      <c r="H104" s="268" t="str">
        <f ca="1">OFFSET(Variables_Lu!$D$10,Basic_Setup!H47,0)</f>
        <v>Nutrition-sensitive</v>
      </c>
      <c r="I104" s="248">
        <f t="shared" si="25"/>
        <v>0</v>
      </c>
      <c r="J104" s="220">
        <f t="shared" si="26"/>
        <v>0</v>
      </c>
      <c r="K104" s="220">
        <f t="shared" si="26"/>
        <v>0</v>
      </c>
      <c r="L104" s="220">
        <f t="shared" si="26"/>
        <v>0</v>
      </c>
      <c r="M104" s="220">
        <f t="shared" si="26"/>
        <v>0</v>
      </c>
      <c r="N104" s="220">
        <f t="shared" si="26"/>
        <v>0</v>
      </c>
    </row>
    <row r="105" spans="6:14" ht="12" x14ac:dyDescent="0.2">
      <c r="F105" s="444"/>
      <c r="G105" s="42" t="str">
        <f>STRAT3_IND3</f>
        <v>Objetivo estratégico 3 Indicador 3</v>
      </c>
      <c r="H105" s="268" t="str">
        <f ca="1">OFFSET(Variables_Lu!$D$10,Basic_Setup!H48,0)</f>
        <v>Nutrition-specific</v>
      </c>
      <c r="I105" s="248">
        <f t="shared" si="25"/>
        <v>0</v>
      </c>
      <c r="J105" s="220">
        <f t="shared" si="26"/>
        <v>0</v>
      </c>
      <c r="K105" s="220">
        <f t="shared" si="26"/>
        <v>0</v>
      </c>
      <c r="L105" s="220">
        <f t="shared" si="26"/>
        <v>0</v>
      </c>
      <c r="M105" s="220">
        <f t="shared" si="26"/>
        <v>0</v>
      </c>
      <c r="N105" s="220">
        <f t="shared" si="26"/>
        <v>0</v>
      </c>
    </row>
    <row r="106" spans="6:14" ht="12" x14ac:dyDescent="0.2">
      <c r="F106" s="444"/>
      <c r="G106" s="41" t="str">
        <f>STRAT3_IND4</f>
        <v>Objetivo estratégico 3 Indicador 4</v>
      </c>
      <c r="H106" s="268" t="str">
        <f ca="1">OFFSET(Variables_Lu!$D$10,Basic_Setup!H49,0)</f>
        <v>Nutrition-specific</v>
      </c>
      <c r="I106" s="248">
        <f t="shared" si="25"/>
        <v>0</v>
      </c>
      <c r="J106" s="220">
        <f t="shared" si="26"/>
        <v>0</v>
      </c>
      <c r="K106" s="220">
        <f t="shared" si="26"/>
        <v>0</v>
      </c>
      <c r="L106" s="220">
        <f t="shared" si="26"/>
        <v>0</v>
      </c>
      <c r="M106" s="220">
        <f t="shared" si="26"/>
        <v>0</v>
      </c>
      <c r="N106" s="220">
        <f t="shared" si="26"/>
        <v>0</v>
      </c>
    </row>
    <row r="107" spans="6:14" ht="12.6" thickBot="1" x14ac:dyDescent="0.25">
      <c r="F107" s="445"/>
      <c r="G107" s="275" t="str">
        <f>STRAT3_IND5</f>
        <v>Objetivo estratégico 3 Indicador 5</v>
      </c>
      <c r="H107" s="270" t="str">
        <f ca="1">OFFSET(Variables_Lu!$D$10,Basic_Setup!H50,0)</f>
        <v>Nutrition-specific</v>
      </c>
      <c r="I107" s="248">
        <f t="shared" si="25"/>
        <v>0</v>
      </c>
      <c r="J107" s="232">
        <f t="shared" si="26"/>
        <v>0</v>
      </c>
      <c r="K107" s="232">
        <f t="shared" si="26"/>
        <v>0</v>
      </c>
      <c r="L107" s="232">
        <f t="shared" si="26"/>
        <v>0</v>
      </c>
      <c r="M107" s="232">
        <f t="shared" si="26"/>
        <v>0</v>
      </c>
      <c r="N107" s="232">
        <f t="shared" si="26"/>
        <v>0</v>
      </c>
    </row>
    <row r="108" spans="6:14" ht="12.6" thickBot="1" x14ac:dyDescent="0.25">
      <c r="H108" s="152" t="s">
        <v>109</v>
      </c>
      <c r="I108" s="249">
        <f t="shared" si="25"/>
        <v>0</v>
      </c>
      <c r="J108" s="247">
        <f>SUM(J103:J107)</f>
        <v>0</v>
      </c>
      <c r="K108" s="247">
        <f t="shared" ref="K108:N108" si="27">SUM(K103:K107)</f>
        <v>0</v>
      </c>
      <c r="L108" s="247">
        <f t="shared" si="27"/>
        <v>0</v>
      </c>
      <c r="M108" s="247">
        <f t="shared" si="27"/>
        <v>0</v>
      </c>
      <c r="N108" s="247">
        <f t="shared" si="27"/>
        <v>0</v>
      </c>
    </row>
    <row r="109" spans="6:14" ht="22.95"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248">
        <f t="shared" si="25"/>
        <v>0</v>
      </c>
      <c r="J109" s="220">
        <f t="shared" ref="J109:N113" si="28">J38*EXCHANGE_RATE</f>
        <v>0</v>
      </c>
      <c r="K109" s="220">
        <f t="shared" si="28"/>
        <v>0</v>
      </c>
      <c r="L109" s="220">
        <f t="shared" si="28"/>
        <v>0</v>
      </c>
      <c r="M109" s="220">
        <f t="shared" si="28"/>
        <v>0</v>
      </c>
      <c r="N109" s="220">
        <f t="shared" si="28"/>
        <v>0</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248">
        <f t="shared" si="25"/>
        <v>0</v>
      </c>
      <c r="J110" s="220">
        <f t="shared" si="28"/>
        <v>0</v>
      </c>
      <c r="K110" s="220">
        <f t="shared" si="28"/>
        <v>0</v>
      </c>
      <c r="L110" s="220">
        <f t="shared" si="28"/>
        <v>0</v>
      </c>
      <c r="M110" s="220">
        <f t="shared" si="28"/>
        <v>0</v>
      </c>
      <c r="N110" s="220">
        <f t="shared" si="28"/>
        <v>0</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248">
        <f t="shared" si="25"/>
        <v>0</v>
      </c>
      <c r="J111" s="220">
        <f t="shared" si="28"/>
        <v>0</v>
      </c>
      <c r="K111" s="220">
        <f t="shared" si="28"/>
        <v>0</v>
      </c>
      <c r="L111" s="220">
        <f t="shared" si="28"/>
        <v>0</v>
      </c>
      <c r="M111" s="220">
        <f t="shared" si="28"/>
        <v>0</v>
      </c>
      <c r="N111" s="220">
        <f t="shared" si="28"/>
        <v>0</v>
      </c>
    </row>
    <row r="112" spans="6:14" ht="12" x14ac:dyDescent="0.2">
      <c r="F112" s="444"/>
      <c r="G112" s="41" t="str">
        <f>STRAT4_IND4</f>
        <v>Objetivo estratégico 4 Indicador 4</v>
      </c>
      <c r="H112" s="268" t="str">
        <f ca="1">OFFSET(Variables_Lu!$D$10,Basic_Setup!H55,0)</f>
        <v>Nutrition-specific</v>
      </c>
      <c r="I112" s="248">
        <f t="shared" si="25"/>
        <v>0</v>
      </c>
      <c r="J112" s="220">
        <f t="shared" si="28"/>
        <v>0</v>
      </c>
      <c r="K112" s="220">
        <f t="shared" si="28"/>
        <v>0</v>
      </c>
      <c r="L112" s="220">
        <f t="shared" si="28"/>
        <v>0</v>
      </c>
      <c r="M112" s="220">
        <f t="shared" si="28"/>
        <v>0</v>
      </c>
      <c r="N112" s="220">
        <f t="shared" si="28"/>
        <v>0</v>
      </c>
    </row>
    <row r="113" spans="6:14" ht="12.6" thickBot="1" x14ac:dyDescent="0.25">
      <c r="F113" s="445"/>
      <c r="G113" s="275" t="str">
        <f>STRAT4_IND5</f>
        <v>Objetivo estratégico 4 Indicador 5</v>
      </c>
      <c r="H113" s="270" t="str">
        <f ca="1">OFFSET(Variables_Lu!$D$10,Basic_Setup!H56,0)</f>
        <v>Nutrition-specific</v>
      </c>
      <c r="I113" s="248">
        <f t="shared" si="25"/>
        <v>0</v>
      </c>
      <c r="J113" s="232">
        <f t="shared" si="28"/>
        <v>0</v>
      </c>
      <c r="K113" s="232">
        <f t="shared" si="28"/>
        <v>0</v>
      </c>
      <c r="L113" s="232">
        <f t="shared" si="28"/>
        <v>0</v>
      </c>
      <c r="M113" s="232">
        <f t="shared" si="28"/>
        <v>0</v>
      </c>
      <c r="N113" s="232">
        <f t="shared" si="28"/>
        <v>0</v>
      </c>
    </row>
    <row r="114" spans="6:14" ht="12.6" thickBot="1" x14ac:dyDescent="0.25">
      <c r="H114" s="152" t="s">
        <v>110</v>
      </c>
      <c r="I114" s="249">
        <f t="shared" si="25"/>
        <v>0</v>
      </c>
      <c r="J114" s="247">
        <f>SUM(J109:J113)</f>
        <v>0</v>
      </c>
      <c r="K114" s="247">
        <f t="shared" ref="K114:N114" si="29">SUM(K109:K113)</f>
        <v>0</v>
      </c>
      <c r="L114" s="247">
        <f t="shared" si="29"/>
        <v>0</v>
      </c>
      <c r="M114" s="247">
        <f t="shared" si="29"/>
        <v>0</v>
      </c>
      <c r="N114" s="247">
        <f t="shared" si="29"/>
        <v>0</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248">
        <f t="shared" si="25"/>
        <v>0</v>
      </c>
      <c r="J115" s="220">
        <f t="shared" ref="J115:N119" si="30">J44*EXCHANGE_RATE</f>
        <v>0</v>
      </c>
      <c r="K115" s="220">
        <f t="shared" si="30"/>
        <v>0</v>
      </c>
      <c r="L115" s="220">
        <f t="shared" si="30"/>
        <v>0</v>
      </c>
      <c r="M115" s="220">
        <f t="shared" si="30"/>
        <v>0</v>
      </c>
      <c r="N115" s="220">
        <f t="shared" si="30"/>
        <v>0</v>
      </c>
    </row>
    <row r="116" spans="6:14" ht="22.8" x14ac:dyDescent="0.2">
      <c r="F116" s="444"/>
      <c r="G116" s="42" t="str">
        <f>STRAT5_IND2</f>
        <v>Se promueven dietas saludables y estilos de vida saludables para las personas.</v>
      </c>
      <c r="H116" s="268" t="str">
        <f ca="1">OFFSET(Variables_Lu!$D$10,Basic_Setup!H59,0)</f>
        <v>Nutrition-specific</v>
      </c>
      <c r="I116" s="248">
        <f t="shared" si="25"/>
        <v>0</v>
      </c>
      <c r="J116" s="220">
        <f t="shared" si="30"/>
        <v>0</v>
      </c>
      <c r="K116" s="220">
        <f t="shared" si="30"/>
        <v>0</v>
      </c>
      <c r="L116" s="220">
        <f t="shared" si="30"/>
        <v>0</v>
      </c>
      <c r="M116" s="220">
        <f t="shared" si="30"/>
        <v>0</v>
      </c>
      <c r="N116" s="220">
        <f t="shared" si="30"/>
        <v>0</v>
      </c>
    </row>
    <row r="117" spans="6:14" ht="22.8" x14ac:dyDescent="0.2">
      <c r="F117" s="444"/>
      <c r="G117" s="42" t="str">
        <f>STRAT5_IND3</f>
        <v>Se promueven las buenas prácticas WASH a nivel comunitario y doméstico</v>
      </c>
      <c r="H117" s="268" t="str">
        <f ca="1">OFFSET(Variables_Lu!$D$10,Basic_Setup!H60,0)</f>
        <v>Nutrition-sensitive</v>
      </c>
      <c r="I117" s="248">
        <f t="shared" si="25"/>
        <v>0</v>
      </c>
      <c r="J117" s="220">
        <f t="shared" si="30"/>
        <v>0</v>
      </c>
      <c r="K117" s="220">
        <f t="shared" si="30"/>
        <v>0</v>
      </c>
      <c r="L117" s="220">
        <f t="shared" si="30"/>
        <v>0</v>
      </c>
      <c r="M117" s="220">
        <f t="shared" si="30"/>
        <v>0</v>
      </c>
      <c r="N117" s="220">
        <f t="shared" si="30"/>
        <v>0</v>
      </c>
    </row>
    <row r="118" spans="6:14" ht="12" x14ac:dyDescent="0.2">
      <c r="F118" s="444"/>
      <c r="G118" s="41" t="str">
        <f>STRAT5_IND4</f>
        <v>Objetivo estratégico 5 Indicador 4</v>
      </c>
      <c r="H118" s="268" t="str">
        <f ca="1">OFFSET(Variables_Lu!$D$10,Basic_Setup!H61,0)</f>
        <v>Nutrition-specific</v>
      </c>
      <c r="I118" s="248">
        <f t="shared" si="25"/>
        <v>0</v>
      </c>
      <c r="J118" s="220">
        <f t="shared" si="30"/>
        <v>0</v>
      </c>
      <c r="K118" s="220">
        <f t="shared" si="30"/>
        <v>0</v>
      </c>
      <c r="L118" s="220">
        <f t="shared" si="30"/>
        <v>0</v>
      </c>
      <c r="M118" s="220">
        <f t="shared" si="30"/>
        <v>0</v>
      </c>
      <c r="N118" s="220">
        <f t="shared" si="30"/>
        <v>0</v>
      </c>
    </row>
    <row r="119" spans="6:14" ht="12.6" thickBot="1" x14ac:dyDescent="0.25">
      <c r="F119" s="445"/>
      <c r="G119" s="275" t="str">
        <f>STRAT5_IND5</f>
        <v>Objetivo estratégico 5 Indicador 5</v>
      </c>
      <c r="H119" s="270" t="str">
        <f ca="1">OFFSET(Variables_Lu!$D$10,Basic_Setup!H62,0)</f>
        <v>Nutrition-specific</v>
      </c>
      <c r="I119" s="248">
        <f t="shared" si="25"/>
        <v>0</v>
      </c>
      <c r="J119" s="232">
        <f t="shared" si="30"/>
        <v>0</v>
      </c>
      <c r="K119" s="232">
        <f t="shared" si="30"/>
        <v>0</v>
      </c>
      <c r="L119" s="232">
        <f t="shared" si="30"/>
        <v>0</v>
      </c>
      <c r="M119" s="232">
        <f t="shared" si="30"/>
        <v>0</v>
      </c>
      <c r="N119" s="232">
        <f t="shared" si="30"/>
        <v>0</v>
      </c>
    </row>
    <row r="120" spans="6:14" ht="12.6" thickBot="1" x14ac:dyDescent="0.25">
      <c r="H120" s="152" t="s">
        <v>111</v>
      </c>
      <c r="I120" s="249">
        <f t="shared" si="25"/>
        <v>0</v>
      </c>
      <c r="J120" s="247">
        <f>SUM(J115:J119)</f>
        <v>0</v>
      </c>
      <c r="K120" s="247">
        <f t="shared" ref="K120:N120" si="31">SUM(K115:K119)</f>
        <v>0</v>
      </c>
      <c r="L120" s="247">
        <f t="shared" si="31"/>
        <v>0</v>
      </c>
      <c r="M120" s="247">
        <f t="shared" si="31"/>
        <v>0</v>
      </c>
      <c r="N120" s="247">
        <f t="shared" si="31"/>
        <v>0</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248">
        <f t="shared" si="25"/>
        <v>0</v>
      </c>
      <c r="J121" s="220">
        <f t="shared" ref="J121:N125" si="32">J50*EXCHANGE_RATE</f>
        <v>0</v>
      </c>
      <c r="K121" s="220">
        <f t="shared" si="32"/>
        <v>0</v>
      </c>
      <c r="L121" s="220">
        <f t="shared" si="32"/>
        <v>0</v>
      </c>
      <c r="M121" s="220">
        <f t="shared" si="32"/>
        <v>0</v>
      </c>
      <c r="N121" s="220">
        <f t="shared" si="32"/>
        <v>0</v>
      </c>
    </row>
    <row r="122" spans="6:14" ht="12" x14ac:dyDescent="0.2">
      <c r="F122" s="444"/>
      <c r="G122" s="42" t="str">
        <f>STRAT6_IND2</f>
        <v>Objetivo estratégico 6 Indicador 2</v>
      </c>
      <c r="H122" s="268" t="str">
        <f ca="1">OFFSET(Variables_Lu!$D$10,Basic_Setup!H65,0)</f>
        <v>Nutrition-specific</v>
      </c>
      <c r="I122" s="248">
        <f t="shared" si="25"/>
        <v>0</v>
      </c>
      <c r="J122" s="220">
        <f t="shared" si="32"/>
        <v>0</v>
      </c>
      <c r="K122" s="220">
        <f t="shared" si="32"/>
        <v>0</v>
      </c>
      <c r="L122" s="220">
        <f t="shared" si="32"/>
        <v>0</v>
      </c>
      <c r="M122" s="220">
        <f t="shared" si="32"/>
        <v>0</v>
      </c>
      <c r="N122" s="220">
        <f t="shared" si="32"/>
        <v>0</v>
      </c>
    </row>
    <row r="123" spans="6:14" ht="12" x14ac:dyDescent="0.2">
      <c r="F123" s="444"/>
      <c r="G123" s="42" t="str">
        <f>STRAT6_IND3</f>
        <v>Objetivo estratégico 6 Indicador 3</v>
      </c>
      <c r="H123" s="268" t="str">
        <f ca="1">OFFSET(Variables_Lu!$D$10,Basic_Setup!H66,0)</f>
        <v>Nutrition-specific</v>
      </c>
      <c r="I123" s="248">
        <f t="shared" si="25"/>
        <v>0</v>
      </c>
      <c r="J123" s="220">
        <f t="shared" si="32"/>
        <v>0</v>
      </c>
      <c r="K123" s="220">
        <f t="shared" si="32"/>
        <v>0</v>
      </c>
      <c r="L123" s="220">
        <f t="shared" si="32"/>
        <v>0</v>
      </c>
      <c r="M123" s="220">
        <f t="shared" si="32"/>
        <v>0</v>
      </c>
      <c r="N123" s="220">
        <f t="shared" si="32"/>
        <v>0</v>
      </c>
    </row>
    <row r="124" spans="6:14" ht="12" x14ac:dyDescent="0.2">
      <c r="F124" s="444"/>
      <c r="G124" s="41" t="str">
        <f>STRAT6_IND4</f>
        <v>Objetivo estratégico 6 Indicador 4</v>
      </c>
      <c r="H124" s="268" t="str">
        <f ca="1">OFFSET(Variables_Lu!$D$10,Basic_Setup!H67,0)</f>
        <v>Nutrition-specific</v>
      </c>
      <c r="I124" s="248">
        <f t="shared" si="25"/>
        <v>0</v>
      </c>
      <c r="J124" s="220">
        <f t="shared" si="32"/>
        <v>0</v>
      </c>
      <c r="K124" s="220">
        <f t="shared" si="32"/>
        <v>0</v>
      </c>
      <c r="L124" s="220">
        <f t="shared" si="32"/>
        <v>0</v>
      </c>
      <c r="M124" s="220">
        <f t="shared" si="32"/>
        <v>0</v>
      </c>
      <c r="N124" s="220">
        <f t="shared" si="32"/>
        <v>0</v>
      </c>
    </row>
    <row r="125" spans="6:14" ht="12.6" thickBot="1" x14ac:dyDescent="0.25">
      <c r="F125" s="445"/>
      <c r="G125" s="275" t="str">
        <f>STRAT6_IND5</f>
        <v>Objetivo estratégico 6 Indicador 5</v>
      </c>
      <c r="H125" s="270" t="str">
        <f ca="1">OFFSET(Variables_Lu!$D$10,Basic_Setup!H68,0)</f>
        <v>Nutrition-specific</v>
      </c>
      <c r="I125" s="248">
        <f t="shared" si="25"/>
        <v>0</v>
      </c>
      <c r="J125" s="232">
        <f t="shared" si="32"/>
        <v>0</v>
      </c>
      <c r="K125" s="232">
        <f t="shared" si="32"/>
        <v>0</v>
      </c>
      <c r="L125" s="232">
        <f t="shared" si="32"/>
        <v>0</v>
      </c>
      <c r="M125" s="232">
        <f t="shared" si="32"/>
        <v>0</v>
      </c>
      <c r="N125" s="232">
        <f t="shared" si="32"/>
        <v>0</v>
      </c>
    </row>
    <row r="126" spans="6:14" ht="12.6" thickBot="1" x14ac:dyDescent="0.25">
      <c r="H126" s="152" t="s">
        <v>159</v>
      </c>
      <c r="I126" s="249">
        <f t="shared" si="25"/>
        <v>0</v>
      </c>
      <c r="J126" s="247">
        <f>SUM(J121:J125)</f>
        <v>0</v>
      </c>
      <c r="K126" s="247">
        <f>SUM(K121:K125)</f>
        <v>0</v>
      </c>
      <c r="L126" s="247">
        <f>SUM(L121:L125)</f>
        <v>0</v>
      </c>
      <c r="M126" s="247">
        <f>SUM(M121:M125)</f>
        <v>0</v>
      </c>
      <c r="N126" s="247">
        <f>SUM(N121:N125)</f>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248">
        <f t="shared" si="25"/>
        <v>0</v>
      </c>
      <c r="J127" s="220">
        <f t="shared" ref="J127:N131" si="33">J56*EXCHANGE_RATE</f>
        <v>0</v>
      </c>
      <c r="K127" s="220">
        <f t="shared" si="33"/>
        <v>0</v>
      </c>
      <c r="L127" s="220">
        <f t="shared" si="33"/>
        <v>0</v>
      </c>
      <c r="M127" s="220">
        <f t="shared" si="33"/>
        <v>0</v>
      </c>
      <c r="N127" s="220">
        <f t="shared" si="33"/>
        <v>0</v>
      </c>
    </row>
    <row r="128" spans="6:14" ht="12" x14ac:dyDescent="0.2">
      <c r="F128" s="444"/>
      <c r="G128" s="42" t="str">
        <f>STRAT7_IND2</f>
        <v>Objetivo estratégico 7 Indicador 2</v>
      </c>
      <c r="H128" s="268" t="str">
        <f ca="1">OFFSET(Variables_Lu!$D$10,Basic_Setup!H71,0)</f>
        <v>Nutrition-specific</v>
      </c>
      <c r="I128" s="248">
        <f t="shared" si="25"/>
        <v>0</v>
      </c>
      <c r="J128" s="220">
        <f t="shared" si="33"/>
        <v>0</v>
      </c>
      <c r="K128" s="220">
        <f t="shared" si="33"/>
        <v>0</v>
      </c>
      <c r="L128" s="220">
        <f t="shared" si="33"/>
        <v>0</v>
      </c>
      <c r="M128" s="220">
        <f t="shared" si="33"/>
        <v>0</v>
      </c>
      <c r="N128" s="220">
        <f t="shared" si="33"/>
        <v>0</v>
      </c>
    </row>
    <row r="129" spans="6:14" ht="12" x14ac:dyDescent="0.2">
      <c r="F129" s="444"/>
      <c r="G129" s="42" t="str">
        <f>STRAT7_IND3</f>
        <v>Objetivo estratégico 7 Indicador 3</v>
      </c>
      <c r="H129" s="268" t="str">
        <f ca="1">OFFSET(Variables_Lu!$D$10,Basic_Setup!H72,0)</f>
        <v>Nutrition-specific</v>
      </c>
      <c r="I129" s="248">
        <f t="shared" si="25"/>
        <v>0</v>
      </c>
      <c r="J129" s="220">
        <f t="shared" si="33"/>
        <v>0</v>
      </c>
      <c r="K129" s="220">
        <f t="shared" si="33"/>
        <v>0</v>
      </c>
      <c r="L129" s="220">
        <f t="shared" si="33"/>
        <v>0</v>
      </c>
      <c r="M129" s="220">
        <f t="shared" si="33"/>
        <v>0</v>
      </c>
      <c r="N129" s="220">
        <f t="shared" si="33"/>
        <v>0</v>
      </c>
    </row>
    <row r="130" spans="6:14" ht="12" x14ac:dyDescent="0.2">
      <c r="F130" s="444"/>
      <c r="G130" s="41" t="str">
        <f>STRAT7_IND4</f>
        <v>Objetivo estratégico 7 Indicador 4</v>
      </c>
      <c r="H130" s="268" t="str">
        <f ca="1">OFFSET(Variables_Lu!$D$10,Basic_Setup!H73,0)</f>
        <v>Nutrition-specific</v>
      </c>
      <c r="I130" s="248">
        <f t="shared" si="25"/>
        <v>0</v>
      </c>
      <c r="J130" s="220">
        <f t="shared" si="33"/>
        <v>0</v>
      </c>
      <c r="K130" s="220">
        <f t="shared" si="33"/>
        <v>0</v>
      </c>
      <c r="L130" s="220">
        <f t="shared" si="33"/>
        <v>0</v>
      </c>
      <c r="M130" s="220">
        <f t="shared" si="33"/>
        <v>0</v>
      </c>
      <c r="N130" s="220">
        <f t="shared" si="33"/>
        <v>0</v>
      </c>
    </row>
    <row r="131" spans="6:14" ht="12.6" thickBot="1" x14ac:dyDescent="0.25">
      <c r="F131" s="445"/>
      <c r="G131" s="275" t="str">
        <f>STRAT7_IND5</f>
        <v>Objetivo estratégico 7 Indicador 5</v>
      </c>
      <c r="H131" s="270" t="str">
        <f ca="1">OFFSET(Variables_Lu!$D$10,Basic_Setup!H74,0)</f>
        <v>Nutrition-specific</v>
      </c>
      <c r="I131" s="248">
        <f t="shared" si="25"/>
        <v>0</v>
      </c>
      <c r="J131" s="232">
        <f t="shared" si="33"/>
        <v>0</v>
      </c>
      <c r="K131" s="232">
        <f t="shared" si="33"/>
        <v>0</v>
      </c>
      <c r="L131" s="232">
        <f t="shared" si="33"/>
        <v>0</v>
      </c>
      <c r="M131" s="232">
        <f t="shared" si="33"/>
        <v>0</v>
      </c>
      <c r="N131" s="232">
        <f t="shared" si="33"/>
        <v>0</v>
      </c>
    </row>
    <row r="132" spans="6:14" ht="12.6" thickBot="1" x14ac:dyDescent="0.25">
      <c r="H132" s="152" t="s">
        <v>160</v>
      </c>
      <c r="I132" s="249">
        <f t="shared" si="25"/>
        <v>0</v>
      </c>
      <c r="J132" s="247">
        <f>SUM(J127:J131)</f>
        <v>0</v>
      </c>
      <c r="K132" s="247">
        <f>SUM(K127:K131)</f>
        <v>0</v>
      </c>
      <c r="L132" s="247">
        <f>SUM(L127:L131)</f>
        <v>0</v>
      </c>
      <c r="M132" s="247">
        <f>SUM(M127:M131)</f>
        <v>0</v>
      </c>
      <c r="N132" s="247">
        <f>SUM(N127:N131)</f>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248">
        <f t="shared" si="25"/>
        <v>0</v>
      </c>
      <c r="J133" s="220">
        <f t="shared" ref="J133:N137" si="34">J62*EXCHANGE_RATE</f>
        <v>0</v>
      </c>
      <c r="K133" s="220">
        <f t="shared" si="34"/>
        <v>0</v>
      </c>
      <c r="L133" s="220">
        <f t="shared" si="34"/>
        <v>0</v>
      </c>
      <c r="M133" s="220">
        <f t="shared" si="34"/>
        <v>0</v>
      </c>
      <c r="N133" s="220">
        <f t="shared" si="34"/>
        <v>0</v>
      </c>
    </row>
    <row r="134" spans="6:14" ht="12" x14ac:dyDescent="0.2">
      <c r="F134" s="444"/>
      <c r="G134" s="42" t="str">
        <f>STRAT8_IND2</f>
        <v>Objetivo estratégico 8 Indicador 2</v>
      </c>
      <c r="H134" s="268" t="str">
        <f ca="1">OFFSET(Variables_Lu!$D$10,Basic_Setup!H77,0)</f>
        <v>Nutrition-specific</v>
      </c>
      <c r="I134" s="248">
        <f t="shared" ref="I134:I150" si="35">I63*EXCHANGE_RATE</f>
        <v>0</v>
      </c>
      <c r="J134" s="220">
        <f t="shared" si="34"/>
        <v>0</v>
      </c>
      <c r="K134" s="220">
        <f t="shared" si="34"/>
        <v>0</v>
      </c>
      <c r="L134" s="220">
        <f t="shared" si="34"/>
        <v>0</v>
      </c>
      <c r="M134" s="220">
        <f t="shared" si="34"/>
        <v>0</v>
      </c>
      <c r="N134" s="220">
        <f t="shared" si="34"/>
        <v>0</v>
      </c>
    </row>
    <row r="135" spans="6:14" ht="12" x14ac:dyDescent="0.2">
      <c r="F135" s="444"/>
      <c r="G135" s="42" t="str">
        <f>STRAT8_IND3</f>
        <v>Objetivo estratégico 8 Indicador 3</v>
      </c>
      <c r="H135" s="268" t="str">
        <f ca="1">OFFSET(Variables_Lu!$D$10,Basic_Setup!H78,0)</f>
        <v>Nutrition-specific</v>
      </c>
      <c r="I135" s="248">
        <f t="shared" si="35"/>
        <v>0</v>
      </c>
      <c r="J135" s="220">
        <f t="shared" si="34"/>
        <v>0</v>
      </c>
      <c r="K135" s="220">
        <f t="shared" si="34"/>
        <v>0</v>
      </c>
      <c r="L135" s="220">
        <f t="shared" si="34"/>
        <v>0</v>
      </c>
      <c r="M135" s="220">
        <f t="shared" si="34"/>
        <v>0</v>
      </c>
      <c r="N135" s="220">
        <f t="shared" si="34"/>
        <v>0</v>
      </c>
    </row>
    <row r="136" spans="6:14" ht="12" x14ac:dyDescent="0.2">
      <c r="F136" s="444"/>
      <c r="G136" s="41" t="str">
        <f>STRAT8_IND4</f>
        <v>Objetivo estratégico 8 Indicador 4</v>
      </c>
      <c r="H136" s="268" t="str">
        <f ca="1">OFFSET(Variables_Lu!$D$10,Basic_Setup!H79,0)</f>
        <v>Nutrition-specific</v>
      </c>
      <c r="I136" s="248">
        <f t="shared" si="35"/>
        <v>0</v>
      </c>
      <c r="J136" s="220">
        <f t="shared" si="34"/>
        <v>0</v>
      </c>
      <c r="K136" s="220">
        <f t="shared" si="34"/>
        <v>0</v>
      </c>
      <c r="L136" s="220">
        <f t="shared" si="34"/>
        <v>0</v>
      </c>
      <c r="M136" s="220">
        <f t="shared" si="34"/>
        <v>0</v>
      </c>
      <c r="N136" s="220">
        <f t="shared" si="34"/>
        <v>0</v>
      </c>
    </row>
    <row r="137" spans="6:14" ht="12.6" thickBot="1" x14ac:dyDescent="0.25">
      <c r="F137" s="445"/>
      <c r="G137" s="275" t="str">
        <f>STRAT8_IND5</f>
        <v>Objetivo estratégico 8 Indicador 5</v>
      </c>
      <c r="H137" s="270" t="str">
        <f ca="1">OFFSET(Variables_Lu!$D$10,Basic_Setup!H80,0)</f>
        <v>Nutrition-specific</v>
      </c>
      <c r="I137" s="248">
        <f t="shared" si="35"/>
        <v>0</v>
      </c>
      <c r="J137" s="232">
        <f t="shared" si="34"/>
        <v>0</v>
      </c>
      <c r="K137" s="232">
        <f t="shared" si="34"/>
        <v>0</v>
      </c>
      <c r="L137" s="232">
        <f t="shared" si="34"/>
        <v>0</v>
      </c>
      <c r="M137" s="232">
        <f t="shared" si="34"/>
        <v>0</v>
      </c>
      <c r="N137" s="232">
        <f t="shared" si="34"/>
        <v>0</v>
      </c>
    </row>
    <row r="138" spans="6:14" ht="12.6" thickBot="1" x14ac:dyDescent="0.25">
      <c r="H138" s="152" t="s">
        <v>161</v>
      </c>
      <c r="I138" s="249">
        <f t="shared" si="35"/>
        <v>0</v>
      </c>
      <c r="J138" s="247">
        <f>SUM(J133:J137)</f>
        <v>0</v>
      </c>
      <c r="K138" s="247">
        <f>SUM(K133:K137)</f>
        <v>0</v>
      </c>
      <c r="L138" s="247">
        <f>SUM(L133:L137)</f>
        <v>0</v>
      </c>
      <c r="M138" s="247">
        <f>SUM(M133:M137)</f>
        <v>0</v>
      </c>
      <c r="N138" s="247">
        <f>SUM(N133:N137)</f>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248">
        <f t="shared" si="35"/>
        <v>0</v>
      </c>
      <c r="J139" s="220">
        <f t="shared" ref="J139:N143" si="36">J68*EXCHANGE_RATE</f>
        <v>0</v>
      </c>
      <c r="K139" s="220">
        <f t="shared" si="36"/>
        <v>0</v>
      </c>
      <c r="L139" s="220">
        <f t="shared" si="36"/>
        <v>0</v>
      </c>
      <c r="M139" s="220">
        <f t="shared" si="36"/>
        <v>0</v>
      </c>
      <c r="N139" s="220">
        <f t="shared" si="36"/>
        <v>0</v>
      </c>
    </row>
    <row r="140" spans="6:14" ht="12" x14ac:dyDescent="0.2">
      <c r="F140" s="444"/>
      <c r="G140" s="42" t="str">
        <f>STRAT9_IND2</f>
        <v>Objetivo estratégico 9 Indicador 2</v>
      </c>
      <c r="H140" s="268" t="str">
        <f ca="1">OFFSET(Variables_Lu!$D$10,Basic_Setup!H83,0)</f>
        <v>Nutrition-specific</v>
      </c>
      <c r="I140" s="248">
        <f t="shared" si="35"/>
        <v>0</v>
      </c>
      <c r="J140" s="220">
        <f t="shared" si="36"/>
        <v>0</v>
      </c>
      <c r="K140" s="220">
        <f t="shared" si="36"/>
        <v>0</v>
      </c>
      <c r="L140" s="220">
        <f t="shared" si="36"/>
        <v>0</v>
      </c>
      <c r="M140" s="220">
        <f t="shared" si="36"/>
        <v>0</v>
      </c>
      <c r="N140" s="220">
        <f t="shared" si="36"/>
        <v>0</v>
      </c>
    </row>
    <row r="141" spans="6:14" ht="12" x14ac:dyDescent="0.2">
      <c r="F141" s="444"/>
      <c r="G141" s="42" t="str">
        <f>STRAT9_IND3</f>
        <v>Objetivo estratégico 9 Indicador 3</v>
      </c>
      <c r="H141" s="268" t="str">
        <f ca="1">OFFSET(Variables_Lu!$D$10,Basic_Setup!H84,0)</f>
        <v>Nutrition-specific</v>
      </c>
      <c r="I141" s="248">
        <f t="shared" si="35"/>
        <v>0</v>
      </c>
      <c r="J141" s="220">
        <f t="shared" si="36"/>
        <v>0</v>
      </c>
      <c r="K141" s="220">
        <f t="shared" si="36"/>
        <v>0</v>
      </c>
      <c r="L141" s="220">
        <f t="shared" si="36"/>
        <v>0</v>
      </c>
      <c r="M141" s="220">
        <f t="shared" si="36"/>
        <v>0</v>
      </c>
      <c r="N141" s="220">
        <f t="shared" si="36"/>
        <v>0</v>
      </c>
    </row>
    <row r="142" spans="6:14" ht="12" x14ac:dyDescent="0.2">
      <c r="F142" s="444"/>
      <c r="G142" s="41" t="str">
        <f>STRAT9_IND4</f>
        <v>Objetivo estratégico 9 Indicador 4</v>
      </c>
      <c r="H142" s="268" t="str">
        <f ca="1">OFFSET(Variables_Lu!$D$10,Basic_Setup!H85,0)</f>
        <v>Nutrition-specific</v>
      </c>
      <c r="I142" s="248">
        <f t="shared" si="35"/>
        <v>0</v>
      </c>
      <c r="J142" s="220">
        <f t="shared" si="36"/>
        <v>0</v>
      </c>
      <c r="K142" s="220">
        <f t="shared" si="36"/>
        <v>0</v>
      </c>
      <c r="L142" s="220">
        <f t="shared" si="36"/>
        <v>0</v>
      </c>
      <c r="M142" s="220">
        <f t="shared" si="36"/>
        <v>0</v>
      </c>
      <c r="N142" s="220">
        <f t="shared" si="36"/>
        <v>0</v>
      </c>
    </row>
    <row r="143" spans="6:14" ht="12.6" thickBot="1" x14ac:dyDescent="0.25">
      <c r="F143" s="445"/>
      <c r="G143" s="275" t="str">
        <f>STRAT9_IND5</f>
        <v>Objetivo estratégico 9 Indicador 5</v>
      </c>
      <c r="H143" s="270" t="str">
        <f ca="1">OFFSET(Variables_Lu!$D$10,Basic_Setup!H86,0)</f>
        <v>Nutrition-specific</v>
      </c>
      <c r="I143" s="248">
        <f t="shared" si="35"/>
        <v>0</v>
      </c>
      <c r="J143" s="232">
        <f t="shared" si="36"/>
        <v>0</v>
      </c>
      <c r="K143" s="232">
        <f t="shared" si="36"/>
        <v>0</v>
      </c>
      <c r="L143" s="232">
        <f t="shared" si="36"/>
        <v>0</v>
      </c>
      <c r="M143" s="232">
        <f t="shared" si="36"/>
        <v>0</v>
      </c>
      <c r="N143" s="232">
        <f t="shared" si="36"/>
        <v>0</v>
      </c>
    </row>
    <row r="144" spans="6:14" ht="12.6" thickBot="1" x14ac:dyDescent="0.25">
      <c r="H144" s="152" t="s">
        <v>162</v>
      </c>
      <c r="I144" s="249">
        <f t="shared" si="35"/>
        <v>0</v>
      </c>
      <c r="J144" s="247">
        <f>SUM(J139:J143)</f>
        <v>0</v>
      </c>
      <c r="K144" s="247">
        <f>SUM(K139:K143)</f>
        <v>0</v>
      </c>
      <c r="L144" s="247">
        <f>SUM(L139:L143)</f>
        <v>0</v>
      </c>
      <c r="M144" s="247">
        <f>SUM(M139:M143)</f>
        <v>0</v>
      </c>
      <c r="N144" s="247">
        <f>SUM(N139:N143)</f>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248">
        <f t="shared" si="35"/>
        <v>0</v>
      </c>
      <c r="J145" s="220">
        <f t="shared" ref="J145:N149" si="37">J74*EXCHANGE_RATE</f>
        <v>0</v>
      </c>
      <c r="K145" s="220">
        <f t="shared" si="37"/>
        <v>0</v>
      </c>
      <c r="L145" s="220">
        <f t="shared" si="37"/>
        <v>0</v>
      </c>
      <c r="M145" s="220">
        <f t="shared" si="37"/>
        <v>0</v>
      </c>
      <c r="N145" s="220">
        <f t="shared" si="37"/>
        <v>0</v>
      </c>
    </row>
    <row r="146" spans="1:14" ht="12" x14ac:dyDescent="0.2">
      <c r="F146" s="444"/>
      <c r="G146" s="42" t="str">
        <f>STRAT10_IND2</f>
        <v>Objetivo estratégico 10 Indicador 2</v>
      </c>
      <c r="H146" s="268" t="str">
        <f ca="1">OFFSET(Variables_Lu!$D$10,Basic_Setup!H89,0)</f>
        <v>Nutrition-specific</v>
      </c>
      <c r="I146" s="248">
        <f t="shared" si="35"/>
        <v>0</v>
      </c>
      <c r="J146" s="220">
        <f t="shared" si="37"/>
        <v>0</v>
      </c>
      <c r="K146" s="220">
        <f t="shared" si="37"/>
        <v>0</v>
      </c>
      <c r="L146" s="220">
        <f t="shared" si="37"/>
        <v>0</v>
      </c>
      <c r="M146" s="220">
        <f t="shared" si="37"/>
        <v>0</v>
      </c>
      <c r="N146" s="220">
        <f t="shared" si="37"/>
        <v>0</v>
      </c>
    </row>
    <row r="147" spans="1:14" ht="12" x14ac:dyDescent="0.2">
      <c r="F147" s="444"/>
      <c r="G147" s="42" t="str">
        <f>STRAT10_IND3</f>
        <v>Objetivo estratégico 10 Indicador 3</v>
      </c>
      <c r="H147" s="268" t="str">
        <f ca="1">OFFSET(Variables_Lu!$D$10,Basic_Setup!H90,0)</f>
        <v>Nutrition-specific</v>
      </c>
      <c r="I147" s="248">
        <f t="shared" si="35"/>
        <v>0</v>
      </c>
      <c r="J147" s="220">
        <f t="shared" si="37"/>
        <v>0</v>
      </c>
      <c r="K147" s="220">
        <f t="shared" si="37"/>
        <v>0</v>
      </c>
      <c r="L147" s="220">
        <f t="shared" si="37"/>
        <v>0</v>
      </c>
      <c r="M147" s="220">
        <f t="shared" si="37"/>
        <v>0</v>
      </c>
      <c r="N147" s="220">
        <f t="shared" si="37"/>
        <v>0</v>
      </c>
    </row>
    <row r="148" spans="1:14" ht="12" x14ac:dyDescent="0.2">
      <c r="F148" s="444"/>
      <c r="G148" s="41" t="str">
        <f>STRAT10_IND4</f>
        <v>Objetivo estratégico 10 Indicador 4</v>
      </c>
      <c r="H148" s="268" t="str">
        <f ca="1">OFFSET(Variables_Lu!$D$10,Basic_Setup!H91,0)</f>
        <v>Nutrition-specific</v>
      </c>
      <c r="I148" s="248">
        <f t="shared" si="35"/>
        <v>0</v>
      </c>
      <c r="J148" s="220">
        <f t="shared" si="37"/>
        <v>0</v>
      </c>
      <c r="K148" s="220">
        <f t="shared" si="37"/>
        <v>0</v>
      </c>
      <c r="L148" s="220">
        <f t="shared" si="37"/>
        <v>0</v>
      </c>
      <c r="M148" s="220">
        <f t="shared" si="37"/>
        <v>0</v>
      </c>
      <c r="N148" s="220">
        <f t="shared" si="37"/>
        <v>0</v>
      </c>
    </row>
    <row r="149" spans="1:14" ht="12.6" thickBot="1" x14ac:dyDescent="0.25">
      <c r="F149" s="445"/>
      <c r="G149" s="275" t="str">
        <f>STRAT10_IND5</f>
        <v>Objetivo estratégico 10 Indicador 5</v>
      </c>
      <c r="H149" s="270" t="str">
        <f ca="1">OFFSET(Variables_Lu!$D$10,Basic_Setup!H92,0)</f>
        <v>Nutrition-specific</v>
      </c>
      <c r="I149" s="248">
        <f t="shared" si="35"/>
        <v>0</v>
      </c>
      <c r="J149" s="232">
        <f t="shared" si="37"/>
        <v>0</v>
      </c>
      <c r="K149" s="232">
        <f t="shared" si="37"/>
        <v>0</v>
      </c>
      <c r="L149" s="232">
        <f t="shared" si="37"/>
        <v>0</v>
      </c>
      <c r="M149" s="232">
        <f t="shared" si="37"/>
        <v>0</v>
      </c>
      <c r="N149" s="232">
        <f t="shared" si="37"/>
        <v>0</v>
      </c>
    </row>
    <row r="150" spans="1:14" ht="12" x14ac:dyDescent="0.2">
      <c r="H150" s="152" t="s">
        <v>163</v>
      </c>
      <c r="I150" s="249">
        <f t="shared" si="35"/>
        <v>0</v>
      </c>
      <c r="J150" s="247">
        <f>SUM(J145:J149)</f>
        <v>0</v>
      </c>
      <c r="K150" s="247">
        <f>SUM(K145:K149)</f>
        <v>0</v>
      </c>
      <c r="L150" s="247">
        <f>SUM(L145:L149)</f>
        <v>0</v>
      </c>
      <c r="M150" s="247">
        <f>SUM(M145:M149)</f>
        <v>0</v>
      </c>
      <c r="N150" s="247">
        <f>SUM(N145:N149)</f>
        <v>0</v>
      </c>
    </row>
    <row r="151" spans="1:14" x14ac:dyDescent="0.2">
      <c r="I151" s="231"/>
      <c r="J151" s="231"/>
      <c r="K151" s="231"/>
      <c r="L151" s="231"/>
      <c r="M151" s="231"/>
      <c r="N151" s="231"/>
    </row>
    <row r="152" spans="1:14" ht="12.6" thickBot="1" x14ac:dyDescent="0.25">
      <c r="H152" s="149" t="str">
        <f>"TOTAL - "&amp;$F$12</f>
        <v>TOTAL - [No está en uso]</v>
      </c>
      <c r="I152" s="222">
        <f t="shared" ref="I152:N152" si="38">I81*EXCHANGE_RATE</f>
        <v>0</v>
      </c>
      <c r="J152" s="222">
        <f t="shared" si="38"/>
        <v>0</v>
      </c>
      <c r="K152" s="222">
        <f t="shared" si="38"/>
        <v>0</v>
      </c>
      <c r="L152" s="222">
        <f t="shared" si="38"/>
        <v>0</v>
      </c>
      <c r="M152" s="222">
        <f t="shared" si="38"/>
        <v>0</v>
      </c>
      <c r="N152" s="222">
        <f t="shared" si="38"/>
        <v>0</v>
      </c>
    </row>
    <row r="153" spans="1:14" ht="12" x14ac:dyDescent="0.2">
      <c r="I153" s="149"/>
    </row>
    <row r="155" spans="1:14" x14ac:dyDescent="0.2">
      <c r="A155" s="39" t="s">
        <v>76</v>
      </c>
      <c r="B155" s="40" t="str">
        <f>"Summary of "&amp;Partner6&amp;" - by Result/Indicator Type"</f>
        <v>Summary of [No está en uso]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t="e">
        <f ca="1">I159/$I$162</f>
        <v>#DIV/0!</v>
      </c>
      <c r="I159" s="68">
        <f ca="1">SUM(J159:N159)</f>
        <v>0</v>
      </c>
      <c r="J159" s="325">
        <f ca="1">SUMIF($H$91:$H$149,Lu_Nutrition_Specific,J$91:J$149)</f>
        <v>0</v>
      </c>
      <c r="K159" s="325">
        <f ca="1">SUMIF($H$91:$H$149,Lu_Nutrition_Specific,K$91:K$149)</f>
        <v>0</v>
      </c>
      <c r="L159" s="325">
        <f ca="1">SUMIF($H$91:$H$149,Lu_Nutrition_Specific,L$91:L$149)</f>
        <v>0</v>
      </c>
      <c r="M159" s="325">
        <f ca="1">SUMIF($H$91:$H$149,Lu_Nutrition_Specific,M$91:M$149)</f>
        <v>0</v>
      </c>
      <c r="N159" s="325">
        <f ca="1">SUMIF($H$91:$H$149,Lu_Nutrition_Specific,N$91:N$149)</f>
        <v>0</v>
      </c>
    </row>
    <row r="160" spans="1:14" ht="12" x14ac:dyDescent="0.2">
      <c r="F160" s="38" t="str">
        <f>Lu_Nutrition_Sensitive</f>
        <v>Nutrition-sensitive</v>
      </c>
      <c r="G160" s="38"/>
      <c r="H160" s="289" t="e">
        <f t="shared" ref="H160:H161" ca="1" si="39">I160/$I$162</f>
        <v>#DIV/0!</v>
      </c>
      <c r="I160" s="69">
        <f t="shared" ref="I160:I161" ca="1" si="40">SUM(J160:N160)</f>
        <v>0</v>
      </c>
      <c r="J160" s="325">
        <f ca="1">SUMIF($H$91:$H$149,Lu_Nutrition_Sensitive,J$91:J$149)</f>
        <v>0</v>
      </c>
      <c r="K160" s="325">
        <f ca="1">SUMIF($H$91:$H$149,Lu_Nutrition_Sensitive,K$91:K$149)</f>
        <v>0</v>
      </c>
      <c r="L160" s="325">
        <f ca="1">SUMIF($H$91:$H$149,Lu_Nutrition_Sensitive,L$91:L$149)</f>
        <v>0</v>
      </c>
      <c r="M160" s="325">
        <f ca="1">SUMIF($H$91:$H$149,Lu_Nutrition_Sensitive,M$91:M$149)</f>
        <v>0</v>
      </c>
      <c r="N160" s="325">
        <f ca="1">SUMIF($H$91:$H$149,Lu_Nutrition_Sensitive,N$91:N$149)</f>
        <v>0</v>
      </c>
    </row>
    <row r="161" spans="6:14" ht="12" x14ac:dyDescent="0.2">
      <c r="F161" s="38" t="str">
        <f>Lu_Governance</f>
        <v>Governance</v>
      </c>
      <c r="G161" s="38"/>
      <c r="H161" s="289" t="e">
        <f t="shared" ca="1" si="39"/>
        <v>#DIV/0!</v>
      </c>
      <c r="I161" s="396">
        <f t="shared" ca="1" si="40"/>
        <v>0</v>
      </c>
      <c r="J161" s="325">
        <f ca="1">SUMIF($H$91:$H$149,Lu_Governance,J$91:J$149)</f>
        <v>0</v>
      </c>
      <c r="K161" s="325">
        <f ca="1">SUMIF($H$91:$H$149,Lu_Governance,K$91:K$149)</f>
        <v>0</v>
      </c>
      <c r="L161" s="325">
        <f ca="1">SUMIF($H$91:$H$149,Lu_Governance,L$91:L$149)</f>
        <v>0</v>
      </c>
      <c r="M161" s="325">
        <f ca="1">SUMIF($H$91:$H$149,Lu_Governance,M$91:M$149)</f>
        <v>0</v>
      </c>
      <c r="N161" s="325">
        <f ca="1">SUMIF($H$91:$H$149,Lu_Governance,N$91:N$149)</f>
        <v>0</v>
      </c>
    </row>
    <row r="162" spans="6:14" ht="12" x14ac:dyDescent="0.2">
      <c r="F162" s="324" t="str">
        <f>"TOTAL - "&amp;Summary_Govt_Contributions!$F$12&amp;" ("&amp;CURR_LCU_ABBR&amp;")"</f>
        <v>TOTAL - TODAS las contribuciones de las agencias gubernamentales (GOZ)</v>
      </c>
      <c r="G162" s="74"/>
      <c r="H162" s="291" t="e">
        <f ca="1">SUM(H159:H161)</f>
        <v>#DIV/0!</v>
      </c>
      <c r="I162" s="57">
        <f ca="1">SUM(J162:N162)</f>
        <v>0</v>
      </c>
      <c r="J162" s="55">
        <f ca="1">SUM(J159:J161)</f>
        <v>0</v>
      </c>
      <c r="K162" s="55">
        <f t="shared" ref="K162:N162" ca="1" si="41">SUM(K159:K161)</f>
        <v>0</v>
      </c>
      <c r="L162" s="55">
        <f t="shared" ca="1" si="41"/>
        <v>0</v>
      </c>
      <c r="M162" s="55">
        <f t="shared" ca="1" si="41"/>
        <v>0</v>
      </c>
      <c r="N162" s="55">
        <f t="shared" ca="1" si="41"/>
        <v>0</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t="e">
        <f ca="1">I166/$I$169</f>
        <v>#DIV/0!</v>
      </c>
      <c r="I166" s="404">
        <f ca="1">SUM(J166:N166)</f>
        <v>0</v>
      </c>
      <c r="J166" s="407">
        <f t="shared" ref="J166:N168" ca="1" si="42">J159/EXCHANGE_RATE</f>
        <v>0</v>
      </c>
      <c r="K166" s="407">
        <f t="shared" ca="1" si="42"/>
        <v>0</v>
      </c>
      <c r="L166" s="407">
        <f t="shared" ca="1" si="42"/>
        <v>0</v>
      </c>
      <c r="M166" s="407">
        <f t="shared" ca="1" si="42"/>
        <v>0</v>
      </c>
      <c r="N166" s="407">
        <f t="shared" ca="1" si="42"/>
        <v>0</v>
      </c>
    </row>
    <row r="167" spans="6:14" ht="12" x14ac:dyDescent="0.2">
      <c r="F167" t="str">
        <f>Lu_Nutrition_Sensitive</f>
        <v>Nutrition-sensitive</v>
      </c>
      <c r="H167" s="289" t="e">
        <f t="shared" ref="H167:H168" ca="1" si="43">I167/$I$169</f>
        <v>#DIV/0!</v>
      </c>
      <c r="I167" s="404">
        <f t="shared" ref="I167:I168" ca="1" si="44">SUM(J167:N167)</f>
        <v>0</v>
      </c>
      <c r="J167" s="407">
        <f t="shared" ca="1" si="42"/>
        <v>0</v>
      </c>
      <c r="K167" s="407">
        <f t="shared" ca="1" si="42"/>
        <v>0</v>
      </c>
      <c r="L167" s="407">
        <f t="shared" ca="1" si="42"/>
        <v>0</v>
      </c>
      <c r="M167" s="407">
        <f t="shared" ca="1" si="42"/>
        <v>0</v>
      </c>
      <c r="N167" s="407">
        <f t="shared" ca="1" si="42"/>
        <v>0</v>
      </c>
    </row>
    <row r="168" spans="6:14" ht="12" x14ac:dyDescent="0.2">
      <c r="F168" t="str">
        <f>Lu_Governance</f>
        <v>Governance</v>
      </c>
      <c r="H168" s="289" t="e">
        <f t="shared" ca="1" si="43"/>
        <v>#DIV/0!</v>
      </c>
      <c r="I168" s="404">
        <f t="shared" ca="1" si="44"/>
        <v>0</v>
      </c>
      <c r="J168" s="407">
        <f t="shared" ca="1" si="42"/>
        <v>0</v>
      </c>
      <c r="K168" s="407">
        <f t="shared" ca="1" si="42"/>
        <v>0</v>
      </c>
      <c r="L168" s="407">
        <f t="shared" ca="1" si="42"/>
        <v>0</v>
      </c>
      <c r="M168" s="407">
        <f t="shared" ca="1" si="42"/>
        <v>0</v>
      </c>
      <c r="N168" s="407">
        <f t="shared" ca="1" si="42"/>
        <v>0</v>
      </c>
    </row>
    <row r="169" spans="6:14" ht="12" x14ac:dyDescent="0.2">
      <c r="F169" s="324" t="str">
        <f>"TOTAL - "&amp;Summary_Govt_Contributions!$F$12&amp;" ("&amp;CURR_INT_ABBR&amp;")"</f>
        <v>TOTAL - TODAS las contribuciones de las agencias gubernamentales (USD)</v>
      </c>
      <c r="G169" s="74"/>
      <c r="H169" s="291" t="e">
        <f ca="1">SUM(H166:H168)</f>
        <v>#DIV/0!</v>
      </c>
      <c r="I169" s="295">
        <f ca="1">SUM(J169:N169)</f>
        <v>0</v>
      </c>
      <c r="J169" s="408">
        <f ca="1">SUM(J166:J168)</f>
        <v>0</v>
      </c>
      <c r="K169" s="408">
        <f t="shared" ref="K169:N169" ca="1" si="45">SUM(K166:K168)</f>
        <v>0</v>
      </c>
      <c r="L169" s="408">
        <f t="shared" ca="1" si="45"/>
        <v>0</v>
      </c>
      <c r="M169" s="408">
        <f t="shared" ca="1" si="45"/>
        <v>0</v>
      </c>
      <c r="N169" s="408">
        <f t="shared" ca="1" si="45"/>
        <v>0</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3 J32:N36 J26:N30 J44:N48 J50:N54 J56:N60 J62:N66 J68:N72 J74:N78 J38:N42 J103:N107 J97:N101 J91:N95 J109:N113 J115:N119 J121:N125 J127:N131 J133:N137 J139:N143 J145:N149" xr:uid="{00000000-0002-0000-1A00-000000000000}">
      <formula1>NOT(ISERROR(J20/1))</formula1>
    </dataValidation>
  </dataValidations>
  <hyperlinks>
    <hyperlink ref="A14" location="HL_Mod_Out" tooltip="Click to follow hyperlink." display="ð" xr:uid="{00000000-0004-0000-1A00-000000000000}"/>
    <hyperlink ref="B4" location="Partner5!HL_Sheet_Main_13" tooltip="Go to Previous Sheet" display="ç" xr:uid="{00000000-0004-0000-1A00-000001000000}"/>
    <hyperlink ref="C4" location="Partner7!HL_Sheet_Main_13" tooltip="Go to Next Sheet" display="è" xr:uid="{00000000-0004-0000-1A00-000002000000}"/>
    <hyperlink ref="A4" r:id="rId1" tooltip="Go to Top of Sheet" xr:uid="{00000000-0004-0000-1A00-000003000000}"/>
    <hyperlink ref="B3" location="HL_Home" tooltip="Go to Table of Contents" display="Go to Table of Contents" xr:uid="{00000000-0004-0000-1A00-000004000000}"/>
    <hyperlink ref="A155" location="HL_Mod_Out" tooltip="Click to follow hyperlink." display="ð" xr:uid="{00000000-0004-0000-1A00-000005000000}"/>
  </hyperlinks>
  <pageMargins left="0.4" right="0.4" top="0.6" bottom="1" header="0" footer="0.3"/>
  <pageSetup orientation="landscape" r:id="rId2"/>
  <headerFooter>
    <oddFooter>&amp;L&amp;F
&amp;A
Printed: &amp;T on &amp;D&amp;C&amp;",Bold"Sheet 2.r.
Page &amp;P of &amp;N</oddFooter>
  </headerFooter>
  <drawing r:id="rId3"/>
  <legacyDrawing r:id="rId4"/>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sheetPr>
  <dimension ref="A1:N169"/>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0.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Partner7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F12" s="198" t="str">
        <f>Partner7</f>
        <v>[No está en uso]</v>
      </c>
      <c r="G12" s="60">
        <v>1</v>
      </c>
    </row>
    <row r="13" spans="1:14" s="38" customFormat="1" x14ac:dyDescent="0.2">
      <c r="A13"/>
      <c r="G13"/>
    </row>
    <row r="14" spans="1:14" s="38" customFormat="1" x14ac:dyDescent="0.2">
      <c r="A14" s="39" t="s">
        <v>76</v>
      </c>
      <c r="B14" s="40" t="str">
        <f>"Planned Annual Contributions by "&amp;Partner7&amp;" - by Strategic Objective and Result/Indicator"</f>
        <v>Planned Annual Contributions by [No está en uso]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409" t="s">
        <v>106</v>
      </c>
      <c r="J19" s="54" t="str">
        <f>CURR_INT_ABBR</f>
        <v>USD</v>
      </c>
      <c r="K19" s="54" t="str">
        <f>CURR_INT_ABBR</f>
        <v>USD</v>
      </c>
      <c r="L19" s="54" t="str">
        <f>CURR_INT_ABBR</f>
        <v>USD</v>
      </c>
      <c r="M19" s="54" t="str">
        <f>CURR_INT_ABBR</f>
        <v>USD</v>
      </c>
      <c r="N19" s="54" t="str">
        <f>CURR_INT_ABBR</f>
        <v>USD</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67">
        <f>SUM(J20:N20)</f>
        <v>0</v>
      </c>
      <c r="J20" s="61"/>
      <c r="K20" s="61"/>
      <c r="L20" s="61"/>
      <c r="M20" s="61"/>
      <c r="N20" s="61"/>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67">
        <f t="shared" ref="I21:I22" si="2">SUM(J21:N21)</f>
        <v>0</v>
      </c>
      <c r="J21" s="61"/>
      <c r="K21" s="61"/>
      <c r="L21" s="61"/>
      <c r="M21" s="61"/>
      <c r="N21" s="61"/>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67">
        <f t="shared" si="2"/>
        <v>0</v>
      </c>
      <c r="J22" s="61"/>
      <c r="K22" s="61"/>
      <c r="L22" s="61"/>
      <c r="M22" s="61"/>
      <c r="N22" s="61"/>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67">
        <f>SUM(J23:N23)</f>
        <v>0</v>
      </c>
      <c r="J23" s="61"/>
      <c r="K23" s="61"/>
      <c r="L23" s="61"/>
      <c r="M23" s="61"/>
      <c r="N23" s="61"/>
    </row>
    <row r="24" spans="6:14" s="38" customFormat="1" ht="12" x14ac:dyDescent="0.2">
      <c r="F24" s="448"/>
      <c r="G24" s="41" t="str">
        <f>STRAT1_IND5</f>
        <v>Objetivo estratégico 1 Indicador 5</v>
      </c>
      <c r="H24" s="260" t="str">
        <f ca="1">OFFSET(Variables_Lu!$D$10,Basic_Setup!H38,0)</f>
        <v>Governance</v>
      </c>
      <c r="I24" s="67">
        <f>SUM(J24:N24)</f>
        <v>0</v>
      </c>
      <c r="J24" s="61"/>
      <c r="K24" s="61"/>
      <c r="L24" s="61"/>
      <c r="M24" s="61"/>
      <c r="N24" s="61"/>
    </row>
    <row r="25" spans="6:14" s="38" customFormat="1" ht="12" x14ac:dyDescent="0.2">
      <c r="H25" s="152" t="s">
        <v>107</v>
      </c>
      <c r="I25" s="250">
        <f>SUM(I20:I24)</f>
        <v>0</v>
      </c>
      <c r="J25" s="64">
        <f>SUM(J20:J24)</f>
        <v>0</v>
      </c>
      <c r="K25" s="64">
        <f t="shared" ref="K25:N25" si="3">SUM(K20:K24)</f>
        <v>0</v>
      </c>
      <c r="L25" s="64">
        <f t="shared" si="3"/>
        <v>0</v>
      </c>
      <c r="M25" s="64">
        <f t="shared" si="3"/>
        <v>0</v>
      </c>
      <c r="N25" s="64">
        <f t="shared" si="3"/>
        <v>0</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67">
        <f>SUM(J26:N26)</f>
        <v>0</v>
      </c>
      <c r="J26" s="61"/>
      <c r="K26" s="61"/>
      <c r="L26" s="61"/>
      <c r="M26" s="61"/>
      <c r="N26" s="61"/>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67">
        <f t="shared" ref="I27:I30" si="4">SUM(J27:N27)</f>
        <v>0</v>
      </c>
      <c r="J27" s="61"/>
      <c r="K27" s="61"/>
      <c r="L27" s="61"/>
      <c r="M27" s="61"/>
      <c r="N27" s="61"/>
    </row>
    <row r="28" spans="6:14" s="38" customFormat="1" ht="22.8" x14ac:dyDescent="0.2">
      <c r="F28" s="447"/>
      <c r="G28" s="42" t="str">
        <f>STRAT2_IND3</f>
        <v>Se refuerzan las intervenciones comunitarias en materia de nutrición.</v>
      </c>
      <c r="H28" s="260" t="str">
        <f ca="1">OFFSET(Variables_Lu!$D$10,Basic_Setup!H42,0)</f>
        <v>Nutrition-specific</v>
      </c>
      <c r="I28" s="67">
        <f t="shared" si="4"/>
        <v>0</v>
      </c>
      <c r="J28" s="61"/>
      <c r="K28" s="61"/>
      <c r="L28" s="61"/>
      <c r="M28" s="61"/>
      <c r="N28" s="61"/>
    </row>
    <row r="29" spans="6:14" s="38" customFormat="1" ht="12" x14ac:dyDescent="0.2">
      <c r="F29" s="447"/>
      <c r="G29" s="41" t="str">
        <f>STRAT2_IND4</f>
        <v>Objetivo estratégico 2 Indicador 4</v>
      </c>
      <c r="H29" s="260" t="str">
        <f ca="1">OFFSET(Variables_Lu!$D$10,Basic_Setup!H43,0)</f>
        <v>Nutrition-specific</v>
      </c>
      <c r="I29" s="67">
        <f t="shared" si="4"/>
        <v>0</v>
      </c>
      <c r="J29" s="61"/>
      <c r="K29" s="61"/>
      <c r="L29" s="61"/>
      <c r="M29" s="61"/>
      <c r="N29" s="61"/>
    </row>
    <row r="30" spans="6:14" s="38" customFormat="1" ht="12" x14ac:dyDescent="0.2">
      <c r="F30" s="448"/>
      <c r="G30" s="41" t="str">
        <f>STRAT2_IND5</f>
        <v>Objetivo estratégico 2 Indicador 5</v>
      </c>
      <c r="H30" s="260" t="str">
        <f ca="1">OFFSET(Variables_Lu!$D$10,Basic_Setup!H44,0)</f>
        <v>Nutrition-specific</v>
      </c>
      <c r="I30" s="67">
        <f t="shared" si="4"/>
        <v>0</v>
      </c>
      <c r="J30" s="61"/>
      <c r="K30" s="61"/>
      <c r="L30" s="61"/>
      <c r="M30" s="61"/>
      <c r="N30" s="61"/>
    </row>
    <row r="31" spans="6:14" s="38" customFormat="1" ht="12" x14ac:dyDescent="0.2">
      <c r="H31" s="152" t="s">
        <v>108</v>
      </c>
      <c r="I31" s="250">
        <f t="shared" ref="I31" si="5">SUM(I26:I30)</f>
        <v>0</v>
      </c>
      <c r="J31" s="64">
        <f t="shared" ref="J31:N31" si="6">SUM(J26:J30)</f>
        <v>0</v>
      </c>
      <c r="K31" s="64">
        <f t="shared" si="6"/>
        <v>0</v>
      </c>
      <c r="L31" s="64">
        <f t="shared" si="6"/>
        <v>0</v>
      </c>
      <c r="M31" s="64">
        <f t="shared" si="6"/>
        <v>0</v>
      </c>
      <c r="N31" s="64">
        <f t="shared" si="6"/>
        <v>0</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67">
        <f>SUM(J32:N32)</f>
        <v>0</v>
      </c>
      <c r="J32" s="61"/>
      <c r="K32" s="61"/>
      <c r="L32" s="61"/>
      <c r="M32" s="61"/>
      <c r="N32" s="61"/>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67">
        <f t="shared" ref="I33:I36" si="7">SUM(J33:N33)</f>
        <v>0</v>
      </c>
      <c r="J33" s="61"/>
      <c r="K33" s="61"/>
      <c r="L33" s="61"/>
      <c r="M33" s="61"/>
      <c r="N33" s="61"/>
    </row>
    <row r="34" spans="6:14" s="38" customFormat="1" ht="12" x14ac:dyDescent="0.2">
      <c r="F34" s="447"/>
      <c r="G34" s="42" t="str">
        <f>STRAT3_IND3</f>
        <v>Objetivo estratégico 3 Indicador 3</v>
      </c>
      <c r="H34" s="260" t="str">
        <f ca="1">OFFSET(Variables_Lu!$D$10,Basic_Setup!H48,0)</f>
        <v>Nutrition-specific</v>
      </c>
      <c r="I34" s="67">
        <f t="shared" si="7"/>
        <v>0</v>
      </c>
      <c r="J34" s="61"/>
      <c r="K34" s="61"/>
      <c r="L34" s="61"/>
      <c r="M34" s="61"/>
      <c r="N34" s="61"/>
    </row>
    <row r="35" spans="6:14" s="38" customFormat="1" ht="12" x14ac:dyDescent="0.2">
      <c r="F35" s="447"/>
      <c r="G35" s="41" t="str">
        <f>STRAT3_IND4</f>
        <v>Objetivo estratégico 3 Indicador 4</v>
      </c>
      <c r="H35" s="260" t="str">
        <f ca="1">OFFSET(Variables_Lu!$D$10,Basic_Setup!H49,0)</f>
        <v>Nutrition-specific</v>
      </c>
      <c r="I35" s="67">
        <f t="shared" si="7"/>
        <v>0</v>
      </c>
      <c r="J35" s="61"/>
      <c r="K35" s="61"/>
      <c r="L35" s="61"/>
      <c r="M35" s="61"/>
      <c r="N35" s="61"/>
    </row>
    <row r="36" spans="6:14" s="38" customFormat="1" ht="12" x14ac:dyDescent="0.2">
      <c r="F36" s="448"/>
      <c r="G36" s="41" t="str">
        <f>STRAT3_IND5</f>
        <v>Objetivo estratégico 3 Indicador 5</v>
      </c>
      <c r="H36" s="260" t="str">
        <f ca="1">OFFSET(Variables_Lu!$D$10,Basic_Setup!H50,0)</f>
        <v>Nutrition-specific</v>
      </c>
      <c r="I36" s="67">
        <f t="shared" si="7"/>
        <v>0</v>
      </c>
      <c r="J36" s="61"/>
      <c r="K36" s="61"/>
      <c r="L36" s="61"/>
      <c r="M36" s="61"/>
      <c r="N36" s="61"/>
    </row>
    <row r="37" spans="6:14" ht="12" x14ac:dyDescent="0.2">
      <c r="H37" s="152" t="s">
        <v>109</v>
      </c>
      <c r="I37" s="250">
        <f>SUM(I32:I36)</f>
        <v>0</v>
      </c>
      <c r="J37" s="64">
        <f>SUM(J32:J36)</f>
        <v>0</v>
      </c>
      <c r="K37" s="64">
        <f t="shared" ref="K37:N37" si="8">SUM(K32:K36)</f>
        <v>0</v>
      </c>
      <c r="L37" s="64">
        <f t="shared" si="8"/>
        <v>0</v>
      </c>
      <c r="M37" s="64">
        <f t="shared" si="8"/>
        <v>0</v>
      </c>
      <c r="N37" s="64">
        <f t="shared" si="8"/>
        <v>0</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67">
        <f>SUM(J38:N38)</f>
        <v>0</v>
      </c>
      <c r="J38" s="61"/>
      <c r="K38" s="61"/>
      <c r="L38" s="61"/>
      <c r="M38" s="61"/>
      <c r="N38" s="61"/>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67">
        <f t="shared" ref="I39:I42" si="9">SUM(J39:N39)</f>
        <v>0</v>
      </c>
      <c r="J39" s="61"/>
      <c r="K39" s="61"/>
      <c r="L39" s="61"/>
      <c r="M39" s="61"/>
      <c r="N39" s="61"/>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67">
        <f>SUM(J40:N40)</f>
        <v>0</v>
      </c>
      <c r="J40" s="61"/>
      <c r="K40" s="61"/>
      <c r="L40" s="61"/>
      <c r="M40" s="61"/>
      <c r="N40" s="61"/>
    </row>
    <row r="41" spans="6:14" ht="12" x14ac:dyDescent="0.2">
      <c r="F41" s="447"/>
      <c r="G41" s="41" t="str">
        <f>STRAT4_IND4</f>
        <v>Objetivo estratégico 4 Indicador 4</v>
      </c>
      <c r="H41" s="260" t="str">
        <f ca="1">OFFSET(Variables_Lu!$D$10,Basic_Setup!H55,0)</f>
        <v>Nutrition-specific</v>
      </c>
      <c r="I41" s="67">
        <f>SUM(J41:N41)</f>
        <v>0</v>
      </c>
      <c r="J41" s="61"/>
      <c r="K41" s="61"/>
      <c r="L41" s="61"/>
      <c r="M41" s="61"/>
      <c r="N41" s="61"/>
    </row>
    <row r="42" spans="6:14" ht="12" x14ac:dyDescent="0.2">
      <c r="F42" s="448"/>
      <c r="G42" s="41" t="str">
        <f>STRAT4_IND5</f>
        <v>Objetivo estratégico 4 Indicador 5</v>
      </c>
      <c r="H42" s="260" t="str">
        <f ca="1">OFFSET(Variables_Lu!$D$10,Basic_Setup!H56,0)</f>
        <v>Nutrition-specific</v>
      </c>
      <c r="I42" s="67">
        <f t="shared" si="9"/>
        <v>0</v>
      </c>
      <c r="J42" s="61"/>
      <c r="K42" s="61"/>
      <c r="L42" s="61"/>
      <c r="M42" s="61"/>
      <c r="N42" s="61"/>
    </row>
    <row r="43" spans="6:14" ht="12" x14ac:dyDescent="0.2">
      <c r="H43" s="152" t="s">
        <v>110</v>
      </c>
      <c r="I43" s="250">
        <f>SUM(I38:I42)</f>
        <v>0</v>
      </c>
      <c r="J43" s="64">
        <f>SUM(J38:J42)</f>
        <v>0</v>
      </c>
      <c r="K43" s="64">
        <f t="shared" ref="K43:N43" si="10">SUM(K38:K42)</f>
        <v>0</v>
      </c>
      <c r="L43" s="64">
        <f t="shared" si="10"/>
        <v>0</v>
      </c>
      <c r="M43" s="64">
        <f t="shared" si="10"/>
        <v>0</v>
      </c>
      <c r="N43" s="64">
        <f t="shared" si="10"/>
        <v>0</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67">
        <f>SUM(J44:N44)</f>
        <v>0</v>
      </c>
      <c r="J44" s="61"/>
      <c r="K44" s="61"/>
      <c r="L44" s="61"/>
      <c r="M44" s="61"/>
      <c r="N44" s="61"/>
    </row>
    <row r="45" spans="6:14" ht="22.8" x14ac:dyDescent="0.2">
      <c r="F45" s="447"/>
      <c r="G45" s="42" t="str">
        <f>STRAT5_IND2</f>
        <v>Se promueven dietas saludables y estilos de vida saludables para las personas.</v>
      </c>
      <c r="H45" s="260" t="str">
        <f ca="1">OFFSET(Variables_Lu!$D$10,Basic_Setup!H59,0)</f>
        <v>Nutrition-specific</v>
      </c>
      <c r="I45" s="67">
        <f t="shared" ref="I45:I48" si="11">SUM(J45:N45)</f>
        <v>0</v>
      </c>
      <c r="J45" s="61"/>
      <c r="K45" s="61"/>
      <c r="L45" s="61"/>
      <c r="M45" s="61"/>
      <c r="N45" s="61"/>
    </row>
    <row r="46" spans="6:14" ht="22.8" x14ac:dyDescent="0.2">
      <c r="F46" s="447"/>
      <c r="G46" s="42" t="str">
        <f>STRAT5_IND3</f>
        <v>Se promueven las buenas prácticas WASH a nivel comunitario y doméstico</v>
      </c>
      <c r="H46" s="260" t="str">
        <f ca="1">OFFSET(Variables_Lu!$D$10,Basic_Setup!H60,0)</f>
        <v>Nutrition-sensitive</v>
      </c>
      <c r="I46" s="67">
        <f t="shared" si="11"/>
        <v>0</v>
      </c>
      <c r="J46" s="61"/>
      <c r="K46" s="61"/>
      <c r="L46" s="61"/>
      <c r="M46" s="61"/>
      <c r="N46" s="61"/>
    </row>
    <row r="47" spans="6:14" ht="12" x14ac:dyDescent="0.2">
      <c r="F47" s="447"/>
      <c r="G47" s="41" t="str">
        <f>STRAT5_IND4</f>
        <v>Objetivo estratégico 5 Indicador 4</v>
      </c>
      <c r="H47" s="260" t="str">
        <f ca="1">OFFSET(Variables_Lu!$D$10,Basic_Setup!H61,0)</f>
        <v>Nutrition-specific</v>
      </c>
      <c r="I47" s="67">
        <f t="shared" si="11"/>
        <v>0</v>
      </c>
      <c r="J47" s="61"/>
      <c r="K47" s="61"/>
      <c r="L47" s="61"/>
      <c r="M47" s="61"/>
      <c r="N47" s="61"/>
    </row>
    <row r="48" spans="6:14" ht="12" x14ac:dyDescent="0.2">
      <c r="F48" s="448"/>
      <c r="G48" s="41" t="str">
        <f>STRAT5_IND5</f>
        <v>Objetivo estratégico 5 Indicador 5</v>
      </c>
      <c r="H48" s="260" t="str">
        <f ca="1">OFFSET(Variables_Lu!$D$10,Basic_Setup!H62,0)</f>
        <v>Nutrition-specific</v>
      </c>
      <c r="I48" s="67">
        <f t="shared" si="11"/>
        <v>0</v>
      </c>
      <c r="J48" s="61"/>
      <c r="K48" s="61"/>
      <c r="L48" s="61"/>
      <c r="M48" s="61"/>
      <c r="N48" s="61"/>
    </row>
    <row r="49" spans="6:14" ht="12" x14ac:dyDescent="0.2">
      <c r="H49" s="152" t="s">
        <v>111</v>
      </c>
      <c r="I49" s="250">
        <f>SUM(I44:I48)</f>
        <v>0</v>
      </c>
      <c r="J49" s="64">
        <f>SUM(J44:J48)</f>
        <v>0</v>
      </c>
      <c r="K49" s="64">
        <f t="shared" ref="K49:N49" si="12">SUM(K44:K48)</f>
        <v>0</v>
      </c>
      <c r="L49" s="64">
        <f t="shared" si="12"/>
        <v>0</v>
      </c>
      <c r="M49" s="64">
        <f t="shared" si="12"/>
        <v>0</v>
      </c>
      <c r="N49" s="64">
        <f t="shared" si="12"/>
        <v>0</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67">
        <f>SUM(J50:N50)</f>
        <v>0</v>
      </c>
      <c r="J50" s="61"/>
      <c r="K50" s="61"/>
      <c r="L50" s="61"/>
      <c r="M50" s="61"/>
      <c r="N50" s="61"/>
    </row>
    <row r="51" spans="6:14" ht="12" x14ac:dyDescent="0.2">
      <c r="F51" s="447"/>
      <c r="G51" s="42" t="str">
        <f>STRAT6_IND2</f>
        <v>Objetivo estratégico 6 Indicador 2</v>
      </c>
      <c r="H51" s="260" t="str">
        <f ca="1">OFFSET(Variables_Lu!$D$10,Basic_Setup!H65,0)</f>
        <v>Nutrition-specific</v>
      </c>
      <c r="I51" s="67">
        <f>SUM(J51:N51)</f>
        <v>0</v>
      </c>
      <c r="J51" s="61"/>
      <c r="K51" s="61"/>
      <c r="L51" s="61"/>
      <c r="M51" s="61"/>
      <c r="N51" s="61"/>
    </row>
    <row r="52" spans="6:14" ht="12" x14ac:dyDescent="0.2">
      <c r="F52" s="447"/>
      <c r="G52" s="42" t="str">
        <f>STRAT6_IND3</f>
        <v>Objetivo estratégico 6 Indicador 3</v>
      </c>
      <c r="H52" s="260" t="str">
        <f ca="1">OFFSET(Variables_Lu!$D$10,Basic_Setup!H66,0)</f>
        <v>Nutrition-specific</v>
      </c>
      <c r="I52" s="67">
        <f>SUM(J52:N52)</f>
        <v>0</v>
      </c>
      <c r="J52" s="61"/>
      <c r="K52" s="61"/>
      <c r="L52" s="61"/>
      <c r="M52" s="61"/>
      <c r="N52" s="61"/>
    </row>
    <row r="53" spans="6:14" ht="12" x14ac:dyDescent="0.2">
      <c r="F53" s="447"/>
      <c r="G53" s="41" t="str">
        <f>STRAT6_IND4</f>
        <v>Objetivo estratégico 6 Indicador 4</v>
      </c>
      <c r="H53" s="260" t="str">
        <f ca="1">OFFSET(Variables_Lu!$D$10,Basic_Setup!H67,0)</f>
        <v>Nutrition-specific</v>
      </c>
      <c r="I53" s="67">
        <f>SUM(J53:N53)</f>
        <v>0</v>
      </c>
      <c r="J53" s="61"/>
      <c r="K53" s="61"/>
      <c r="L53" s="61"/>
      <c r="M53" s="61"/>
      <c r="N53" s="61"/>
    </row>
    <row r="54" spans="6:14" ht="12" x14ac:dyDescent="0.2">
      <c r="F54" s="448"/>
      <c r="G54" s="41" t="str">
        <f>STRAT6_IND5</f>
        <v>Objetivo estratégico 6 Indicador 5</v>
      </c>
      <c r="H54" s="260" t="str">
        <f ca="1">OFFSET(Variables_Lu!$D$10,Basic_Setup!H68,0)</f>
        <v>Nutrition-specific</v>
      </c>
      <c r="I54" s="67">
        <f>SUM(J54:N54)</f>
        <v>0</v>
      </c>
      <c r="J54" s="61"/>
      <c r="K54" s="61"/>
      <c r="L54" s="61"/>
      <c r="M54" s="61"/>
      <c r="N54" s="61"/>
    </row>
    <row r="55" spans="6:14" ht="12" x14ac:dyDescent="0.2">
      <c r="H55" s="152" t="s">
        <v>159</v>
      </c>
      <c r="I55" s="250">
        <f t="shared" ref="I55" si="13">SUM(I50:I54)</f>
        <v>0</v>
      </c>
      <c r="J55" s="64">
        <f t="shared" ref="J55:N55" si="14">SUM(J50:J54)</f>
        <v>0</v>
      </c>
      <c r="K55" s="64">
        <f t="shared" si="14"/>
        <v>0</v>
      </c>
      <c r="L55" s="64">
        <f t="shared" si="14"/>
        <v>0</v>
      </c>
      <c r="M55" s="64">
        <f t="shared" si="14"/>
        <v>0</v>
      </c>
      <c r="N55" s="64">
        <f t="shared" si="14"/>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67">
        <f>SUM(J56:N56)</f>
        <v>0</v>
      </c>
      <c r="J56" s="61"/>
      <c r="K56" s="61"/>
      <c r="L56" s="61"/>
      <c r="M56" s="61"/>
      <c r="N56" s="61"/>
    </row>
    <row r="57" spans="6:14" ht="12" x14ac:dyDescent="0.2">
      <c r="F57" s="447"/>
      <c r="G57" s="42" t="str">
        <f>STRAT7_IND2</f>
        <v>Objetivo estratégico 7 Indicador 2</v>
      </c>
      <c r="H57" s="260" t="str">
        <f ca="1">OFFSET(Variables_Lu!$D$10,Basic_Setup!H71,0)</f>
        <v>Nutrition-specific</v>
      </c>
      <c r="I57" s="67">
        <f>SUM(J57:N57)</f>
        <v>0</v>
      </c>
      <c r="J57" s="61"/>
      <c r="K57" s="61"/>
      <c r="L57" s="61"/>
      <c r="M57" s="61"/>
      <c r="N57" s="61"/>
    </row>
    <row r="58" spans="6:14" ht="12" x14ac:dyDescent="0.2">
      <c r="F58" s="447"/>
      <c r="G58" s="42" t="str">
        <f>STRAT7_IND3</f>
        <v>Objetivo estratégico 7 Indicador 3</v>
      </c>
      <c r="H58" s="260" t="str">
        <f ca="1">OFFSET(Variables_Lu!$D$10,Basic_Setup!H72,0)</f>
        <v>Nutrition-specific</v>
      </c>
      <c r="I58" s="67">
        <f>SUM(J58:N58)</f>
        <v>0</v>
      </c>
      <c r="J58" s="61"/>
      <c r="K58" s="61"/>
      <c r="L58" s="61"/>
      <c r="M58" s="61"/>
      <c r="N58" s="61"/>
    </row>
    <row r="59" spans="6:14" ht="12" x14ac:dyDescent="0.2">
      <c r="F59" s="447"/>
      <c r="G59" s="41" t="str">
        <f>STRAT7_IND4</f>
        <v>Objetivo estratégico 7 Indicador 4</v>
      </c>
      <c r="H59" s="260" t="str">
        <f ca="1">OFFSET(Variables_Lu!$D$10,Basic_Setup!H73,0)</f>
        <v>Nutrition-specific</v>
      </c>
      <c r="I59" s="67">
        <f>SUM(J59:N59)</f>
        <v>0</v>
      </c>
      <c r="J59" s="61"/>
      <c r="K59" s="61"/>
      <c r="L59" s="61"/>
      <c r="M59" s="61"/>
      <c r="N59" s="61"/>
    </row>
    <row r="60" spans="6:14" ht="12" x14ac:dyDescent="0.2">
      <c r="F60" s="448"/>
      <c r="G60" s="41" t="str">
        <f>STRAT7_IND5</f>
        <v>Objetivo estratégico 7 Indicador 5</v>
      </c>
      <c r="H60" s="260" t="str">
        <f ca="1">OFFSET(Variables_Lu!$D$10,Basic_Setup!H74,0)</f>
        <v>Nutrition-specific</v>
      </c>
      <c r="I60" s="67">
        <f>SUM(J60:N60)</f>
        <v>0</v>
      </c>
      <c r="J60" s="61"/>
      <c r="K60" s="61"/>
      <c r="L60" s="61"/>
      <c r="M60" s="61"/>
      <c r="N60" s="61"/>
    </row>
    <row r="61" spans="6:14" ht="12" x14ac:dyDescent="0.2">
      <c r="H61" s="152" t="s">
        <v>160</v>
      </c>
      <c r="I61" s="250">
        <f t="shared" ref="I61" si="15">SUM(I56:I60)</f>
        <v>0</v>
      </c>
      <c r="J61" s="64">
        <f t="shared" ref="J61:N61" si="16">SUM(J56:J60)</f>
        <v>0</v>
      </c>
      <c r="K61" s="64">
        <f t="shared" si="16"/>
        <v>0</v>
      </c>
      <c r="L61" s="64">
        <f t="shared" si="16"/>
        <v>0</v>
      </c>
      <c r="M61" s="64">
        <f t="shared" si="16"/>
        <v>0</v>
      </c>
      <c r="N61" s="64">
        <f t="shared" si="16"/>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67">
        <f>SUM(J62:N62)</f>
        <v>0</v>
      </c>
      <c r="J62" s="61"/>
      <c r="K62" s="61"/>
      <c r="L62" s="61"/>
      <c r="M62" s="61"/>
      <c r="N62" s="61"/>
    </row>
    <row r="63" spans="6:14" ht="12" x14ac:dyDescent="0.2">
      <c r="F63" s="447"/>
      <c r="G63" s="42" t="str">
        <f>STRAT8_IND2</f>
        <v>Objetivo estratégico 8 Indicador 2</v>
      </c>
      <c r="H63" s="260" t="str">
        <f ca="1">OFFSET(Variables_Lu!$D$10,Basic_Setup!H77,0)</f>
        <v>Nutrition-specific</v>
      </c>
      <c r="I63" s="67">
        <f>SUM(J63:N63)</f>
        <v>0</v>
      </c>
      <c r="J63" s="61"/>
      <c r="K63" s="61"/>
      <c r="L63" s="61"/>
      <c r="M63" s="61"/>
      <c r="N63" s="61"/>
    </row>
    <row r="64" spans="6:14" ht="12" x14ac:dyDescent="0.2">
      <c r="F64" s="447"/>
      <c r="G64" s="42" t="str">
        <f>STRAT8_IND3</f>
        <v>Objetivo estratégico 8 Indicador 3</v>
      </c>
      <c r="H64" s="260" t="str">
        <f ca="1">OFFSET(Variables_Lu!$D$10,Basic_Setup!H78,0)</f>
        <v>Nutrition-specific</v>
      </c>
      <c r="I64" s="67">
        <f>SUM(J64:N64)</f>
        <v>0</v>
      </c>
      <c r="J64" s="61"/>
      <c r="K64" s="61"/>
      <c r="L64" s="61"/>
      <c r="M64" s="61"/>
      <c r="N64" s="61"/>
    </row>
    <row r="65" spans="6:14" ht="12" x14ac:dyDescent="0.2">
      <c r="F65" s="447"/>
      <c r="G65" s="41" t="str">
        <f>STRAT8_IND4</f>
        <v>Objetivo estratégico 8 Indicador 4</v>
      </c>
      <c r="H65" s="260" t="str">
        <f ca="1">OFFSET(Variables_Lu!$D$10,Basic_Setup!H79,0)</f>
        <v>Nutrition-specific</v>
      </c>
      <c r="I65" s="67">
        <f>SUM(J65:N65)</f>
        <v>0</v>
      </c>
      <c r="J65" s="61"/>
      <c r="K65" s="61"/>
      <c r="L65" s="61"/>
      <c r="M65" s="61"/>
      <c r="N65" s="61"/>
    </row>
    <row r="66" spans="6:14" ht="12" x14ac:dyDescent="0.2">
      <c r="F66" s="448"/>
      <c r="G66" s="41" t="str">
        <f>STRAT8_IND5</f>
        <v>Objetivo estratégico 8 Indicador 5</v>
      </c>
      <c r="H66" s="260" t="str">
        <f ca="1">OFFSET(Variables_Lu!$D$10,Basic_Setup!H80,0)</f>
        <v>Nutrition-specific</v>
      </c>
      <c r="I66" s="67">
        <f>SUM(J66:N66)</f>
        <v>0</v>
      </c>
      <c r="J66" s="61"/>
      <c r="K66" s="61"/>
      <c r="L66" s="61"/>
      <c r="M66" s="61"/>
      <c r="N66" s="61"/>
    </row>
    <row r="67" spans="6:14" ht="12" x14ac:dyDescent="0.2">
      <c r="H67" s="152" t="s">
        <v>161</v>
      </c>
      <c r="I67" s="250">
        <f t="shared" ref="I67" si="17">SUM(I62:I66)</f>
        <v>0</v>
      </c>
      <c r="J67" s="64">
        <f t="shared" ref="J67:N67" si="18">SUM(J62:J66)</f>
        <v>0</v>
      </c>
      <c r="K67" s="64">
        <f t="shared" si="18"/>
        <v>0</v>
      </c>
      <c r="L67" s="64">
        <f t="shared" si="18"/>
        <v>0</v>
      </c>
      <c r="M67" s="64">
        <f t="shared" si="18"/>
        <v>0</v>
      </c>
      <c r="N67" s="64">
        <f t="shared" si="18"/>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67">
        <f>SUM(J68:N68)</f>
        <v>0</v>
      </c>
      <c r="J68" s="61"/>
      <c r="K68" s="61"/>
      <c r="L68" s="61"/>
      <c r="M68" s="61"/>
      <c r="N68" s="61"/>
    </row>
    <row r="69" spans="6:14" ht="12" x14ac:dyDescent="0.2">
      <c r="F69" s="447"/>
      <c r="G69" s="42" t="str">
        <f>STRAT9_IND2</f>
        <v>Objetivo estratégico 9 Indicador 2</v>
      </c>
      <c r="H69" s="260" t="str">
        <f ca="1">OFFSET(Variables_Lu!$D$10,Basic_Setup!H83,0)</f>
        <v>Nutrition-specific</v>
      </c>
      <c r="I69" s="67">
        <f>SUM(J69:N69)</f>
        <v>0</v>
      </c>
      <c r="J69" s="61"/>
      <c r="K69" s="61"/>
      <c r="L69" s="61"/>
      <c r="M69" s="61"/>
      <c r="N69" s="61"/>
    </row>
    <row r="70" spans="6:14" ht="12" x14ac:dyDescent="0.2">
      <c r="F70" s="447"/>
      <c r="G70" s="42" t="str">
        <f>STRAT9_IND3</f>
        <v>Objetivo estratégico 9 Indicador 3</v>
      </c>
      <c r="H70" s="260" t="str">
        <f ca="1">OFFSET(Variables_Lu!$D$10,Basic_Setup!H84,0)</f>
        <v>Nutrition-specific</v>
      </c>
      <c r="I70" s="67">
        <f>SUM(J70:N70)</f>
        <v>0</v>
      </c>
      <c r="J70" s="61"/>
      <c r="K70" s="61"/>
      <c r="L70" s="61"/>
      <c r="M70" s="61"/>
      <c r="N70" s="61"/>
    </row>
    <row r="71" spans="6:14" ht="12" x14ac:dyDescent="0.2">
      <c r="F71" s="447"/>
      <c r="G71" s="41" t="str">
        <f>STRAT9_IND4</f>
        <v>Objetivo estratégico 9 Indicador 4</v>
      </c>
      <c r="H71" s="260" t="str">
        <f ca="1">OFFSET(Variables_Lu!$D$10,Basic_Setup!H85,0)</f>
        <v>Nutrition-specific</v>
      </c>
      <c r="I71" s="67">
        <f>SUM(J71:N71)</f>
        <v>0</v>
      </c>
      <c r="J71" s="61"/>
      <c r="K71" s="61"/>
      <c r="L71" s="61"/>
      <c r="M71" s="61"/>
      <c r="N71" s="61"/>
    </row>
    <row r="72" spans="6:14" ht="12" x14ac:dyDescent="0.2">
      <c r="F72" s="448"/>
      <c r="G72" s="41" t="str">
        <f>STRAT9_IND5</f>
        <v>Objetivo estratégico 9 Indicador 5</v>
      </c>
      <c r="H72" s="260" t="str">
        <f ca="1">OFFSET(Variables_Lu!$D$10,Basic_Setup!H86,0)</f>
        <v>Nutrition-specific</v>
      </c>
      <c r="I72" s="67">
        <f>SUM(J72:N72)</f>
        <v>0</v>
      </c>
      <c r="J72" s="61"/>
      <c r="K72" s="61"/>
      <c r="L72" s="61"/>
      <c r="M72" s="61"/>
      <c r="N72" s="61"/>
    </row>
    <row r="73" spans="6:14" ht="12" x14ac:dyDescent="0.2">
      <c r="H73" s="152" t="s">
        <v>162</v>
      </c>
      <c r="I73" s="250">
        <f t="shared" ref="I73" si="19">SUM(I68:I72)</f>
        <v>0</v>
      </c>
      <c r="J73" s="64">
        <f t="shared" ref="J73:N73" si="20">SUM(J68:J72)</f>
        <v>0</v>
      </c>
      <c r="K73" s="64">
        <f t="shared" si="20"/>
        <v>0</v>
      </c>
      <c r="L73" s="64">
        <f t="shared" si="20"/>
        <v>0</v>
      </c>
      <c r="M73" s="64">
        <f t="shared" si="20"/>
        <v>0</v>
      </c>
      <c r="N73" s="64">
        <f t="shared" si="20"/>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67">
        <f>SUM(J74:N74)</f>
        <v>0</v>
      </c>
      <c r="J74" s="61"/>
      <c r="K74" s="61"/>
      <c r="L74" s="61"/>
      <c r="M74" s="61"/>
      <c r="N74" s="61"/>
    </row>
    <row r="75" spans="6:14" ht="12" x14ac:dyDescent="0.2">
      <c r="F75" s="447"/>
      <c r="G75" s="42" t="str">
        <f>STRAT10_IND2</f>
        <v>Objetivo estratégico 10 Indicador 2</v>
      </c>
      <c r="H75" s="260" t="str">
        <f ca="1">OFFSET(Variables_Lu!$D$10,Basic_Setup!H89,0)</f>
        <v>Nutrition-specific</v>
      </c>
      <c r="I75" s="67">
        <f>SUM(J75:N75)</f>
        <v>0</v>
      </c>
      <c r="J75" s="61"/>
      <c r="K75" s="61"/>
      <c r="L75" s="61"/>
      <c r="M75" s="61"/>
      <c r="N75" s="61"/>
    </row>
    <row r="76" spans="6:14" ht="12" x14ac:dyDescent="0.2">
      <c r="F76" s="447"/>
      <c r="G76" s="42" t="str">
        <f>STRAT10_IND3</f>
        <v>Objetivo estratégico 10 Indicador 3</v>
      </c>
      <c r="H76" s="260" t="str">
        <f ca="1">OFFSET(Variables_Lu!$D$10,Basic_Setup!H90,0)</f>
        <v>Nutrition-specific</v>
      </c>
      <c r="I76" s="67">
        <f>SUM(J76:N76)</f>
        <v>0</v>
      </c>
      <c r="J76" s="61"/>
      <c r="K76" s="61"/>
      <c r="L76" s="61"/>
      <c r="M76" s="61"/>
      <c r="N76" s="61"/>
    </row>
    <row r="77" spans="6:14" ht="11.25" customHeight="1" x14ac:dyDescent="0.2">
      <c r="F77" s="447"/>
      <c r="G77" s="41" t="str">
        <f>STRAT10_IND4</f>
        <v>Objetivo estratégico 10 Indicador 4</v>
      </c>
      <c r="H77" s="260" t="str">
        <f ca="1">OFFSET(Variables_Lu!$D$10,Basic_Setup!H91,0)</f>
        <v>Nutrition-specific</v>
      </c>
      <c r="I77" s="67">
        <f>SUM(J77:N77)</f>
        <v>0</v>
      </c>
      <c r="J77" s="61"/>
      <c r="K77" s="61"/>
      <c r="L77" s="61"/>
      <c r="M77" s="61"/>
      <c r="N77" s="61"/>
    </row>
    <row r="78" spans="6:14" ht="11.25" customHeight="1" x14ac:dyDescent="0.2">
      <c r="F78" s="448"/>
      <c r="G78" s="41" t="str">
        <f>STRAT10_IND5</f>
        <v>Objetivo estratégico 10 Indicador 5</v>
      </c>
      <c r="H78" s="260" t="str">
        <f ca="1">OFFSET(Variables_Lu!$D$10,Basic_Setup!H92,0)</f>
        <v>Nutrition-specific</v>
      </c>
      <c r="I78" s="67">
        <f>SUM(J78:N78)</f>
        <v>0</v>
      </c>
      <c r="J78" s="61"/>
      <c r="K78" s="61"/>
      <c r="L78" s="61"/>
      <c r="M78" s="61"/>
      <c r="N78" s="61"/>
    </row>
    <row r="79" spans="6:14" ht="11.25" customHeight="1" x14ac:dyDescent="0.2">
      <c r="H79" s="152" t="s">
        <v>163</v>
      </c>
      <c r="I79" s="250">
        <f t="shared" ref="I79" si="21">SUM(I74:I78)</f>
        <v>0</v>
      </c>
      <c r="J79" s="64">
        <f t="shared" ref="J79:N79" si="22">SUM(J74:J78)</f>
        <v>0</v>
      </c>
      <c r="K79" s="64">
        <f t="shared" si="22"/>
        <v>0</v>
      </c>
      <c r="L79" s="64">
        <f t="shared" si="22"/>
        <v>0</v>
      </c>
      <c r="M79" s="64">
        <f t="shared" si="22"/>
        <v>0</v>
      </c>
      <c r="N79" s="64">
        <f t="shared" si="22"/>
        <v>0</v>
      </c>
    </row>
    <row r="80" spans="6:14" ht="11.25" customHeight="1" x14ac:dyDescent="0.2"/>
    <row r="81" spans="6:14" ht="12.6" thickBot="1" x14ac:dyDescent="0.25">
      <c r="H81" s="149" t="str">
        <f>"TOTAL - "&amp;$F$12</f>
        <v>TOTAL - [No está en uso]</v>
      </c>
      <c r="I81" s="65">
        <f t="shared" ref="I81:N81" si="23">SUM(I25,I31,I37,I43,I49,I55,I61,I67,I73,I79)</f>
        <v>0</v>
      </c>
      <c r="J81" s="65">
        <f t="shared" si="23"/>
        <v>0</v>
      </c>
      <c r="K81" s="65">
        <f t="shared" si="23"/>
        <v>0</v>
      </c>
      <c r="L81" s="65">
        <f t="shared" si="23"/>
        <v>0</v>
      </c>
      <c r="M81" s="65">
        <f t="shared" si="23"/>
        <v>0</v>
      </c>
      <c r="N81" s="65">
        <f t="shared" si="23"/>
        <v>0</v>
      </c>
    </row>
    <row r="82" spans="6:14" ht="12" x14ac:dyDescent="0.2">
      <c r="I82" s="149"/>
    </row>
    <row r="83" spans="6:14" ht="12" x14ac:dyDescent="0.2">
      <c r="F83" s="44" t="s">
        <v>171</v>
      </c>
    </row>
    <row r="84" spans="6:14" x14ac:dyDescent="0.2">
      <c r="F84" s="49" t="s">
        <v>174</v>
      </c>
    </row>
    <row r="85" spans="6:14" x14ac:dyDescent="0.2">
      <c r="F85" s="49" t="s">
        <v>175</v>
      </c>
    </row>
    <row r="86" spans="6:14" x14ac:dyDescent="0.2">
      <c r="F86" s="49"/>
    </row>
    <row r="87" spans="6:14" x14ac:dyDescent="0.2">
      <c r="F87" s="49"/>
    </row>
    <row r="90" spans="6:14" ht="12.6" thickBot="1" x14ac:dyDescent="0.25">
      <c r="F90" s="1" t="s">
        <v>411</v>
      </c>
      <c r="G90" s="1" t="s">
        <v>412</v>
      </c>
      <c r="H90" s="406" t="s">
        <v>472</v>
      </c>
      <c r="I90" s="409" t="s">
        <v>106</v>
      </c>
      <c r="J90" s="54" t="str">
        <f>CURR_LCU_ABBR</f>
        <v>GOZ</v>
      </c>
      <c r="K90" s="54" t="str">
        <f>CURR_LCU_ABBR</f>
        <v>GOZ</v>
      </c>
      <c r="L90" s="54" t="str">
        <f>CURR_LCU_ABBR</f>
        <v>GOZ</v>
      </c>
      <c r="M90" s="54" t="str">
        <f>CURR_LCU_ABBR</f>
        <v>GOZ</v>
      </c>
      <c r="N90" s="54" t="str">
        <f>CURR_LCU_ABBR</f>
        <v>GOZ</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248">
        <f t="shared" ref="I91:N101" si="24">I20*EXCHANGE_RATE</f>
        <v>0</v>
      </c>
      <c r="J91" s="220">
        <f t="shared" si="24"/>
        <v>0</v>
      </c>
      <c r="K91" s="220">
        <f t="shared" si="24"/>
        <v>0</v>
      </c>
      <c r="L91" s="220">
        <f t="shared" si="24"/>
        <v>0</v>
      </c>
      <c r="M91" s="220">
        <f t="shared" si="24"/>
        <v>0</v>
      </c>
      <c r="N91" s="220">
        <f t="shared" si="24"/>
        <v>0</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248">
        <f t="shared" si="24"/>
        <v>0</v>
      </c>
      <c r="J92" s="220">
        <f t="shared" si="24"/>
        <v>0</v>
      </c>
      <c r="K92" s="220">
        <f t="shared" si="24"/>
        <v>0</v>
      </c>
      <c r="L92" s="220">
        <f t="shared" si="24"/>
        <v>0</v>
      </c>
      <c r="M92" s="220">
        <f t="shared" si="24"/>
        <v>0</v>
      </c>
      <c r="N92" s="220">
        <f t="shared" si="24"/>
        <v>0</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248">
        <f t="shared" si="24"/>
        <v>0</v>
      </c>
      <c r="J93" s="220">
        <f t="shared" si="24"/>
        <v>0</v>
      </c>
      <c r="K93" s="220">
        <f t="shared" si="24"/>
        <v>0</v>
      </c>
      <c r="L93" s="220">
        <f t="shared" si="24"/>
        <v>0</v>
      </c>
      <c r="M93" s="220">
        <f t="shared" si="24"/>
        <v>0</v>
      </c>
      <c r="N93" s="220">
        <f t="shared" si="24"/>
        <v>0</v>
      </c>
    </row>
    <row r="94" spans="6:14" ht="22.8" x14ac:dyDescent="0.2">
      <c r="F94" s="444"/>
      <c r="G94" s="41" t="str">
        <f>STRAT1_IND4</f>
        <v>El marco legislativo y reglamentario de la nutrición se ha fortalecido y está en funcionamiento.</v>
      </c>
      <c r="H94" s="268" t="str">
        <f ca="1">OFFSET(Variables_Lu!$D$10,Basic_Setup!H37,0)</f>
        <v>Governance</v>
      </c>
      <c r="I94" s="248">
        <f t="shared" si="24"/>
        <v>0</v>
      </c>
      <c r="J94" s="220">
        <f t="shared" si="24"/>
        <v>0</v>
      </c>
      <c r="K94" s="220">
        <f t="shared" si="24"/>
        <v>0</v>
      </c>
      <c r="L94" s="220">
        <f t="shared" si="24"/>
        <v>0</v>
      </c>
      <c r="M94" s="220">
        <f t="shared" si="24"/>
        <v>0</v>
      </c>
      <c r="N94" s="220">
        <f t="shared" si="24"/>
        <v>0</v>
      </c>
    </row>
    <row r="95" spans="6:14" ht="12.6" thickBot="1" x14ac:dyDescent="0.25">
      <c r="F95" s="445"/>
      <c r="G95" s="275" t="str">
        <f>STRAT1_IND5</f>
        <v>Objetivo estratégico 1 Indicador 5</v>
      </c>
      <c r="H95" s="270" t="str">
        <f ca="1">OFFSET(Variables_Lu!$D$10,Basic_Setup!H38,0)</f>
        <v>Governance</v>
      </c>
      <c r="I95" s="248">
        <f t="shared" si="24"/>
        <v>0</v>
      </c>
      <c r="J95" s="232">
        <f t="shared" si="24"/>
        <v>0</v>
      </c>
      <c r="K95" s="232">
        <f t="shared" si="24"/>
        <v>0</v>
      </c>
      <c r="L95" s="232">
        <f t="shared" si="24"/>
        <v>0</v>
      </c>
      <c r="M95" s="232">
        <f t="shared" si="24"/>
        <v>0</v>
      </c>
      <c r="N95" s="232">
        <f t="shared" si="24"/>
        <v>0</v>
      </c>
    </row>
    <row r="96" spans="6:14" ht="12.6" thickBot="1" x14ac:dyDescent="0.25">
      <c r="F96" s="38"/>
      <c r="G96" s="38"/>
      <c r="H96" s="152" t="s">
        <v>107</v>
      </c>
      <c r="I96" s="249">
        <f t="shared" si="24"/>
        <v>0</v>
      </c>
      <c r="J96" s="221">
        <f t="shared" si="24"/>
        <v>0</v>
      </c>
      <c r="K96" s="221">
        <f t="shared" si="24"/>
        <v>0</v>
      </c>
      <c r="L96" s="221">
        <f t="shared" si="24"/>
        <v>0</v>
      </c>
      <c r="M96" s="221">
        <f t="shared" si="24"/>
        <v>0</v>
      </c>
      <c r="N96" s="221">
        <f t="shared" si="24"/>
        <v>0</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248">
        <f t="shared" si="24"/>
        <v>0</v>
      </c>
      <c r="J97" s="220">
        <f t="shared" si="24"/>
        <v>0</v>
      </c>
      <c r="K97" s="220">
        <f t="shared" si="24"/>
        <v>0</v>
      </c>
      <c r="L97" s="220">
        <f t="shared" si="24"/>
        <v>0</v>
      </c>
      <c r="M97" s="220">
        <f t="shared" si="24"/>
        <v>0</v>
      </c>
      <c r="N97" s="220">
        <f t="shared" si="24"/>
        <v>0</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248">
        <f t="shared" si="24"/>
        <v>0</v>
      </c>
      <c r="J98" s="220">
        <f t="shared" si="24"/>
        <v>0</v>
      </c>
      <c r="K98" s="220">
        <f t="shared" si="24"/>
        <v>0</v>
      </c>
      <c r="L98" s="220">
        <f t="shared" si="24"/>
        <v>0</v>
      </c>
      <c r="M98" s="220">
        <f t="shared" si="24"/>
        <v>0</v>
      </c>
      <c r="N98" s="220">
        <f t="shared" si="24"/>
        <v>0</v>
      </c>
    </row>
    <row r="99" spans="6:14" ht="22.8" x14ac:dyDescent="0.2">
      <c r="F99" s="444"/>
      <c r="G99" s="42" t="str">
        <f>STRAT2_IND3</f>
        <v>Se refuerzan las intervenciones comunitarias en materia de nutrición.</v>
      </c>
      <c r="H99" s="268" t="str">
        <f ca="1">OFFSET(Variables_Lu!$D$10,Basic_Setup!H42,0)</f>
        <v>Nutrition-specific</v>
      </c>
      <c r="I99" s="248">
        <f t="shared" si="24"/>
        <v>0</v>
      </c>
      <c r="J99" s="220">
        <f t="shared" si="24"/>
        <v>0</v>
      </c>
      <c r="K99" s="220">
        <f t="shared" si="24"/>
        <v>0</v>
      </c>
      <c r="L99" s="220">
        <f t="shared" si="24"/>
        <v>0</v>
      </c>
      <c r="M99" s="220">
        <f t="shared" si="24"/>
        <v>0</v>
      </c>
      <c r="N99" s="220">
        <f t="shared" si="24"/>
        <v>0</v>
      </c>
    </row>
    <row r="100" spans="6:14" ht="12" x14ac:dyDescent="0.2">
      <c r="F100" s="444"/>
      <c r="G100" s="41" t="str">
        <f>STRAT2_IND4</f>
        <v>Objetivo estratégico 2 Indicador 4</v>
      </c>
      <c r="H100" s="268" t="str">
        <f ca="1">OFFSET(Variables_Lu!$D$10,Basic_Setup!H43,0)</f>
        <v>Nutrition-specific</v>
      </c>
      <c r="I100" s="248">
        <f t="shared" si="24"/>
        <v>0</v>
      </c>
      <c r="J100" s="220">
        <f t="shared" si="24"/>
        <v>0</v>
      </c>
      <c r="K100" s="220">
        <f t="shared" si="24"/>
        <v>0</v>
      </c>
      <c r="L100" s="220">
        <f t="shared" si="24"/>
        <v>0</v>
      </c>
      <c r="M100" s="220">
        <f t="shared" si="24"/>
        <v>0</v>
      </c>
      <c r="N100" s="220">
        <f t="shared" si="24"/>
        <v>0</v>
      </c>
    </row>
    <row r="101" spans="6:14" ht="12.6" thickBot="1" x14ac:dyDescent="0.25">
      <c r="F101" s="445"/>
      <c r="G101" s="275" t="str">
        <f>STRAT2_IND5</f>
        <v>Objetivo estratégico 2 Indicador 5</v>
      </c>
      <c r="H101" s="270" t="str">
        <f ca="1">OFFSET(Variables_Lu!$D$10,Basic_Setup!H44,0)</f>
        <v>Nutrition-specific</v>
      </c>
      <c r="I101" s="248">
        <f t="shared" si="24"/>
        <v>0</v>
      </c>
      <c r="J101" s="232">
        <f t="shared" si="24"/>
        <v>0</v>
      </c>
      <c r="K101" s="232">
        <f t="shared" si="24"/>
        <v>0</v>
      </c>
      <c r="L101" s="232">
        <f t="shared" si="24"/>
        <v>0</v>
      </c>
      <c r="M101" s="232">
        <f t="shared" si="24"/>
        <v>0</v>
      </c>
      <c r="N101" s="232">
        <f t="shared" si="24"/>
        <v>0</v>
      </c>
    </row>
    <row r="102" spans="6:14" ht="12.6" thickBot="1" x14ac:dyDescent="0.25">
      <c r="F102" s="38"/>
      <c r="G102" s="38"/>
      <c r="H102" s="152" t="s">
        <v>108</v>
      </c>
      <c r="I102" s="249">
        <f t="shared" ref="I102:I133" si="25">I31*EXCHANGE_RATE</f>
        <v>0</v>
      </c>
      <c r="J102" s="247">
        <f>SUM(J97:J101)</f>
        <v>0</v>
      </c>
      <c r="K102" s="247">
        <f>SUM(K97:K101)</f>
        <v>0</v>
      </c>
      <c r="L102" s="247">
        <f>SUM(L97:L101)</f>
        <v>0</v>
      </c>
      <c r="M102" s="247">
        <f>SUM(M97:M101)</f>
        <v>0</v>
      </c>
      <c r="N102" s="247">
        <f>SUM(N97:N101)</f>
        <v>0</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248">
        <f t="shared" si="25"/>
        <v>0</v>
      </c>
      <c r="J103" s="220">
        <f t="shared" ref="J103:N107" si="26">J32*EXCHANGE_RATE</f>
        <v>0</v>
      </c>
      <c r="K103" s="220">
        <f t="shared" si="26"/>
        <v>0</v>
      </c>
      <c r="L103" s="220">
        <f t="shared" si="26"/>
        <v>0</v>
      </c>
      <c r="M103" s="220">
        <f t="shared" si="26"/>
        <v>0</v>
      </c>
      <c r="N103" s="220">
        <f t="shared" si="26"/>
        <v>0</v>
      </c>
    </row>
    <row r="104" spans="6:14" ht="22.8" x14ac:dyDescent="0.2">
      <c r="F104" s="444"/>
      <c r="G104" s="42" t="str">
        <f>STRAT3_IND2</f>
        <v xml:space="preserve"> La seguridad alimentaria está garantizada para toda la nación.</v>
      </c>
      <c r="H104" s="268" t="str">
        <f ca="1">OFFSET(Variables_Lu!$D$10,Basic_Setup!H47,0)</f>
        <v>Nutrition-sensitive</v>
      </c>
      <c r="I104" s="248">
        <f t="shared" si="25"/>
        <v>0</v>
      </c>
      <c r="J104" s="220">
        <f t="shared" si="26"/>
        <v>0</v>
      </c>
      <c r="K104" s="220">
        <f t="shared" si="26"/>
        <v>0</v>
      </c>
      <c r="L104" s="220">
        <f t="shared" si="26"/>
        <v>0</v>
      </c>
      <c r="M104" s="220">
        <f t="shared" si="26"/>
        <v>0</v>
      </c>
      <c r="N104" s="220">
        <f t="shared" si="26"/>
        <v>0</v>
      </c>
    </row>
    <row r="105" spans="6:14" ht="12" x14ac:dyDescent="0.2">
      <c r="F105" s="444"/>
      <c r="G105" s="42" t="str">
        <f>STRAT3_IND3</f>
        <v>Objetivo estratégico 3 Indicador 3</v>
      </c>
      <c r="H105" s="268" t="str">
        <f ca="1">OFFSET(Variables_Lu!$D$10,Basic_Setup!H48,0)</f>
        <v>Nutrition-specific</v>
      </c>
      <c r="I105" s="248">
        <f t="shared" si="25"/>
        <v>0</v>
      </c>
      <c r="J105" s="220">
        <f t="shared" si="26"/>
        <v>0</v>
      </c>
      <c r="K105" s="220">
        <f t="shared" si="26"/>
        <v>0</v>
      </c>
      <c r="L105" s="220">
        <f t="shared" si="26"/>
        <v>0</v>
      </c>
      <c r="M105" s="220">
        <f t="shared" si="26"/>
        <v>0</v>
      </c>
      <c r="N105" s="220">
        <f t="shared" si="26"/>
        <v>0</v>
      </c>
    </row>
    <row r="106" spans="6:14" ht="12" x14ac:dyDescent="0.2">
      <c r="F106" s="444"/>
      <c r="G106" s="41" t="str">
        <f>STRAT3_IND4</f>
        <v>Objetivo estratégico 3 Indicador 4</v>
      </c>
      <c r="H106" s="268" t="str">
        <f ca="1">OFFSET(Variables_Lu!$D$10,Basic_Setup!H49,0)</f>
        <v>Nutrition-specific</v>
      </c>
      <c r="I106" s="248">
        <f t="shared" si="25"/>
        <v>0</v>
      </c>
      <c r="J106" s="220">
        <f t="shared" si="26"/>
        <v>0</v>
      </c>
      <c r="K106" s="220">
        <f t="shared" si="26"/>
        <v>0</v>
      </c>
      <c r="L106" s="220">
        <f t="shared" si="26"/>
        <v>0</v>
      </c>
      <c r="M106" s="220">
        <f t="shared" si="26"/>
        <v>0</v>
      </c>
      <c r="N106" s="220">
        <f t="shared" si="26"/>
        <v>0</v>
      </c>
    </row>
    <row r="107" spans="6:14" ht="12.6" thickBot="1" x14ac:dyDescent="0.25">
      <c r="F107" s="445"/>
      <c r="G107" s="275" t="str">
        <f>STRAT3_IND5</f>
        <v>Objetivo estratégico 3 Indicador 5</v>
      </c>
      <c r="H107" s="270" t="str">
        <f ca="1">OFFSET(Variables_Lu!$D$10,Basic_Setup!H50,0)</f>
        <v>Nutrition-specific</v>
      </c>
      <c r="I107" s="248">
        <f t="shared" si="25"/>
        <v>0</v>
      </c>
      <c r="J107" s="232">
        <f t="shared" si="26"/>
        <v>0</v>
      </c>
      <c r="K107" s="232">
        <f t="shared" si="26"/>
        <v>0</v>
      </c>
      <c r="L107" s="232">
        <f t="shared" si="26"/>
        <v>0</v>
      </c>
      <c r="M107" s="232">
        <f t="shared" si="26"/>
        <v>0</v>
      </c>
      <c r="N107" s="232">
        <f t="shared" si="26"/>
        <v>0</v>
      </c>
    </row>
    <row r="108" spans="6:14" ht="12.6" thickBot="1" x14ac:dyDescent="0.25">
      <c r="H108" s="152" t="s">
        <v>109</v>
      </c>
      <c r="I108" s="249">
        <f t="shared" si="25"/>
        <v>0</v>
      </c>
      <c r="J108" s="247">
        <f>SUM(J103:J107)</f>
        <v>0</v>
      </c>
      <c r="K108" s="247">
        <f t="shared" ref="K108:N108" si="27">SUM(K103:K107)</f>
        <v>0</v>
      </c>
      <c r="L108" s="247">
        <f t="shared" si="27"/>
        <v>0</v>
      </c>
      <c r="M108" s="247">
        <f t="shared" si="27"/>
        <v>0</v>
      </c>
      <c r="N108" s="247">
        <f t="shared" si="27"/>
        <v>0</v>
      </c>
    </row>
    <row r="109" spans="6:14" ht="22.95"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248">
        <f t="shared" si="25"/>
        <v>0</v>
      </c>
      <c r="J109" s="220">
        <f t="shared" ref="J109:N113" si="28">J38*EXCHANGE_RATE</f>
        <v>0</v>
      </c>
      <c r="K109" s="220">
        <f t="shared" si="28"/>
        <v>0</v>
      </c>
      <c r="L109" s="220">
        <f t="shared" si="28"/>
        <v>0</v>
      </c>
      <c r="M109" s="220">
        <f t="shared" si="28"/>
        <v>0</v>
      </c>
      <c r="N109" s="220">
        <f t="shared" si="28"/>
        <v>0</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248">
        <f t="shared" si="25"/>
        <v>0</v>
      </c>
      <c r="J110" s="220">
        <f t="shared" si="28"/>
        <v>0</v>
      </c>
      <c r="K110" s="220">
        <f t="shared" si="28"/>
        <v>0</v>
      </c>
      <c r="L110" s="220">
        <f t="shared" si="28"/>
        <v>0</v>
      </c>
      <c r="M110" s="220">
        <f t="shared" si="28"/>
        <v>0</v>
      </c>
      <c r="N110" s="220">
        <f t="shared" si="28"/>
        <v>0</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248">
        <f t="shared" si="25"/>
        <v>0</v>
      </c>
      <c r="J111" s="220">
        <f t="shared" si="28"/>
        <v>0</v>
      </c>
      <c r="K111" s="220">
        <f t="shared" si="28"/>
        <v>0</v>
      </c>
      <c r="L111" s="220">
        <f t="shared" si="28"/>
        <v>0</v>
      </c>
      <c r="M111" s="220">
        <f t="shared" si="28"/>
        <v>0</v>
      </c>
      <c r="N111" s="220">
        <f t="shared" si="28"/>
        <v>0</v>
      </c>
    </row>
    <row r="112" spans="6:14" ht="12" x14ac:dyDescent="0.2">
      <c r="F112" s="444"/>
      <c r="G112" s="41" t="str">
        <f>STRAT4_IND4</f>
        <v>Objetivo estratégico 4 Indicador 4</v>
      </c>
      <c r="H112" s="268" t="str">
        <f ca="1">OFFSET(Variables_Lu!$D$10,Basic_Setup!H55,0)</f>
        <v>Nutrition-specific</v>
      </c>
      <c r="I112" s="248">
        <f t="shared" si="25"/>
        <v>0</v>
      </c>
      <c r="J112" s="220">
        <f t="shared" si="28"/>
        <v>0</v>
      </c>
      <c r="K112" s="220">
        <f t="shared" si="28"/>
        <v>0</v>
      </c>
      <c r="L112" s="220">
        <f t="shared" si="28"/>
        <v>0</v>
      </c>
      <c r="M112" s="220">
        <f t="shared" si="28"/>
        <v>0</v>
      </c>
      <c r="N112" s="220">
        <f t="shared" si="28"/>
        <v>0</v>
      </c>
    </row>
    <row r="113" spans="6:14" ht="12.6" thickBot="1" x14ac:dyDescent="0.25">
      <c r="F113" s="445"/>
      <c r="G113" s="275" t="str">
        <f>STRAT4_IND5</f>
        <v>Objetivo estratégico 4 Indicador 5</v>
      </c>
      <c r="H113" s="270" t="str">
        <f ca="1">OFFSET(Variables_Lu!$D$10,Basic_Setup!H56,0)</f>
        <v>Nutrition-specific</v>
      </c>
      <c r="I113" s="248">
        <f t="shared" si="25"/>
        <v>0</v>
      </c>
      <c r="J113" s="232">
        <f t="shared" si="28"/>
        <v>0</v>
      </c>
      <c r="K113" s="232">
        <f t="shared" si="28"/>
        <v>0</v>
      </c>
      <c r="L113" s="232">
        <f t="shared" si="28"/>
        <v>0</v>
      </c>
      <c r="M113" s="232">
        <f t="shared" si="28"/>
        <v>0</v>
      </c>
      <c r="N113" s="232">
        <f t="shared" si="28"/>
        <v>0</v>
      </c>
    </row>
    <row r="114" spans="6:14" ht="12.6" thickBot="1" x14ac:dyDescent="0.25">
      <c r="H114" s="152" t="s">
        <v>110</v>
      </c>
      <c r="I114" s="249">
        <f t="shared" si="25"/>
        <v>0</v>
      </c>
      <c r="J114" s="247">
        <f>SUM(J109:J113)</f>
        <v>0</v>
      </c>
      <c r="K114" s="247">
        <f t="shared" ref="K114:N114" si="29">SUM(K109:K113)</f>
        <v>0</v>
      </c>
      <c r="L114" s="247">
        <f t="shared" si="29"/>
        <v>0</v>
      </c>
      <c r="M114" s="247">
        <f t="shared" si="29"/>
        <v>0</v>
      </c>
      <c r="N114" s="247">
        <f t="shared" si="29"/>
        <v>0</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248">
        <f t="shared" si="25"/>
        <v>0</v>
      </c>
      <c r="J115" s="220">
        <f t="shared" ref="J115:N119" si="30">J44*EXCHANGE_RATE</f>
        <v>0</v>
      </c>
      <c r="K115" s="220">
        <f t="shared" si="30"/>
        <v>0</v>
      </c>
      <c r="L115" s="220">
        <f t="shared" si="30"/>
        <v>0</v>
      </c>
      <c r="M115" s="220">
        <f t="shared" si="30"/>
        <v>0</v>
      </c>
      <c r="N115" s="220">
        <f t="shared" si="30"/>
        <v>0</v>
      </c>
    </row>
    <row r="116" spans="6:14" ht="22.8" x14ac:dyDescent="0.2">
      <c r="F116" s="444"/>
      <c r="G116" s="42" t="str">
        <f>STRAT5_IND2</f>
        <v>Se promueven dietas saludables y estilos de vida saludables para las personas.</v>
      </c>
      <c r="H116" s="268" t="str">
        <f ca="1">OFFSET(Variables_Lu!$D$10,Basic_Setup!H59,0)</f>
        <v>Nutrition-specific</v>
      </c>
      <c r="I116" s="248">
        <f t="shared" si="25"/>
        <v>0</v>
      </c>
      <c r="J116" s="220">
        <f t="shared" si="30"/>
        <v>0</v>
      </c>
      <c r="K116" s="220">
        <f t="shared" si="30"/>
        <v>0</v>
      </c>
      <c r="L116" s="220">
        <f t="shared" si="30"/>
        <v>0</v>
      </c>
      <c r="M116" s="220">
        <f t="shared" si="30"/>
        <v>0</v>
      </c>
      <c r="N116" s="220">
        <f t="shared" si="30"/>
        <v>0</v>
      </c>
    </row>
    <row r="117" spans="6:14" ht="22.8" x14ac:dyDescent="0.2">
      <c r="F117" s="444"/>
      <c r="G117" s="42" t="str">
        <f>STRAT5_IND3</f>
        <v>Se promueven las buenas prácticas WASH a nivel comunitario y doméstico</v>
      </c>
      <c r="H117" s="268" t="str">
        <f ca="1">OFFSET(Variables_Lu!$D$10,Basic_Setup!H60,0)</f>
        <v>Nutrition-sensitive</v>
      </c>
      <c r="I117" s="248">
        <f t="shared" si="25"/>
        <v>0</v>
      </c>
      <c r="J117" s="220">
        <f t="shared" si="30"/>
        <v>0</v>
      </c>
      <c r="K117" s="220">
        <f t="shared" si="30"/>
        <v>0</v>
      </c>
      <c r="L117" s="220">
        <f t="shared" si="30"/>
        <v>0</v>
      </c>
      <c r="M117" s="220">
        <f t="shared" si="30"/>
        <v>0</v>
      </c>
      <c r="N117" s="220">
        <f t="shared" si="30"/>
        <v>0</v>
      </c>
    </row>
    <row r="118" spans="6:14" ht="12" x14ac:dyDescent="0.2">
      <c r="F118" s="444"/>
      <c r="G118" s="41" t="str">
        <f>STRAT5_IND4</f>
        <v>Objetivo estratégico 5 Indicador 4</v>
      </c>
      <c r="H118" s="268" t="str">
        <f ca="1">OFFSET(Variables_Lu!$D$10,Basic_Setup!H61,0)</f>
        <v>Nutrition-specific</v>
      </c>
      <c r="I118" s="248">
        <f t="shared" si="25"/>
        <v>0</v>
      </c>
      <c r="J118" s="220">
        <f t="shared" si="30"/>
        <v>0</v>
      </c>
      <c r="K118" s="220">
        <f t="shared" si="30"/>
        <v>0</v>
      </c>
      <c r="L118" s="220">
        <f t="shared" si="30"/>
        <v>0</v>
      </c>
      <c r="M118" s="220">
        <f t="shared" si="30"/>
        <v>0</v>
      </c>
      <c r="N118" s="220">
        <f t="shared" si="30"/>
        <v>0</v>
      </c>
    </row>
    <row r="119" spans="6:14" ht="12.6" thickBot="1" x14ac:dyDescent="0.25">
      <c r="F119" s="445"/>
      <c r="G119" s="275" t="str">
        <f>STRAT5_IND5</f>
        <v>Objetivo estratégico 5 Indicador 5</v>
      </c>
      <c r="H119" s="270" t="str">
        <f ca="1">OFFSET(Variables_Lu!$D$10,Basic_Setup!H62,0)</f>
        <v>Nutrition-specific</v>
      </c>
      <c r="I119" s="248">
        <f t="shared" si="25"/>
        <v>0</v>
      </c>
      <c r="J119" s="232">
        <f t="shared" si="30"/>
        <v>0</v>
      </c>
      <c r="K119" s="232">
        <f t="shared" si="30"/>
        <v>0</v>
      </c>
      <c r="L119" s="232">
        <f t="shared" si="30"/>
        <v>0</v>
      </c>
      <c r="M119" s="232">
        <f t="shared" si="30"/>
        <v>0</v>
      </c>
      <c r="N119" s="232">
        <f t="shared" si="30"/>
        <v>0</v>
      </c>
    </row>
    <row r="120" spans="6:14" ht="12.6" thickBot="1" x14ac:dyDescent="0.25">
      <c r="H120" s="152" t="s">
        <v>111</v>
      </c>
      <c r="I120" s="249">
        <f t="shared" si="25"/>
        <v>0</v>
      </c>
      <c r="J120" s="247">
        <f>SUM(J115:J119)</f>
        <v>0</v>
      </c>
      <c r="K120" s="247">
        <f t="shared" ref="K120:N120" si="31">SUM(K115:K119)</f>
        <v>0</v>
      </c>
      <c r="L120" s="247">
        <f t="shared" si="31"/>
        <v>0</v>
      </c>
      <c r="M120" s="247">
        <f t="shared" si="31"/>
        <v>0</v>
      </c>
      <c r="N120" s="247">
        <f t="shared" si="31"/>
        <v>0</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248">
        <f t="shared" si="25"/>
        <v>0</v>
      </c>
      <c r="J121" s="220">
        <f t="shared" ref="J121:N125" si="32">J50*EXCHANGE_RATE</f>
        <v>0</v>
      </c>
      <c r="K121" s="220">
        <f t="shared" si="32"/>
        <v>0</v>
      </c>
      <c r="L121" s="220">
        <f t="shared" si="32"/>
        <v>0</v>
      </c>
      <c r="M121" s="220">
        <f t="shared" si="32"/>
        <v>0</v>
      </c>
      <c r="N121" s="220">
        <f t="shared" si="32"/>
        <v>0</v>
      </c>
    </row>
    <row r="122" spans="6:14" ht="12" x14ac:dyDescent="0.2">
      <c r="F122" s="444"/>
      <c r="G122" s="42" t="str">
        <f>STRAT6_IND2</f>
        <v>Objetivo estratégico 6 Indicador 2</v>
      </c>
      <c r="H122" s="268" t="str">
        <f ca="1">OFFSET(Variables_Lu!$D$10,Basic_Setup!H65,0)</f>
        <v>Nutrition-specific</v>
      </c>
      <c r="I122" s="248">
        <f t="shared" si="25"/>
        <v>0</v>
      </c>
      <c r="J122" s="220">
        <f t="shared" si="32"/>
        <v>0</v>
      </c>
      <c r="K122" s="220">
        <f t="shared" si="32"/>
        <v>0</v>
      </c>
      <c r="L122" s="220">
        <f t="shared" si="32"/>
        <v>0</v>
      </c>
      <c r="M122" s="220">
        <f t="shared" si="32"/>
        <v>0</v>
      </c>
      <c r="N122" s="220">
        <f t="shared" si="32"/>
        <v>0</v>
      </c>
    </row>
    <row r="123" spans="6:14" ht="12" x14ac:dyDescent="0.2">
      <c r="F123" s="444"/>
      <c r="G123" s="42" t="str">
        <f>STRAT6_IND3</f>
        <v>Objetivo estratégico 6 Indicador 3</v>
      </c>
      <c r="H123" s="268" t="str">
        <f ca="1">OFFSET(Variables_Lu!$D$10,Basic_Setup!H66,0)</f>
        <v>Nutrition-specific</v>
      </c>
      <c r="I123" s="248">
        <f t="shared" si="25"/>
        <v>0</v>
      </c>
      <c r="J123" s="220">
        <f t="shared" si="32"/>
        <v>0</v>
      </c>
      <c r="K123" s="220">
        <f t="shared" si="32"/>
        <v>0</v>
      </c>
      <c r="L123" s="220">
        <f t="shared" si="32"/>
        <v>0</v>
      </c>
      <c r="M123" s="220">
        <f t="shared" si="32"/>
        <v>0</v>
      </c>
      <c r="N123" s="220">
        <f t="shared" si="32"/>
        <v>0</v>
      </c>
    </row>
    <row r="124" spans="6:14" ht="12" x14ac:dyDescent="0.2">
      <c r="F124" s="444"/>
      <c r="G124" s="41" t="str">
        <f>STRAT6_IND4</f>
        <v>Objetivo estratégico 6 Indicador 4</v>
      </c>
      <c r="H124" s="268" t="str">
        <f ca="1">OFFSET(Variables_Lu!$D$10,Basic_Setup!H67,0)</f>
        <v>Nutrition-specific</v>
      </c>
      <c r="I124" s="248">
        <f t="shared" si="25"/>
        <v>0</v>
      </c>
      <c r="J124" s="220">
        <f t="shared" si="32"/>
        <v>0</v>
      </c>
      <c r="K124" s="220">
        <f t="shared" si="32"/>
        <v>0</v>
      </c>
      <c r="L124" s="220">
        <f t="shared" si="32"/>
        <v>0</v>
      </c>
      <c r="M124" s="220">
        <f t="shared" si="32"/>
        <v>0</v>
      </c>
      <c r="N124" s="220">
        <f t="shared" si="32"/>
        <v>0</v>
      </c>
    </row>
    <row r="125" spans="6:14" ht="12.6" thickBot="1" x14ac:dyDescent="0.25">
      <c r="F125" s="445"/>
      <c r="G125" s="275" t="str">
        <f>STRAT6_IND5</f>
        <v>Objetivo estratégico 6 Indicador 5</v>
      </c>
      <c r="H125" s="270" t="str">
        <f ca="1">OFFSET(Variables_Lu!$D$10,Basic_Setup!H68,0)</f>
        <v>Nutrition-specific</v>
      </c>
      <c r="I125" s="248">
        <f t="shared" si="25"/>
        <v>0</v>
      </c>
      <c r="J125" s="232">
        <f t="shared" si="32"/>
        <v>0</v>
      </c>
      <c r="K125" s="232">
        <f t="shared" si="32"/>
        <v>0</v>
      </c>
      <c r="L125" s="232">
        <f t="shared" si="32"/>
        <v>0</v>
      </c>
      <c r="M125" s="232">
        <f t="shared" si="32"/>
        <v>0</v>
      </c>
      <c r="N125" s="232">
        <f t="shared" si="32"/>
        <v>0</v>
      </c>
    </row>
    <row r="126" spans="6:14" ht="12.6" thickBot="1" x14ac:dyDescent="0.25">
      <c r="H126" s="152" t="s">
        <v>159</v>
      </c>
      <c r="I126" s="249">
        <f t="shared" si="25"/>
        <v>0</v>
      </c>
      <c r="J126" s="247">
        <f>SUM(J121:J125)</f>
        <v>0</v>
      </c>
      <c r="K126" s="247">
        <f>SUM(K121:K125)</f>
        <v>0</v>
      </c>
      <c r="L126" s="247">
        <f>SUM(L121:L125)</f>
        <v>0</v>
      </c>
      <c r="M126" s="247">
        <f>SUM(M121:M125)</f>
        <v>0</v>
      </c>
      <c r="N126" s="247">
        <f>SUM(N121:N125)</f>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248">
        <f t="shared" si="25"/>
        <v>0</v>
      </c>
      <c r="J127" s="220">
        <f t="shared" ref="J127:N131" si="33">J56*EXCHANGE_RATE</f>
        <v>0</v>
      </c>
      <c r="K127" s="220">
        <f t="shared" si="33"/>
        <v>0</v>
      </c>
      <c r="L127" s="220">
        <f t="shared" si="33"/>
        <v>0</v>
      </c>
      <c r="M127" s="220">
        <f t="shared" si="33"/>
        <v>0</v>
      </c>
      <c r="N127" s="220">
        <f t="shared" si="33"/>
        <v>0</v>
      </c>
    </row>
    <row r="128" spans="6:14" ht="12" x14ac:dyDescent="0.2">
      <c r="F128" s="444"/>
      <c r="G128" s="42" t="str">
        <f>STRAT7_IND2</f>
        <v>Objetivo estratégico 7 Indicador 2</v>
      </c>
      <c r="H128" s="268" t="str">
        <f ca="1">OFFSET(Variables_Lu!$D$10,Basic_Setup!H71,0)</f>
        <v>Nutrition-specific</v>
      </c>
      <c r="I128" s="248">
        <f t="shared" si="25"/>
        <v>0</v>
      </c>
      <c r="J128" s="220">
        <f t="shared" si="33"/>
        <v>0</v>
      </c>
      <c r="K128" s="220">
        <f t="shared" si="33"/>
        <v>0</v>
      </c>
      <c r="L128" s="220">
        <f t="shared" si="33"/>
        <v>0</v>
      </c>
      <c r="M128" s="220">
        <f t="shared" si="33"/>
        <v>0</v>
      </c>
      <c r="N128" s="220">
        <f t="shared" si="33"/>
        <v>0</v>
      </c>
    </row>
    <row r="129" spans="6:14" ht="12" x14ac:dyDescent="0.2">
      <c r="F129" s="444"/>
      <c r="G129" s="42" t="str">
        <f>STRAT7_IND3</f>
        <v>Objetivo estratégico 7 Indicador 3</v>
      </c>
      <c r="H129" s="268" t="str">
        <f ca="1">OFFSET(Variables_Lu!$D$10,Basic_Setup!H72,0)</f>
        <v>Nutrition-specific</v>
      </c>
      <c r="I129" s="248">
        <f t="shared" si="25"/>
        <v>0</v>
      </c>
      <c r="J129" s="220">
        <f t="shared" si="33"/>
        <v>0</v>
      </c>
      <c r="K129" s="220">
        <f t="shared" si="33"/>
        <v>0</v>
      </c>
      <c r="L129" s="220">
        <f t="shared" si="33"/>
        <v>0</v>
      </c>
      <c r="M129" s="220">
        <f t="shared" si="33"/>
        <v>0</v>
      </c>
      <c r="N129" s="220">
        <f t="shared" si="33"/>
        <v>0</v>
      </c>
    </row>
    <row r="130" spans="6:14" ht="12" x14ac:dyDescent="0.2">
      <c r="F130" s="444"/>
      <c r="G130" s="41" t="str">
        <f>STRAT7_IND4</f>
        <v>Objetivo estratégico 7 Indicador 4</v>
      </c>
      <c r="H130" s="268" t="str">
        <f ca="1">OFFSET(Variables_Lu!$D$10,Basic_Setup!H73,0)</f>
        <v>Nutrition-specific</v>
      </c>
      <c r="I130" s="248">
        <f t="shared" si="25"/>
        <v>0</v>
      </c>
      <c r="J130" s="220">
        <f t="shared" si="33"/>
        <v>0</v>
      </c>
      <c r="K130" s="220">
        <f t="shared" si="33"/>
        <v>0</v>
      </c>
      <c r="L130" s="220">
        <f t="shared" si="33"/>
        <v>0</v>
      </c>
      <c r="M130" s="220">
        <f t="shared" si="33"/>
        <v>0</v>
      </c>
      <c r="N130" s="220">
        <f t="shared" si="33"/>
        <v>0</v>
      </c>
    </row>
    <row r="131" spans="6:14" ht="12.6" thickBot="1" x14ac:dyDescent="0.25">
      <c r="F131" s="445"/>
      <c r="G131" s="275" t="str">
        <f>STRAT7_IND5</f>
        <v>Objetivo estratégico 7 Indicador 5</v>
      </c>
      <c r="H131" s="270" t="str">
        <f ca="1">OFFSET(Variables_Lu!$D$10,Basic_Setup!H74,0)</f>
        <v>Nutrition-specific</v>
      </c>
      <c r="I131" s="248">
        <f t="shared" si="25"/>
        <v>0</v>
      </c>
      <c r="J131" s="232">
        <f t="shared" si="33"/>
        <v>0</v>
      </c>
      <c r="K131" s="232">
        <f t="shared" si="33"/>
        <v>0</v>
      </c>
      <c r="L131" s="232">
        <f t="shared" si="33"/>
        <v>0</v>
      </c>
      <c r="M131" s="232">
        <f t="shared" si="33"/>
        <v>0</v>
      </c>
      <c r="N131" s="232">
        <f t="shared" si="33"/>
        <v>0</v>
      </c>
    </row>
    <row r="132" spans="6:14" ht="12.6" thickBot="1" x14ac:dyDescent="0.25">
      <c r="H132" s="152" t="s">
        <v>160</v>
      </c>
      <c r="I132" s="249">
        <f t="shared" si="25"/>
        <v>0</v>
      </c>
      <c r="J132" s="247">
        <f>SUM(J127:J131)</f>
        <v>0</v>
      </c>
      <c r="K132" s="247">
        <f>SUM(K127:K131)</f>
        <v>0</v>
      </c>
      <c r="L132" s="247">
        <f>SUM(L127:L131)</f>
        <v>0</v>
      </c>
      <c r="M132" s="247">
        <f>SUM(M127:M131)</f>
        <v>0</v>
      </c>
      <c r="N132" s="247">
        <f>SUM(N127:N131)</f>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248">
        <f t="shared" si="25"/>
        <v>0</v>
      </c>
      <c r="J133" s="220">
        <f t="shared" ref="J133:N137" si="34">J62*EXCHANGE_RATE</f>
        <v>0</v>
      </c>
      <c r="K133" s="220">
        <f t="shared" si="34"/>
        <v>0</v>
      </c>
      <c r="L133" s="220">
        <f t="shared" si="34"/>
        <v>0</v>
      </c>
      <c r="M133" s="220">
        <f t="shared" si="34"/>
        <v>0</v>
      </c>
      <c r="N133" s="220">
        <f t="shared" si="34"/>
        <v>0</v>
      </c>
    </row>
    <row r="134" spans="6:14" ht="12" x14ac:dyDescent="0.2">
      <c r="F134" s="444"/>
      <c r="G134" s="42" t="str">
        <f>STRAT8_IND2</f>
        <v>Objetivo estratégico 8 Indicador 2</v>
      </c>
      <c r="H134" s="268" t="str">
        <f ca="1">OFFSET(Variables_Lu!$D$10,Basic_Setup!H77,0)</f>
        <v>Nutrition-specific</v>
      </c>
      <c r="I134" s="248">
        <f t="shared" ref="I134:I150" si="35">I63*EXCHANGE_RATE</f>
        <v>0</v>
      </c>
      <c r="J134" s="220">
        <f t="shared" si="34"/>
        <v>0</v>
      </c>
      <c r="K134" s="220">
        <f t="shared" si="34"/>
        <v>0</v>
      </c>
      <c r="L134" s="220">
        <f t="shared" si="34"/>
        <v>0</v>
      </c>
      <c r="M134" s="220">
        <f t="shared" si="34"/>
        <v>0</v>
      </c>
      <c r="N134" s="220">
        <f t="shared" si="34"/>
        <v>0</v>
      </c>
    </row>
    <row r="135" spans="6:14" ht="12" x14ac:dyDescent="0.2">
      <c r="F135" s="444"/>
      <c r="G135" s="42" t="str">
        <f>STRAT8_IND3</f>
        <v>Objetivo estratégico 8 Indicador 3</v>
      </c>
      <c r="H135" s="268" t="str">
        <f ca="1">OFFSET(Variables_Lu!$D$10,Basic_Setup!H78,0)</f>
        <v>Nutrition-specific</v>
      </c>
      <c r="I135" s="248">
        <f t="shared" si="35"/>
        <v>0</v>
      </c>
      <c r="J135" s="220">
        <f t="shared" si="34"/>
        <v>0</v>
      </c>
      <c r="K135" s="220">
        <f t="shared" si="34"/>
        <v>0</v>
      </c>
      <c r="L135" s="220">
        <f t="shared" si="34"/>
        <v>0</v>
      </c>
      <c r="M135" s="220">
        <f t="shared" si="34"/>
        <v>0</v>
      </c>
      <c r="N135" s="220">
        <f t="shared" si="34"/>
        <v>0</v>
      </c>
    </row>
    <row r="136" spans="6:14" ht="12" x14ac:dyDescent="0.2">
      <c r="F136" s="444"/>
      <c r="G136" s="41" t="str">
        <f>STRAT8_IND4</f>
        <v>Objetivo estratégico 8 Indicador 4</v>
      </c>
      <c r="H136" s="268" t="str">
        <f ca="1">OFFSET(Variables_Lu!$D$10,Basic_Setup!H79,0)</f>
        <v>Nutrition-specific</v>
      </c>
      <c r="I136" s="248">
        <f t="shared" si="35"/>
        <v>0</v>
      </c>
      <c r="J136" s="220">
        <f t="shared" si="34"/>
        <v>0</v>
      </c>
      <c r="K136" s="220">
        <f t="shared" si="34"/>
        <v>0</v>
      </c>
      <c r="L136" s="220">
        <f t="shared" si="34"/>
        <v>0</v>
      </c>
      <c r="M136" s="220">
        <f t="shared" si="34"/>
        <v>0</v>
      </c>
      <c r="N136" s="220">
        <f t="shared" si="34"/>
        <v>0</v>
      </c>
    </row>
    <row r="137" spans="6:14" ht="12.6" thickBot="1" x14ac:dyDescent="0.25">
      <c r="F137" s="445"/>
      <c r="G137" s="275" t="str">
        <f>STRAT8_IND5</f>
        <v>Objetivo estratégico 8 Indicador 5</v>
      </c>
      <c r="H137" s="270" t="str">
        <f ca="1">OFFSET(Variables_Lu!$D$10,Basic_Setup!H80,0)</f>
        <v>Nutrition-specific</v>
      </c>
      <c r="I137" s="248">
        <f t="shared" si="35"/>
        <v>0</v>
      </c>
      <c r="J137" s="232">
        <f t="shared" si="34"/>
        <v>0</v>
      </c>
      <c r="K137" s="232">
        <f t="shared" si="34"/>
        <v>0</v>
      </c>
      <c r="L137" s="232">
        <f t="shared" si="34"/>
        <v>0</v>
      </c>
      <c r="M137" s="232">
        <f t="shared" si="34"/>
        <v>0</v>
      </c>
      <c r="N137" s="232">
        <f t="shared" si="34"/>
        <v>0</v>
      </c>
    </row>
    <row r="138" spans="6:14" ht="12.6" thickBot="1" x14ac:dyDescent="0.25">
      <c r="H138" s="152" t="s">
        <v>161</v>
      </c>
      <c r="I138" s="249">
        <f t="shared" si="35"/>
        <v>0</v>
      </c>
      <c r="J138" s="247">
        <f>SUM(J133:J137)</f>
        <v>0</v>
      </c>
      <c r="K138" s="247">
        <f>SUM(K133:K137)</f>
        <v>0</v>
      </c>
      <c r="L138" s="247">
        <f>SUM(L133:L137)</f>
        <v>0</v>
      </c>
      <c r="M138" s="247">
        <f>SUM(M133:M137)</f>
        <v>0</v>
      </c>
      <c r="N138" s="247">
        <f>SUM(N133:N137)</f>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248">
        <f t="shared" si="35"/>
        <v>0</v>
      </c>
      <c r="J139" s="220">
        <f t="shared" ref="J139:N143" si="36">J68*EXCHANGE_RATE</f>
        <v>0</v>
      </c>
      <c r="K139" s="220">
        <f t="shared" si="36"/>
        <v>0</v>
      </c>
      <c r="L139" s="220">
        <f t="shared" si="36"/>
        <v>0</v>
      </c>
      <c r="M139" s="220">
        <f t="shared" si="36"/>
        <v>0</v>
      </c>
      <c r="N139" s="220">
        <f t="shared" si="36"/>
        <v>0</v>
      </c>
    </row>
    <row r="140" spans="6:14" ht="12" x14ac:dyDescent="0.2">
      <c r="F140" s="444"/>
      <c r="G140" s="42" t="str">
        <f>STRAT9_IND2</f>
        <v>Objetivo estratégico 9 Indicador 2</v>
      </c>
      <c r="H140" s="268" t="str">
        <f ca="1">OFFSET(Variables_Lu!$D$10,Basic_Setup!H83,0)</f>
        <v>Nutrition-specific</v>
      </c>
      <c r="I140" s="248">
        <f t="shared" si="35"/>
        <v>0</v>
      </c>
      <c r="J140" s="220">
        <f t="shared" si="36"/>
        <v>0</v>
      </c>
      <c r="K140" s="220">
        <f t="shared" si="36"/>
        <v>0</v>
      </c>
      <c r="L140" s="220">
        <f t="shared" si="36"/>
        <v>0</v>
      </c>
      <c r="M140" s="220">
        <f t="shared" si="36"/>
        <v>0</v>
      </c>
      <c r="N140" s="220">
        <f t="shared" si="36"/>
        <v>0</v>
      </c>
    </row>
    <row r="141" spans="6:14" ht="12" x14ac:dyDescent="0.2">
      <c r="F141" s="444"/>
      <c r="G141" s="42" t="str">
        <f>STRAT9_IND3</f>
        <v>Objetivo estratégico 9 Indicador 3</v>
      </c>
      <c r="H141" s="268" t="str">
        <f ca="1">OFFSET(Variables_Lu!$D$10,Basic_Setup!H84,0)</f>
        <v>Nutrition-specific</v>
      </c>
      <c r="I141" s="248">
        <f t="shared" si="35"/>
        <v>0</v>
      </c>
      <c r="J141" s="220">
        <f t="shared" si="36"/>
        <v>0</v>
      </c>
      <c r="K141" s="220">
        <f t="shared" si="36"/>
        <v>0</v>
      </c>
      <c r="L141" s="220">
        <f t="shared" si="36"/>
        <v>0</v>
      </c>
      <c r="M141" s="220">
        <f t="shared" si="36"/>
        <v>0</v>
      </c>
      <c r="N141" s="220">
        <f t="shared" si="36"/>
        <v>0</v>
      </c>
    </row>
    <row r="142" spans="6:14" ht="12" x14ac:dyDescent="0.2">
      <c r="F142" s="444"/>
      <c r="G142" s="41" t="str">
        <f>STRAT9_IND4</f>
        <v>Objetivo estratégico 9 Indicador 4</v>
      </c>
      <c r="H142" s="268" t="str">
        <f ca="1">OFFSET(Variables_Lu!$D$10,Basic_Setup!H85,0)</f>
        <v>Nutrition-specific</v>
      </c>
      <c r="I142" s="248">
        <f t="shared" si="35"/>
        <v>0</v>
      </c>
      <c r="J142" s="220">
        <f t="shared" si="36"/>
        <v>0</v>
      </c>
      <c r="K142" s="220">
        <f t="shared" si="36"/>
        <v>0</v>
      </c>
      <c r="L142" s="220">
        <f t="shared" si="36"/>
        <v>0</v>
      </c>
      <c r="M142" s="220">
        <f t="shared" si="36"/>
        <v>0</v>
      </c>
      <c r="N142" s="220">
        <f t="shared" si="36"/>
        <v>0</v>
      </c>
    </row>
    <row r="143" spans="6:14" ht="12.6" thickBot="1" x14ac:dyDescent="0.25">
      <c r="F143" s="445"/>
      <c r="G143" s="275" t="str">
        <f>STRAT9_IND5</f>
        <v>Objetivo estratégico 9 Indicador 5</v>
      </c>
      <c r="H143" s="270" t="str">
        <f ca="1">OFFSET(Variables_Lu!$D$10,Basic_Setup!H86,0)</f>
        <v>Nutrition-specific</v>
      </c>
      <c r="I143" s="248">
        <f t="shared" si="35"/>
        <v>0</v>
      </c>
      <c r="J143" s="232">
        <f t="shared" si="36"/>
        <v>0</v>
      </c>
      <c r="K143" s="232">
        <f t="shared" si="36"/>
        <v>0</v>
      </c>
      <c r="L143" s="232">
        <f t="shared" si="36"/>
        <v>0</v>
      </c>
      <c r="M143" s="232">
        <f t="shared" si="36"/>
        <v>0</v>
      </c>
      <c r="N143" s="232">
        <f t="shared" si="36"/>
        <v>0</v>
      </c>
    </row>
    <row r="144" spans="6:14" ht="12.6" thickBot="1" x14ac:dyDescent="0.25">
      <c r="H144" s="152" t="s">
        <v>162</v>
      </c>
      <c r="I144" s="249">
        <f t="shared" si="35"/>
        <v>0</v>
      </c>
      <c r="J144" s="247">
        <f>SUM(J139:J143)</f>
        <v>0</v>
      </c>
      <c r="K144" s="247">
        <f>SUM(K139:K143)</f>
        <v>0</v>
      </c>
      <c r="L144" s="247">
        <f>SUM(L139:L143)</f>
        <v>0</v>
      </c>
      <c r="M144" s="247">
        <f>SUM(M139:M143)</f>
        <v>0</v>
      </c>
      <c r="N144" s="247">
        <f>SUM(N139:N143)</f>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248">
        <f t="shared" si="35"/>
        <v>0</v>
      </c>
      <c r="J145" s="220">
        <f t="shared" ref="J145:N149" si="37">J74*EXCHANGE_RATE</f>
        <v>0</v>
      </c>
      <c r="K145" s="220">
        <f t="shared" si="37"/>
        <v>0</v>
      </c>
      <c r="L145" s="220">
        <f t="shared" si="37"/>
        <v>0</v>
      </c>
      <c r="M145" s="220">
        <f t="shared" si="37"/>
        <v>0</v>
      </c>
      <c r="N145" s="220">
        <f t="shared" si="37"/>
        <v>0</v>
      </c>
    </row>
    <row r="146" spans="1:14" ht="12" x14ac:dyDescent="0.2">
      <c r="F146" s="444"/>
      <c r="G146" s="42" t="str">
        <f>STRAT10_IND2</f>
        <v>Objetivo estratégico 10 Indicador 2</v>
      </c>
      <c r="H146" s="268" t="str">
        <f ca="1">OFFSET(Variables_Lu!$D$10,Basic_Setup!H89,0)</f>
        <v>Nutrition-specific</v>
      </c>
      <c r="I146" s="248">
        <f t="shared" si="35"/>
        <v>0</v>
      </c>
      <c r="J146" s="220">
        <f t="shared" si="37"/>
        <v>0</v>
      </c>
      <c r="K146" s="220">
        <f t="shared" si="37"/>
        <v>0</v>
      </c>
      <c r="L146" s="220">
        <f t="shared" si="37"/>
        <v>0</v>
      </c>
      <c r="M146" s="220">
        <f t="shared" si="37"/>
        <v>0</v>
      </c>
      <c r="N146" s="220">
        <f t="shared" si="37"/>
        <v>0</v>
      </c>
    </row>
    <row r="147" spans="1:14" ht="12" x14ac:dyDescent="0.2">
      <c r="F147" s="444"/>
      <c r="G147" s="42" t="str">
        <f>STRAT10_IND3</f>
        <v>Objetivo estratégico 10 Indicador 3</v>
      </c>
      <c r="H147" s="268" t="str">
        <f ca="1">OFFSET(Variables_Lu!$D$10,Basic_Setup!H90,0)</f>
        <v>Nutrition-specific</v>
      </c>
      <c r="I147" s="248">
        <f t="shared" si="35"/>
        <v>0</v>
      </c>
      <c r="J147" s="220">
        <f t="shared" si="37"/>
        <v>0</v>
      </c>
      <c r="K147" s="220">
        <f t="shared" si="37"/>
        <v>0</v>
      </c>
      <c r="L147" s="220">
        <f t="shared" si="37"/>
        <v>0</v>
      </c>
      <c r="M147" s="220">
        <f t="shared" si="37"/>
        <v>0</v>
      </c>
      <c r="N147" s="220">
        <f t="shared" si="37"/>
        <v>0</v>
      </c>
    </row>
    <row r="148" spans="1:14" ht="12" x14ac:dyDescent="0.2">
      <c r="F148" s="444"/>
      <c r="G148" s="41" t="str">
        <f>STRAT10_IND4</f>
        <v>Objetivo estratégico 10 Indicador 4</v>
      </c>
      <c r="H148" s="268" t="str">
        <f ca="1">OFFSET(Variables_Lu!$D$10,Basic_Setup!H91,0)</f>
        <v>Nutrition-specific</v>
      </c>
      <c r="I148" s="248">
        <f t="shared" si="35"/>
        <v>0</v>
      </c>
      <c r="J148" s="220">
        <f t="shared" si="37"/>
        <v>0</v>
      </c>
      <c r="K148" s="220">
        <f t="shared" si="37"/>
        <v>0</v>
      </c>
      <c r="L148" s="220">
        <f t="shared" si="37"/>
        <v>0</v>
      </c>
      <c r="M148" s="220">
        <f t="shared" si="37"/>
        <v>0</v>
      </c>
      <c r="N148" s="220">
        <f t="shared" si="37"/>
        <v>0</v>
      </c>
    </row>
    <row r="149" spans="1:14" ht="12.6" thickBot="1" x14ac:dyDescent="0.25">
      <c r="F149" s="445"/>
      <c r="G149" s="275" t="str">
        <f>STRAT10_IND5</f>
        <v>Objetivo estratégico 10 Indicador 5</v>
      </c>
      <c r="H149" s="270" t="str">
        <f ca="1">OFFSET(Variables_Lu!$D$10,Basic_Setup!H92,0)</f>
        <v>Nutrition-specific</v>
      </c>
      <c r="I149" s="248">
        <f t="shared" si="35"/>
        <v>0</v>
      </c>
      <c r="J149" s="232">
        <f t="shared" si="37"/>
        <v>0</v>
      </c>
      <c r="K149" s="232">
        <f t="shared" si="37"/>
        <v>0</v>
      </c>
      <c r="L149" s="232">
        <f t="shared" si="37"/>
        <v>0</v>
      </c>
      <c r="M149" s="232">
        <f t="shared" si="37"/>
        <v>0</v>
      </c>
      <c r="N149" s="232">
        <f t="shared" si="37"/>
        <v>0</v>
      </c>
    </row>
    <row r="150" spans="1:14" ht="12" x14ac:dyDescent="0.2">
      <c r="H150" s="152" t="s">
        <v>163</v>
      </c>
      <c r="I150" s="249">
        <f t="shared" si="35"/>
        <v>0</v>
      </c>
      <c r="J150" s="247">
        <f>SUM(J145:J149)</f>
        <v>0</v>
      </c>
      <c r="K150" s="247">
        <f>SUM(K145:K149)</f>
        <v>0</v>
      </c>
      <c r="L150" s="247">
        <f>SUM(L145:L149)</f>
        <v>0</v>
      </c>
      <c r="M150" s="247">
        <f>SUM(M145:M149)</f>
        <v>0</v>
      </c>
      <c r="N150" s="247">
        <f>SUM(N145:N149)</f>
        <v>0</v>
      </c>
    </row>
    <row r="151" spans="1:14" x14ac:dyDescent="0.2">
      <c r="I151" s="231"/>
      <c r="J151" s="231"/>
      <c r="K151" s="231"/>
      <c r="L151" s="231"/>
      <c r="M151" s="231"/>
      <c r="N151" s="231"/>
    </row>
    <row r="152" spans="1:14" ht="12.6" thickBot="1" x14ac:dyDescent="0.25">
      <c r="H152" s="149" t="str">
        <f>"TOTAL - "&amp;$F$12</f>
        <v>TOTAL - [No está en uso]</v>
      </c>
      <c r="I152" s="222">
        <f t="shared" ref="I152:N152" si="38">I81*EXCHANGE_RATE</f>
        <v>0</v>
      </c>
      <c r="J152" s="222">
        <f t="shared" si="38"/>
        <v>0</v>
      </c>
      <c r="K152" s="222">
        <f t="shared" si="38"/>
        <v>0</v>
      </c>
      <c r="L152" s="222">
        <f t="shared" si="38"/>
        <v>0</v>
      </c>
      <c r="M152" s="222">
        <f t="shared" si="38"/>
        <v>0</v>
      </c>
      <c r="N152" s="222">
        <f t="shared" si="38"/>
        <v>0</v>
      </c>
    </row>
    <row r="153" spans="1:14" ht="12" x14ac:dyDescent="0.2">
      <c r="I153" s="149"/>
    </row>
    <row r="155" spans="1:14" x14ac:dyDescent="0.2">
      <c r="A155" s="39" t="s">
        <v>76</v>
      </c>
      <c r="B155" s="40" t="str">
        <f>"Summary of "&amp;Partner7&amp;" - by Result/Indicator Type"</f>
        <v>Summary of [No está en uso]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t="e">
        <f ca="1">I159/$I$162</f>
        <v>#DIV/0!</v>
      </c>
      <c r="I159" s="68">
        <f ca="1">SUM(J159:N159)</f>
        <v>0</v>
      </c>
      <c r="J159" s="325">
        <f ca="1">SUMIF($H$91:$H$149,Lu_Nutrition_Specific,J$91:J$149)</f>
        <v>0</v>
      </c>
      <c r="K159" s="325">
        <f ca="1">SUMIF($H$91:$H$149,Lu_Nutrition_Specific,K$91:K$149)</f>
        <v>0</v>
      </c>
      <c r="L159" s="325">
        <f ca="1">SUMIF($H$91:$H$149,Lu_Nutrition_Specific,L$91:L$149)</f>
        <v>0</v>
      </c>
      <c r="M159" s="325">
        <f ca="1">SUMIF($H$91:$H$149,Lu_Nutrition_Specific,M$91:M$149)</f>
        <v>0</v>
      </c>
      <c r="N159" s="325">
        <f ca="1">SUMIF($H$91:$H$149,Lu_Nutrition_Specific,N$91:N$149)</f>
        <v>0</v>
      </c>
    </row>
    <row r="160" spans="1:14" ht="12" x14ac:dyDescent="0.2">
      <c r="F160" s="38" t="str">
        <f>Lu_Nutrition_Sensitive</f>
        <v>Nutrition-sensitive</v>
      </c>
      <c r="G160" s="38"/>
      <c r="H160" s="289" t="e">
        <f t="shared" ref="H160:H161" ca="1" si="39">I160/$I$162</f>
        <v>#DIV/0!</v>
      </c>
      <c r="I160" s="69">
        <f t="shared" ref="I160:I161" ca="1" si="40">SUM(J160:N160)</f>
        <v>0</v>
      </c>
      <c r="J160" s="325">
        <f ca="1">SUMIF($H$91:$H$149,Lu_Nutrition_Sensitive,J$91:J$149)</f>
        <v>0</v>
      </c>
      <c r="K160" s="325">
        <f ca="1">SUMIF($H$91:$H$149,Lu_Nutrition_Sensitive,K$91:K$149)</f>
        <v>0</v>
      </c>
      <c r="L160" s="325">
        <f ca="1">SUMIF($H$91:$H$149,Lu_Nutrition_Sensitive,L$91:L$149)</f>
        <v>0</v>
      </c>
      <c r="M160" s="325">
        <f ca="1">SUMIF($H$91:$H$149,Lu_Nutrition_Sensitive,M$91:M$149)</f>
        <v>0</v>
      </c>
      <c r="N160" s="325">
        <f ca="1">SUMIF($H$91:$H$149,Lu_Nutrition_Sensitive,N$91:N$149)</f>
        <v>0</v>
      </c>
    </row>
    <row r="161" spans="6:14" ht="12" x14ac:dyDescent="0.2">
      <c r="F161" s="38" t="str">
        <f>Lu_Governance</f>
        <v>Governance</v>
      </c>
      <c r="G161" s="38"/>
      <c r="H161" s="289" t="e">
        <f t="shared" ca="1" si="39"/>
        <v>#DIV/0!</v>
      </c>
      <c r="I161" s="396">
        <f t="shared" ca="1" si="40"/>
        <v>0</v>
      </c>
      <c r="J161" s="325">
        <f ca="1">SUMIF($H$91:$H$149,Lu_Governance,J$91:J$149)</f>
        <v>0</v>
      </c>
      <c r="K161" s="325">
        <f ca="1">SUMIF($H$91:$H$149,Lu_Governance,K$91:K$149)</f>
        <v>0</v>
      </c>
      <c r="L161" s="325">
        <f ca="1">SUMIF($H$91:$H$149,Lu_Governance,L$91:L$149)</f>
        <v>0</v>
      </c>
      <c r="M161" s="325">
        <f ca="1">SUMIF($H$91:$H$149,Lu_Governance,M$91:M$149)</f>
        <v>0</v>
      </c>
      <c r="N161" s="325">
        <f ca="1">SUMIF($H$91:$H$149,Lu_Governance,N$91:N$149)</f>
        <v>0</v>
      </c>
    </row>
    <row r="162" spans="6:14" ht="12" x14ac:dyDescent="0.2">
      <c r="F162" s="324" t="str">
        <f>"TOTAL - "&amp;Summary_Govt_Contributions!$F$12&amp;" ("&amp;CURR_LCU_ABBR&amp;")"</f>
        <v>TOTAL - TODAS las contribuciones de las agencias gubernamentales (GOZ)</v>
      </c>
      <c r="G162" s="74"/>
      <c r="H162" s="291" t="e">
        <f ca="1">SUM(H159:H161)</f>
        <v>#DIV/0!</v>
      </c>
      <c r="I162" s="57">
        <f ca="1">SUM(J162:N162)</f>
        <v>0</v>
      </c>
      <c r="J162" s="55">
        <f ca="1">SUM(J159:J161)</f>
        <v>0</v>
      </c>
      <c r="K162" s="55">
        <f t="shared" ref="K162:N162" ca="1" si="41">SUM(K159:K161)</f>
        <v>0</v>
      </c>
      <c r="L162" s="55">
        <f t="shared" ca="1" si="41"/>
        <v>0</v>
      </c>
      <c r="M162" s="55">
        <f t="shared" ca="1" si="41"/>
        <v>0</v>
      </c>
      <c r="N162" s="55">
        <f t="shared" ca="1" si="41"/>
        <v>0</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t="e">
        <f ca="1">I166/$I$169</f>
        <v>#DIV/0!</v>
      </c>
      <c r="I166" s="404">
        <f ca="1">SUM(J166:N166)</f>
        <v>0</v>
      </c>
      <c r="J166" s="407">
        <f t="shared" ref="J166:N168" ca="1" si="42">J159/EXCHANGE_RATE</f>
        <v>0</v>
      </c>
      <c r="K166" s="407">
        <f t="shared" ca="1" si="42"/>
        <v>0</v>
      </c>
      <c r="L166" s="407">
        <f t="shared" ca="1" si="42"/>
        <v>0</v>
      </c>
      <c r="M166" s="407">
        <f t="shared" ca="1" si="42"/>
        <v>0</v>
      </c>
      <c r="N166" s="407">
        <f t="shared" ca="1" si="42"/>
        <v>0</v>
      </c>
    </row>
    <row r="167" spans="6:14" ht="12" x14ac:dyDescent="0.2">
      <c r="F167" t="str">
        <f>Lu_Nutrition_Sensitive</f>
        <v>Nutrition-sensitive</v>
      </c>
      <c r="H167" s="289" t="e">
        <f t="shared" ref="H167:H168" ca="1" si="43">I167/$I$169</f>
        <v>#DIV/0!</v>
      </c>
      <c r="I167" s="404">
        <f t="shared" ref="I167:I168" ca="1" si="44">SUM(J167:N167)</f>
        <v>0</v>
      </c>
      <c r="J167" s="407">
        <f t="shared" ca="1" si="42"/>
        <v>0</v>
      </c>
      <c r="K167" s="407">
        <f t="shared" ca="1" si="42"/>
        <v>0</v>
      </c>
      <c r="L167" s="407">
        <f t="shared" ca="1" si="42"/>
        <v>0</v>
      </c>
      <c r="M167" s="407">
        <f t="shared" ca="1" si="42"/>
        <v>0</v>
      </c>
      <c r="N167" s="407">
        <f t="shared" ca="1" si="42"/>
        <v>0</v>
      </c>
    </row>
    <row r="168" spans="6:14" ht="12" x14ac:dyDescent="0.2">
      <c r="F168" t="str">
        <f>Lu_Governance</f>
        <v>Governance</v>
      </c>
      <c r="H168" s="289" t="e">
        <f t="shared" ca="1" si="43"/>
        <v>#DIV/0!</v>
      </c>
      <c r="I168" s="404">
        <f t="shared" ca="1" si="44"/>
        <v>0</v>
      </c>
      <c r="J168" s="407">
        <f t="shared" ca="1" si="42"/>
        <v>0</v>
      </c>
      <c r="K168" s="407">
        <f t="shared" ca="1" si="42"/>
        <v>0</v>
      </c>
      <c r="L168" s="407">
        <f t="shared" ca="1" si="42"/>
        <v>0</v>
      </c>
      <c r="M168" s="407">
        <f t="shared" ca="1" si="42"/>
        <v>0</v>
      </c>
      <c r="N168" s="407">
        <f t="shared" ca="1" si="42"/>
        <v>0</v>
      </c>
    </row>
    <row r="169" spans="6:14" ht="12" x14ac:dyDescent="0.2">
      <c r="F169" s="324" t="str">
        <f>"TOTAL - "&amp;Summary_Govt_Contributions!$F$12&amp;" ("&amp;CURR_INT_ABBR&amp;")"</f>
        <v>TOTAL - TODAS las contribuciones de las agencias gubernamentales (USD)</v>
      </c>
      <c r="G169" s="74"/>
      <c r="H169" s="291" t="e">
        <f ca="1">SUM(H166:H168)</f>
        <v>#DIV/0!</v>
      </c>
      <c r="I169" s="295">
        <f ca="1">SUM(J169:N169)</f>
        <v>0</v>
      </c>
      <c r="J169" s="408">
        <f ca="1">SUM(J166:J168)</f>
        <v>0</v>
      </c>
      <c r="K169" s="408">
        <f t="shared" ref="K169:N169" ca="1" si="45">SUM(K166:K168)</f>
        <v>0</v>
      </c>
      <c r="L169" s="408">
        <f t="shared" ca="1" si="45"/>
        <v>0</v>
      </c>
      <c r="M169" s="408">
        <f t="shared" ca="1" si="45"/>
        <v>0</v>
      </c>
      <c r="N169" s="408">
        <f t="shared" ca="1" si="45"/>
        <v>0</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3 J32:N36 J26:N30 J44:N48 J50:N54 J56:N60 J62:N66 J68:N72 J74:N78 J38:N42 J103:N107 J97:N101 J91:N95 J109:N113 J115:N119 J121:N125 J127:N131 J133:N137 J139:N143 J145:N149" xr:uid="{00000000-0002-0000-1B00-000000000000}">
      <formula1>NOT(ISERROR(J20/1))</formula1>
    </dataValidation>
  </dataValidations>
  <hyperlinks>
    <hyperlink ref="A14" location="HL_Mod_Out" tooltip="Click to follow hyperlink." display="ð" xr:uid="{00000000-0004-0000-1B00-000000000000}"/>
    <hyperlink ref="B4" location="Partner6!HL_Sheet_Main_13" tooltip="Go to Previous Sheet" display="ç" xr:uid="{00000000-0004-0000-1B00-000001000000}"/>
    <hyperlink ref="C4" location="Partner8!HL_Sheet_Main_13" tooltip="Go to Next Sheet" display="è" xr:uid="{00000000-0004-0000-1B00-000002000000}"/>
    <hyperlink ref="A4" r:id="rId1" tooltip="Go to Top of Sheet" xr:uid="{00000000-0004-0000-1B00-000003000000}"/>
    <hyperlink ref="B3" location="HL_Home" tooltip="Go to Table of Contents" display="Go to Table of Contents" xr:uid="{00000000-0004-0000-1B00-000004000000}"/>
    <hyperlink ref="A155" location="HL_Mod_Out" tooltip="Click to follow hyperlink." display="ð" xr:uid="{00000000-0004-0000-1B00-000005000000}"/>
  </hyperlinks>
  <pageMargins left="0.4" right="0.4" top="0.6" bottom="1" header="0" footer="0.3"/>
  <pageSetup orientation="landscape" r:id="rId2"/>
  <headerFooter>
    <oddFooter>&amp;L&amp;F
&amp;A
Printed: &amp;T on &amp;D&amp;C&amp;",Bold"Sheet 2.s.
Page &amp;P of &amp;N</oddFooter>
  </headerFooter>
  <drawing r:id="rId3"/>
  <legacyDrawing r:id="rId4"/>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A1:N169"/>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0.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Partner8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F12" s="198" t="str">
        <f>Partner8</f>
        <v>[No está en uso]</v>
      </c>
      <c r="G12" s="60">
        <v>1</v>
      </c>
    </row>
    <row r="13" spans="1:14" s="38" customFormat="1" x14ac:dyDescent="0.2">
      <c r="G13"/>
    </row>
    <row r="14" spans="1:14" s="38" customFormat="1" x14ac:dyDescent="0.2">
      <c r="A14" s="39" t="s">
        <v>76</v>
      </c>
      <c r="B14" s="40" t="str">
        <f>"Planned Annual Contributions by "&amp;Partner8&amp;" - by Strategic Objective and Result/Indicator"</f>
        <v>Planned Annual Contributions by [No está en uso]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409" t="s">
        <v>106</v>
      </c>
      <c r="J19" s="54" t="str">
        <f>CURR_INT_ABBR</f>
        <v>USD</v>
      </c>
      <c r="K19" s="54" t="str">
        <f>CURR_INT_ABBR</f>
        <v>USD</v>
      </c>
      <c r="L19" s="54" t="str">
        <f>CURR_INT_ABBR</f>
        <v>USD</v>
      </c>
      <c r="M19" s="54" t="str">
        <f>CURR_INT_ABBR</f>
        <v>USD</v>
      </c>
      <c r="N19" s="54" t="str">
        <f>CURR_INT_ABBR</f>
        <v>USD</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67">
        <f>SUM(J20:N20)</f>
        <v>0</v>
      </c>
      <c r="J20" s="61"/>
      <c r="K20" s="61"/>
      <c r="L20" s="61"/>
      <c r="M20" s="61"/>
      <c r="N20" s="61"/>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67">
        <f t="shared" ref="I21:I22" si="2">SUM(J21:N21)</f>
        <v>0</v>
      </c>
      <c r="J21" s="61"/>
      <c r="K21" s="61"/>
      <c r="L21" s="61"/>
      <c r="M21" s="61"/>
      <c r="N21" s="61"/>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67">
        <f t="shared" si="2"/>
        <v>0</v>
      </c>
      <c r="J22" s="61"/>
      <c r="K22" s="61"/>
      <c r="L22" s="61"/>
      <c r="M22" s="61"/>
      <c r="N22" s="61"/>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67">
        <f>SUM(J23:N23)</f>
        <v>0</v>
      </c>
      <c r="J23" s="61"/>
      <c r="K23" s="61"/>
      <c r="L23" s="61"/>
      <c r="M23" s="61"/>
      <c r="N23" s="61"/>
    </row>
    <row r="24" spans="6:14" s="38" customFormat="1" ht="12" x14ac:dyDescent="0.2">
      <c r="F24" s="448"/>
      <c r="G24" s="41" t="str">
        <f>STRAT1_IND5</f>
        <v>Objetivo estratégico 1 Indicador 5</v>
      </c>
      <c r="H24" s="260" t="str">
        <f ca="1">OFFSET(Variables_Lu!$D$10,Basic_Setup!H38,0)</f>
        <v>Governance</v>
      </c>
      <c r="I24" s="67">
        <f>SUM(J24:N24)</f>
        <v>0</v>
      </c>
      <c r="J24" s="61"/>
      <c r="K24" s="61"/>
      <c r="L24" s="61"/>
      <c r="M24" s="61"/>
      <c r="N24" s="61"/>
    </row>
    <row r="25" spans="6:14" s="38" customFormat="1" ht="12" x14ac:dyDescent="0.2">
      <c r="H25" s="152" t="s">
        <v>107</v>
      </c>
      <c r="I25" s="250">
        <f>SUM(I20:I24)</f>
        <v>0</v>
      </c>
      <c r="J25" s="64">
        <f>SUM(J20:J24)</f>
        <v>0</v>
      </c>
      <c r="K25" s="64">
        <f t="shared" ref="K25:N25" si="3">SUM(K20:K24)</f>
        <v>0</v>
      </c>
      <c r="L25" s="64">
        <f t="shared" si="3"/>
        <v>0</v>
      </c>
      <c r="M25" s="64">
        <f t="shared" si="3"/>
        <v>0</v>
      </c>
      <c r="N25" s="64">
        <f t="shared" si="3"/>
        <v>0</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67">
        <f>SUM(J26:N26)</f>
        <v>0</v>
      </c>
      <c r="J26" s="61"/>
      <c r="K26" s="61"/>
      <c r="L26" s="61"/>
      <c r="M26" s="61"/>
      <c r="N26" s="61"/>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67">
        <f t="shared" ref="I27:I30" si="4">SUM(J27:N27)</f>
        <v>0</v>
      </c>
      <c r="J27" s="61"/>
      <c r="K27" s="61"/>
      <c r="L27" s="61"/>
      <c r="M27" s="61"/>
      <c r="N27" s="61"/>
    </row>
    <row r="28" spans="6:14" s="38" customFormat="1" ht="22.8" x14ac:dyDescent="0.2">
      <c r="F28" s="447"/>
      <c r="G28" s="42" t="str">
        <f>STRAT2_IND3</f>
        <v>Se refuerzan las intervenciones comunitarias en materia de nutrición.</v>
      </c>
      <c r="H28" s="260" t="str">
        <f ca="1">OFFSET(Variables_Lu!$D$10,Basic_Setup!H42,0)</f>
        <v>Nutrition-specific</v>
      </c>
      <c r="I28" s="67">
        <f t="shared" si="4"/>
        <v>0</v>
      </c>
      <c r="J28" s="61"/>
      <c r="K28" s="61"/>
      <c r="L28" s="61"/>
      <c r="M28" s="61"/>
      <c r="N28" s="61"/>
    </row>
    <row r="29" spans="6:14" s="38" customFormat="1" ht="12" x14ac:dyDescent="0.2">
      <c r="F29" s="447"/>
      <c r="G29" s="41" t="str">
        <f>STRAT2_IND4</f>
        <v>Objetivo estratégico 2 Indicador 4</v>
      </c>
      <c r="H29" s="260" t="str">
        <f ca="1">OFFSET(Variables_Lu!$D$10,Basic_Setup!H43,0)</f>
        <v>Nutrition-specific</v>
      </c>
      <c r="I29" s="67">
        <f t="shared" si="4"/>
        <v>0</v>
      </c>
      <c r="J29" s="61"/>
      <c r="K29" s="61"/>
      <c r="L29" s="61"/>
      <c r="M29" s="61"/>
      <c r="N29" s="61"/>
    </row>
    <row r="30" spans="6:14" s="38" customFormat="1" ht="12" x14ac:dyDescent="0.2">
      <c r="F30" s="448"/>
      <c r="G30" s="41" t="str">
        <f>STRAT2_IND5</f>
        <v>Objetivo estratégico 2 Indicador 5</v>
      </c>
      <c r="H30" s="260" t="str">
        <f ca="1">OFFSET(Variables_Lu!$D$10,Basic_Setup!H44,0)</f>
        <v>Nutrition-specific</v>
      </c>
      <c r="I30" s="67">
        <f t="shared" si="4"/>
        <v>0</v>
      </c>
      <c r="J30" s="61"/>
      <c r="K30" s="61"/>
      <c r="L30" s="61"/>
      <c r="M30" s="61"/>
      <c r="N30" s="61"/>
    </row>
    <row r="31" spans="6:14" s="38" customFormat="1" ht="12" x14ac:dyDescent="0.2">
      <c r="H31" s="152" t="s">
        <v>108</v>
      </c>
      <c r="I31" s="250">
        <f t="shared" ref="I31" si="5">SUM(I26:I30)</f>
        <v>0</v>
      </c>
      <c r="J31" s="64">
        <f t="shared" ref="J31:N31" si="6">SUM(J26:J30)</f>
        <v>0</v>
      </c>
      <c r="K31" s="64">
        <f t="shared" si="6"/>
        <v>0</v>
      </c>
      <c r="L31" s="64">
        <f t="shared" si="6"/>
        <v>0</v>
      </c>
      <c r="M31" s="64">
        <f t="shared" si="6"/>
        <v>0</v>
      </c>
      <c r="N31" s="64">
        <f t="shared" si="6"/>
        <v>0</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67">
        <f>SUM(J32:N32)</f>
        <v>0</v>
      </c>
      <c r="J32" s="61"/>
      <c r="K32" s="61"/>
      <c r="L32" s="61"/>
      <c r="M32" s="61"/>
      <c r="N32" s="61"/>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67">
        <f t="shared" ref="I33:I36" si="7">SUM(J33:N33)</f>
        <v>0</v>
      </c>
      <c r="J33" s="61"/>
      <c r="K33" s="61"/>
      <c r="L33" s="61"/>
      <c r="M33" s="61"/>
      <c r="N33" s="61"/>
    </row>
    <row r="34" spans="6:14" s="38" customFormat="1" ht="12" x14ac:dyDescent="0.2">
      <c r="F34" s="447"/>
      <c r="G34" s="42" t="str">
        <f>STRAT3_IND3</f>
        <v>Objetivo estratégico 3 Indicador 3</v>
      </c>
      <c r="H34" s="260" t="str">
        <f ca="1">OFFSET(Variables_Lu!$D$10,Basic_Setup!H48,0)</f>
        <v>Nutrition-specific</v>
      </c>
      <c r="I34" s="67">
        <f t="shared" si="7"/>
        <v>0</v>
      </c>
      <c r="J34" s="61"/>
      <c r="K34" s="61"/>
      <c r="L34" s="61"/>
      <c r="M34" s="61"/>
      <c r="N34" s="61"/>
    </row>
    <row r="35" spans="6:14" s="38" customFormat="1" ht="12" x14ac:dyDescent="0.2">
      <c r="F35" s="447"/>
      <c r="G35" s="41" t="str">
        <f>STRAT3_IND4</f>
        <v>Objetivo estratégico 3 Indicador 4</v>
      </c>
      <c r="H35" s="260" t="str">
        <f ca="1">OFFSET(Variables_Lu!$D$10,Basic_Setup!H49,0)</f>
        <v>Nutrition-specific</v>
      </c>
      <c r="I35" s="67">
        <f t="shared" si="7"/>
        <v>0</v>
      </c>
      <c r="J35" s="61"/>
      <c r="K35" s="61"/>
      <c r="L35" s="61"/>
      <c r="M35" s="61"/>
      <c r="N35" s="61"/>
    </row>
    <row r="36" spans="6:14" s="38" customFormat="1" ht="12" x14ac:dyDescent="0.2">
      <c r="F36" s="448"/>
      <c r="G36" s="41" t="str">
        <f>STRAT3_IND5</f>
        <v>Objetivo estratégico 3 Indicador 5</v>
      </c>
      <c r="H36" s="260" t="str">
        <f ca="1">OFFSET(Variables_Lu!$D$10,Basic_Setup!H50,0)</f>
        <v>Nutrition-specific</v>
      </c>
      <c r="I36" s="67">
        <f t="shared" si="7"/>
        <v>0</v>
      </c>
      <c r="J36" s="61"/>
      <c r="K36" s="61"/>
      <c r="L36" s="61"/>
      <c r="M36" s="61"/>
      <c r="N36" s="61"/>
    </row>
    <row r="37" spans="6:14" ht="12" x14ac:dyDescent="0.2">
      <c r="H37" s="152" t="s">
        <v>109</v>
      </c>
      <c r="I37" s="250">
        <f>SUM(I32:I36)</f>
        <v>0</v>
      </c>
      <c r="J37" s="64">
        <f>SUM(J32:J36)</f>
        <v>0</v>
      </c>
      <c r="K37" s="64">
        <f t="shared" ref="K37:N37" si="8">SUM(K32:K36)</f>
        <v>0</v>
      </c>
      <c r="L37" s="64">
        <f t="shared" si="8"/>
        <v>0</v>
      </c>
      <c r="M37" s="64">
        <f t="shared" si="8"/>
        <v>0</v>
      </c>
      <c r="N37" s="64">
        <f t="shared" si="8"/>
        <v>0</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67">
        <f>SUM(J38:N38)</f>
        <v>0</v>
      </c>
      <c r="J38" s="61"/>
      <c r="K38" s="61"/>
      <c r="L38" s="61"/>
      <c r="M38" s="61"/>
      <c r="N38" s="61"/>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67">
        <f t="shared" ref="I39:I42" si="9">SUM(J39:N39)</f>
        <v>0</v>
      </c>
      <c r="J39" s="61"/>
      <c r="K39" s="61"/>
      <c r="L39" s="61"/>
      <c r="M39" s="61"/>
      <c r="N39" s="61"/>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67">
        <f>SUM(J40:N40)</f>
        <v>0</v>
      </c>
      <c r="J40" s="61"/>
      <c r="K40" s="61"/>
      <c r="L40" s="61"/>
      <c r="M40" s="61"/>
      <c r="N40" s="61"/>
    </row>
    <row r="41" spans="6:14" ht="12" x14ac:dyDescent="0.2">
      <c r="F41" s="447"/>
      <c r="G41" s="41" t="str">
        <f>STRAT4_IND4</f>
        <v>Objetivo estratégico 4 Indicador 4</v>
      </c>
      <c r="H41" s="260" t="str">
        <f ca="1">OFFSET(Variables_Lu!$D$10,Basic_Setup!H55,0)</f>
        <v>Nutrition-specific</v>
      </c>
      <c r="I41" s="67">
        <f>SUM(J41:N41)</f>
        <v>0</v>
      </c>
      <c r="J41" s="61"/>
      <c r="K41" s="61"/>
      <c r="L41" s="61"/>
      <c r="M41" s="61"/>
      <c r="N41" s="61"/>
    </row>
    <row r="42" spans="6:14" ht="12" x14ac:dyDescent="0.2">
      <c r="F42" s="448"/>
      <c r="G42" s="41" t="str">
        <f>STRAT4_IND5</f>
        <v>Objetivo estratégico 4 Indicador 5</v>
      </c>
      <c r="H42" s="260" t="str">
        <f ca="1">OFFSET(Variables_Lu!$D$10,Basic_Setup!H56,0)</f>
        <v>Nutrition-specific</v>
      </c>
      <c r="I42" s="67">
        <f t="shared" si="9"/>
        <v>0</v>
      </c>
      <c r="J42" s="61"/>
      <c r="K42" s="61"/>
      <c r="L42" s="61"/>
      <c r="M42" s="61"/>
      <c r="N42" s="61"/>
    </row>
    <row r="43" spans="6:14" ht="12" x14ac:dyDescent="0.2">
      <c r="H43" s="152" t="s">
        <v>110</v>
      </c>
      <c r="I43" s="250">
        <f>SUM(I38:I42)</f>
        <v>0</v>
      </c>
      <c r="J43" s="64">
        <f>SUM(J38:J42)</f>
        <v>0</v>
      </c>
      <c r="K43" s="64">
        <f t="shared" ref="K43:N43" si="10">SUM(K38:K42)</f>
        <v>0</v>
      </c>
      <c r="L43" s="64">
        <f t="shared" si="10"/>
        <v>0</v>
      </c>
      <c r="M43" s="64">
        <f t="shared" si="10"/>
        <v>0</v>
      </c>
      <c r="N43" s="64">
        <f t="shared" si="10"/>
        <v>0</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67">
        <f>SUM(J44:N44)</f>
        <v>0</v>
      </c>
      <c r="J44" s="61"/>
      <c r="K44" s="61"/>
      <c r="L44" s="61"/>
      <c r="M44" s="61"/>
      <c r="N44" s="61"/>
    </row>
    <row r="45" spans="6:14" ht="22.8" x14ac:dyDescent="0.2">
      <c r="F45" s="447"/>
      <c r="G45" s="42" t="str">
        <f>STRAT5_IND2</f>
        <v>Se promueven dietas saludables y estilos de vida saludables para las personas.</v>
      </c>
      <c r="H45" s="260" t="str">
        <f ca="1">OFFSET(Variables_Lu!$D$10,Basic_Setup!H59,0)</f>
        <v>Nutrition-specific</v>
      </c>
      <c r="I45" s="67">
        <f t="shared" ref="I45:I48" si="11">SUM(J45:N45)</f>
        <v>0</v>
      </c>
      <c r="J45" s="61"/>
      <c r="K45" s="61"/>
      <c r="L45" s="61"/>
      <c r="M45" s="61"/>
      <c r="N45" s="61"/>
    </row>
    <row r="46" spans="6:14" ht="22.8" x14ac:dyDescent="0.2">
      <c r="F46" s="447"/>
      <c r="G46" s="42" t="str">
        <f>STRAT5_IND3</f>
        <v>Se promueven las buenas prácticas WASH a nivel comunitario y doméstico</v>
      </c>
      <c r="H46" s="260" t="str">
        <f ca="1">OFFSET(Variables_Lu!$D$10,Basic_Setup!H60,0)</f>
        <v>Nutrition-sensitive</v>
      </c>
      <c r="I46" s="67">
        <f t="shared" si="11"/>
        <v>0</v>
      </c>
      <c r="J46" s="61"/>
      <c r="K46" s="61"/>
      <c r="L46" s="61"/>
      <c r="M46" s="61"/>
      <c r="N46" s="61"/>
    </row>
    <row r="47" spans="6:14" ht="12" x14ac:dyDescent="0.2">
      <c r="F47" s="447"/>
      <c r="G47" s="41" t="str">
        <f>STRAT5_IND4</f>
        <v>Objetivo estratégico 5 Indicador 4</v>
      </c>
      <c r="H47" s="260" t="str">
        <f ca="1">OFFSET(Variables_Lu!$D$10,Basic_Setup!H61,0)</f>
        <v>Nutrition-specific</v>
      </c>
      <c r="I47" s="67">
        <f t="shared" si="11"/>
        <v>0</v>
      </c>
      <c r="J47" s="61"/>
      <c r="K47" s="61"/>
      <c r="L47" s="61"/>
      <c r="M47" s="61"/>
      <c r="N47" s="61"/>
    </row>
    <row r="48" spans="6:14" ht="12" x14ac:dyDescent="0.2">
      <c r="F48" s="448"/>
      <c r="G48" s="41" t="str">
        <f>STRAT5_IND5</f>
        <v>Objetivo estratégico 5 Indicador 5</v>
      </c>
      <c r="H48" s="260" t="str">
        <f ca="1">OFFSET(Variables_Lu!$D$10,Basic_Setup!H62,0)</f>
        <v>Nutrition-specific</v>
      </c>
      <c r="I48" s="67">
        <f t="shared" si="11"/>
        <v>0</v>
      </c>
      <c r="J48" s="61"/>
      <c r="K48" s="61"/>
      <c r="L48" s="61"/>
      <c r="M48" s="61"/>
      <c r="N48" s="61"/>
    </row>
    <row r="49" spans="6:14" ht="12" x14ac:dyDescent="0.2">
      <c r="H49" s="152" t="s">
        <v>111</v>
      </c>
      <c r="I49" s="250">
        <f>SUM(I44:I48)</f>
        <v>0</v>
      </c>
      <c r="J49" s="64">
        <f>SUM(J44:J48)</f>
        <v>0</v>
      </c>
      <c r="K49" s="64">
        <f t="shared" ref="K49:N49" si="12">SUM(K44:K48)</f>
        <v>0</v>
      </c>
      <c r="L49" s="64">
        <f t="shared" si="12"/>
        <v>0</v>
      </c>
      <c r="M49" s="64">
        <f t="shared" si="12"/>
        <v>0</v>
      </c>
      <c r="N49" s="64">
        <f t="shared" si="12"/>
        <v>0</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67">
        <f>SUM(J50:N50)</f>
        <v>0</v>
      </c>
      <c r="J50" s="61"/>
      <c r="K50" s="61"/>
      <c r="L50" s="61"/>
      <c r="M50" s="61"/>
      <c r="N50" s="61"/>
    </row>
    <row r="51" spans="6:14" ht="12" x14ac:dyDescent="0.2">
      <c r="F51" s="447"/>
      <c r="G51" s="42" t="str">
        <f>STRAT6_IND2</f>
        <v>Objetivo estratégico 6 Indicador 2</v>
      </c>
      <c r="H51" s="260" t="str">
        <f ca="1">OFFSET(Variables_Lu!$D$10,Basic_Setup!H65,0)</f>
        <v>Nutrition-specific</v>
      </c>
      <c r="I51" s="67">
        <f>SUM(J51:N51)</f>
        <v>0</v>
      </c>
      <c r="J51" s="61"/>
      <c r="K51" s="61"/>
      <c r="L51" s="61"/>
      <c r="M51" s="61"/>
      <c r="N51" s="61"/>
    </row>
    <row r="52" spans="6:14" ht="12" x14ac:dyDescent="0.2">
      <c r="F52" s="447"/>
      <c r="G52" s="42" t="str">
        <f>STRAT6_IND3</f>
        <v>Objetivo estratégico 6 Indicador 3</v>
      </c>
      <c r="H52" s="260" t="str">
        <f ca="1">OFFSET(Variables_Lu!$D$10,Basic_Setup!H66,0)</f>
        <v>Nutrition-specific</v>
      </c>
      <c r="I52" s="67">
        <f>SUM(J52:N52)</f>
        <v>0</v>
      </c>
      <c r="J52" s="61"/>
      <c r="K52" s="61"/>
      <c r="L52" s="61"/>
      <c r="M52" s="61"/>
      <c r="N52" s="61"/>
    </row>
    <row r="53" spans="6:14" ht="12" x14ac:dyDescent="0.2">
      <c r="F53" s="447"/>
      <c r="G53" s="41" t="str">
        <f>STRAT6_IND4</f>
        <v>Objetivo estratégico 6 Indicador 4</v>
      </c>
      <c r="H53" s="260" t="str">
        <f ca="1">OFFSET(Variables_Lu!$D$10,Basic_Setup!H67,0)</f>
        <v>Nutrition-specific</v>
      </c>
      <c r="I53" s="67">
        <f>SUM(J53:N53)</f>
        <v>0</v>
      </c>
      <c r="J53" s="61"/>
      <c r="K53" s="61"/>
      <c r="L53" s="61"/>
      <c r="M53" s="61"/>
      <c r="N53" s="61"/>
    </row>
    <row r="54" spans="6:14" ht="12" x14ac:dyDescent="0.2">
      <c r="F54" s="448"/>
      <c r="G54" s="41" t="str">
        <f>STRAT6_IND5</f>
        <v>Objetivo estratégico 6 Indicador 5</v>
      </c>
      <c r="H54" s="260" t="str">
        <f ca="1">OFFSET(Variables_Lu!$D$10,Basic_Setup!H68,0)</f>
        <v>Nutrition-specific</v>
      </c>
      <c r="I54" s="67">
        <f>SUM(J54:N54)</f>
        <v>0</v>
      </c>
      <c r="J54" s="61"/>
      <c r="K54" s="61"/>
      <c r="L54" s="61"/>
      <c r="M54" s="61"/>
      <c r="N54" s="61"/>
    </row>
    <row r="55" spans="6:14" ht="12" x14ac:dyDescent="0.2">
      <c r="H55" s="152" t="s">
        <v>159</v>
      </c>
      <c r="I55" s="250">
        <f t="shared" ref="I55" si="13">SUM(I50:I54)</f>
        <v>0</v>
      </c>
      <c r="J55" s="64">
        <f t="shared" ref="J55:N55" si="14">SUM(J50:J54)</f>
        <v>0</v>
      </c>
      <c r="K55" s="64">
        <f t="shared" si="14"/>
        <v>0</v>
      </c>
      <c r="L55" s="64">
        <f t="shared" si="14"/>
        <v>0</v>
      </c>
      <c r="M55" s="64">
        <f t="shared" si="14"/>
        <v>0</v>
      </c>
      <c r="N55" s="64">
        <f t="shared" si="14"/>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67">
        <f>SUM(J56:N56)</f>
        <v>0</v>
      </c>
      <c r="J56" s="61"/>
      <c r="K56" s="61"/>
      <c r="L56" s="61"/>
      <c r="M56" s="61"/>
      <c r="N56" s="61"/>
    </row>
    <row r="57" spans="6:14" ht="12" x14ac:dyDescent="0.2">
      <c r="F57" s="447"/>
      <c r="G57" s="42" t="str">
        <f>STRAT7_IND2</f>
        <v>Objetivo estratégico 7 Indicador 2</v>
      </c>
      <c r="H57" s="260" t="str">
        <f ca="1">OFFSET(Variables_Lu!$D$10,Basic_Setup!H71,0)</f>
        <v>Nutrition-specific</v>
      </c>
      <c r="I57" s="67">
        <f>SUM(J57:N57)</f>
        <v>0</v>
      </c>
      <c r="J57" s="61"/>
      <c r="K57" s="61"/>
      <c r="L57" s="61"/>
      <c r="M57" s="61"/>
      <c r="N57" s="61"/>
    </row>
    <row r="58" spans="6:14" ht="12" x14ac:dyDescent="0.2">
      <c r="F58" s="447"/>
      <c r="G58" s="42" t="str">
        <f>STRAT7_IND3</f>
        <v>Objetivo estratégico 7 Indicador 3</v>
      </c>
      <c r="H58" s="260" t="str">
        <f ca="1">OFFSET(Variables_Lu!$D$10,Basic_Setup!H72,0)</f>
        <v>Nutrition-specific</v>
      </c>
      <c r="I58" s="67">
        <f>SUM(J58:N58)</f>
        <v>0</v>
      </c>
      <c r="J58" s="61"/>
      <c r="K58" s="61"/>
      <c r="L58" s="61"/>
      <c r="M58" s="61"/>
      <c r="N58" s="61"/>
    </row>
    <row r="59" spans="6:14" ht="12" x14ac:dyDescent="0.2">
      <c r="F59" s="447"/>
      <c r="G59" s="41" t="str">
        <f>STRAT7_IND4</f>
        <v>Objetivo estratégico 7 Indicador 4</v>
      </c>
      <c r="H59" s="260" t="str">
        <f ca="1">OFFSET(Variables_Lu!$D$10,Basic_Setup!H73,0)</f>
        <v>Nutrition-specific</v>
      </c>
      <c r="I59" s="67">
        <f>SUM(J59:N59)</f>
        <v>0</v>
      </c>
      <c r="J59" s="61"/>
      <c r="K59" s="61"/>
      <c r="L59" s="61"/>
      <c r="M59" s="61"/>
      <c r="N59" s="61"/>
    </row>
    <row r="60" spans="6:14" ht="12" x14ac:dyDescent="0.2">
      <c r="F60" s="448"/>
      <c r="G60" s="41" t="str">
        <f>STRAT7_IND5</f>
        <v>Objetivo estratégico 7 Indicador 5</v>
      </c>
      <c r="H60" s="260" t="str">
        <f ca="1">OFFSET(Variables_Lu!$D$10,Basic_Setup!H74,0)</f>
        <v>Nutrition-specific</v>
      </c>
      <c r="I60" s="67">
        <f>SUM(J60:N60)</f>
        <v>0</v>
      </c>
      <c r="J60" s="61"/>
      <c r="K60" s="61"/>
      <c r="L60" s="61"/>
      <c r="M60" s="61"/>
      <c r="N60" s="61"/>
    </row>
    <row r="61" spans="6:14" ht="12" x14ac:dyDescent="0.2">
      <c r="H61" s="152" t="s">
        <v>160</v>
      </c>
      <c r="I61" s="250">
        <f t="shared" ref="I61" si="15">SUM(I56:I60)</f>
        <v>0</v>
      </c>
      <c r="J61" s="64">
        <f t="shared" ref="J61:N61" si="16">SUM(J56:J60)</f>
        <v>0</v>
      </c>
      <c r="K61" s="64">
        <f t="shared" si="16"/>
        <v>0</v>
      </c>
      <c r="L61" s="64">
        <f t="shared" si="16"/>
        <v>0</v>
      </c>
      <c r="M61" s="64">
        <f t="shared" si="16"/>
        <v>0</v>
      </c>
      <c r="N61" s="64">
        <f t="shared" si="16"/>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67">
        <f>SUM(J62:N62)</f>
        <v>0</v>
      </c>
      <c r="J62" s="61"/>
      <c r="K62" s="61"/>
      <c r="L62" s="61"/>
      <c r="M62" s="61"/>
      <c r="N62" s="61"/>
    </row>
    <row r="63" spans="6:14" ht="12" x14ac:dyDescent="0.2">
      <c r="F63" s="447"/>
      <c r="G63" s="42" t="str">
        <f>STRAT8_IND2</f>
        <v>Objetivo estratégico 8 Indicador 2</v>
      </c>
      <c r="H63" s="260" t="str">
        <f ca="1">OFFSET(Variables_Lu!$D$10,Basic_Setup!H77,0)</f>
        <v>Nutrition-specific</v>
      </c>
      <c r="I63" s="67">
        <f>SUM(J63:N63)</f>
        <v>0</v>
      </c>
      <c r="J63" s="61"/>
      <c r="K63" s="61"/>
      <c r="L63" s="61"/>
      <c r="M63" s="61"/>
      <c r="N63" s="61"/>
    </row>
    <row r="64" spans="6:14" ht="12" x14ac:dyDescent="0.2">
      <c r="F64" s="447"/>
      <c r="G64" s="42" t="str">
        <f>STRAT8_IND3</f>
        <v>Objetivo estratégico 8 Indicador 3</v>
      </c>
      <c r="H64" s="260" t="str">
        <f ca="1">OFFSET(Variables_Lu!$D$10,Basic_Setup!H78,0)</f>
        <v>Nutrition-specific</v>
      </c>
      <c r="I64" s="67">
        <f>SUM(J64:N64)</f>
        <v>0</v>
      </c>
      <c r="J64" s="61"/>
      <c r="K64" s="61"/>
      <c r="L64" s="61"/>
      <c r="M64" s="61"/>
      <c r="N64" s="61"/>
    </row>
    <row r="65" spans="6:14" ht="12" x14ac:dyDescent="0.2">
      <c r="F65" s="447"/>
      <c r="G65" s="41" t="str">
        <f>STRAT8_IND4</f>
        <v>Objetivo estratégico 8 Indicador 4</v>
      </c>
      <c r="H65" s="260" t="str">
        <f ca="1">OFFSET(Variables_Lu!$D$10,Basic_Setup!H79,0)</f>
        <v>Nutrition-specific</v>
      </c>
      <c r="I65" s="67">
        <f>SUM(J65:N65)</f>
        <v>0</v>
      </c>
      <c r="J65" s="61"/>
      <c r="K65" s="61"/>
      <c r="L65" s="61"/>
      <c r="M65" s="61"/>
      <c r="N65" s="61"/>
    </row>
    <row r="66" spans="6:14" ht="12" x14ac:dyDescent="0.2">
      <c r="F66" s="448"/>
      <c r="G66" s="41" t="str">
        <f>STRAT8_IND5</f>
        <v>Objetivo estratégico 8 Indicador 5</v>
      </c>
      <c r="H66" s="260" t="str">
        <f ca="1">OFFSET(Variables_Lu!$D$10,Basic_Setup!H80,0)</f>
        <v>Nutrition-specific</v>
      </c>
      <c r="I66" s="67">
        <f>SUM(J66:N66)</f>
        <v>0</v>
      </c>
      <c r="J66" s="61"/>
      <c r="K66" s="61"/>
      <c r="L66" s="61"/>
      <c r="M66" s="61"/>
      <c r="N66" s="61"/>
    </row>
    <row r="67" spans="6:14" ht="12" x14ac:dyDescent="0.2">
      <c r="H67" s="152" t="s">
        <v>161</v>
      </c>
      <c r="I67" s="250">
        <f t="shared" ref="I67" si="17">SUM(I62:I66)</f>
        <v>0</v>
      </c>
      <c r="J67" s="64">
        <f t="shared" ref="J67:N67" si="18">SUM(J62:J66)</f>
        <v>0</v>
      </c>
      <c r="K67" s="64">
        <f t="shared" si="18"/>
        <v>0</v>
      </c>
      <c r="L67" s="64">
        <f t="shared" si="18"/>
        <v>0</v>
      </c>
      <c r="M67" s="64">
        <f t="shared" si="18"/>
        <v>0</v>
      </c>
      <c r="N67" s="64">
        <f t="shared" si="18"/>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67">
        <f>SUM(J68:N68)</f>
        <v>0</v>
      </c>
      <c r="J68" s="61"/>
      <c r="K68" s="61"/>
      <c r="L68" s="61"/>
      <c r="M68" s="61"/>
      <c r="N68" s="61"/>
    </row>
    <row r="69" spans="6:14" ht="12" x14ac:dyDescent="0.2">
      <c r="F69" s="447"/>
      <c r="G69" s="42" t="str">
        <f>STRAT9_IND2</f>
        <v>Objetivo estratégico 9 Indicador 2</v>
      </c>
      <c r="H69" s="260" t="str">
        <f ca="1">OFFSET(Variables_Lu!$D$10,Basic_Setup!H83,0)</f>
        <v>Nutrition-specific</v>
      </c>
      <c r="I69" s="67">
        <f>SUM(J69:N69)</f>
        <v>0</v>
      </c>
      <c r="J69" s="61"/>
      <c r="K69" s="61"/>
      <c r="L69" s="61"/>
      <c r="M69" s="61"/>
      <c r="N69" s="61"/>
    </row>
    <row r="70" spans="6:14" ht="12" x14ac:dyDescent="0.2">
      <c r="F70" s="447"/>
      <c r="G70" s="42" t="str">
        <f>STRAT9_IND3</f>
        <v>Objetivo estratégico 9 Indicador 3</v>
      </c>
      <c r="H70" s="260" t="str">
        <f ca="1">OFFSET(Variables_Lu!$D$10,Basic_Setup!H84,0)</f>
        <v>Nutrition-specific</v>
      </c>
      <c r="I70" s="67">
        <f>SUM(J70:N70)</f>
        <v>0</v>
      </c>
      <c r="J70" s="61"/>
      <c r="K70" s="61"/>
      <c r="L70" s="61"/>
      <c r="M70" s="61"/>
      <c r="N70" s="61"/>
    </row>
    <row r="71" spans="6:14" ht="12" x14ac:dyDescent="0.2">
      <c r="F71" s="447"/>
      <c r="G71" s="41" t="str">
        <f>STRAT9_IND4</f>
        <v>Objetivo estratégico 9 Indicador 4</v>
      </c>
      <c r="H71" s="260" t="str">
        <f ca="1">OFFSET(Variables_Lu!$D$10,Basic_Setup!H85,0)</f>
        <v>Nutrition-specific</v>
      </c>
      <c r="I71" s="67">
        <f>SUM(J71:N71)</f>
        <v>0</v>
      </c>
      <c r="J71" s="61"/>
      <c r="K71" s="61"/>
      <c r="L71" s="61"/>
      <c r="M71" s="61"/>
      <c r="N71" s="61"/>
    </row>
    <row r="72" spans="6:14" ht="12" x14ac:dyDescent="0.2">
      <c r="F72" s="448"/>
      <c r="G72" s="41" t="str">
        <f>STRAT9_IND5</f>
        <v>Objetivo estratégico 9 Indicador 5</v>
      </c>
      <c r="H72" s="260" t="str">
        <f ca="1">OFFSET(Variables_Lu!$D$10,Basic_Setup!H86,0)</f>
        <v>Nutrition-specific</v>
      </c>
      <c r="I72" s="67">
        <f>SUM(J72:N72)</f>
        <v>0</v>
      </c>
      <c r="J72" s="61"/>
      <c r="K72" s="61"/>
      <c r="L72" s="61"/>
      <c r="M72" s="61"/>
      <c r="N72" s="61"/>
    </row>
    <row r="73" spans="6:14" ht="12" x14ac:dyDescent="0.2">
      <c r="H73" s="152" t="s">
        <v>162</v>
      </c>
      <c r="I73" s="250">
        <f t="shared" ref="I73" si="19">SUM(I68:I72)</f>
        <v>0</v>
      </c>
      <c r="J73" s="64">
        <f t="shared" ref="J73:N73" si="20">SUM(J68:J72)</f>
        <v>0</v>
      </c>
      <c r="K73" s="64">
        <f t="shared" si="20"/>
        <v>0</v>
      </c>
      <c r="L73" s="64">
        <f t="shared" si="20"/>
        <v>0</v>
      </c>
      <c r="M73" s="64">
        <f t="shared" si="20"/>
        <v>0</v>
      </c>
      <c r="N73" s="64">
        <f t="shared" si="20"/>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67">
        <f>SUM(J74:N74)</f>
        <v>0</v>
      </c>
      <c r="J74" s="61"/>
      <c r="K74" s="61"/>
      <c r="L74" s="61"/>
      <c r="M74" s="61"/>
      <c r="N74" s="61"/>
    </row>
    <row r="75" spans="6:14" ht="12" x14ac:dyDescent="0.2">
      <c r="F75" s="447"/>
      <c r="G75" s="42" t="str">
        <f>STRAT10_IND2</f>
        <v>Objetivo estratégico 10 Indicador 2</v>
      </c>
      <c r="H75" s="260" t="str">
        <f ca="1">OFFSET(Variables_Lu!$D$10,Basic_Setup!H89,0)</f>
        <v>Nutrition-specific</v>
      </c>
      <c r="I75" s="67">
        <f>SUM(J75:N75)</f>
        <v>0</v>
      </c>
      <c r="J75" s="61"/>
      <c r="K75" s="61"/>
      <c r="L75" s="61"/>
      <c r="M75" s="61"/>
      <c r="N75" s="61"/>
    </row>
    <row r="76" spans="6:14" ht="12" x14ac:dyDescent="0.2">
      <c r="F76" s="447"/>
      <c r="G76" s="42" t="str">
        <f>STRAT10_IND3</f>
        <v>Objetivo estratégico 10 Indicador 3</v>
      </c>
      <c r="H76" s="260" t="str">
        <f ca="1">OFFSET(Variables_Lu!$D$10,Basic_Setup!H90,0)</f>
        <v>Nutrition-specific</v>
      </c>
      <c r="I76" s="67">
        <f>SUM(J76:N76)</f>
        <v>0</v>
      </c>
      <c r="J76" s="61"/>
      <c r="K76" s="61"/>
      <c r="L76" s="61"/>
      <c r="M76" s="61"/>
      <c r="N76" s="61"/>
    </row>
    <row r="77" spans="6:14" ht="11.25" customHeight="1" x14ac:dyDescent="0.2">
      <c r="F77" s="447"/>
      <c r="G77" s="41" t="str">
        <f>STRAT10_IND4</f>
        <v>Objetivo estratégico 10 Indicador 4</v>
      </c>
      <c r="H77" s="260" t="str">
        <f ca="1">OFFSET(Variables_Lu!$D$10,Basic_Setup!H91,0)</f>
        <v>Nutrition-specific</v>
      </c>
      <c r="I77" s="67">
        <f>SUM(J77:N77)</f>
        <v>0</v>
      </c>
      <c r="J77" s="61"/>
      <c r="K77" s="61"/>
      <c r="L77" s="61"/>
      <c r="M77" s="61"/>
      <c r="N77" s="61"/>
    </row>
    <row r="78" spans="6:14" ht="11.25" customHeight="1" x14ac:dyDescent="0.2">
      <c r="F78" s="448"/>
      <c r="G78" s="41" t="str">
        <f>STRAT10_IND5</f>
        <v>Objetivo estratégico 10 Indicador 5</v>
      </c>
      <c r="H78" s="260" t="str">
        <f ca="1">OFFSET(Variables_Lu!$D$10,Basic_Setup!H92,0)</f>
        <v>Nutrition-specific</v>
      </c>
      <c r="I78" s="67">
        <f>SUM(J78:N78)</f>
        <v>0</v>
      </c>
      <c r="J78" s="61"/>
      <c r="K78" s="61"/>
      <c r="L78" s="61"/>
      <c r="M78" s="61"/>
      <c r="N78" s="61"/>
    </row>
    <row r="79" spans="6:14" ht="11.25" customHeight="1" x14ac:dyDescent="0.2">
      <c r="H79" s="152" t="s">
        <v>163</v>
      </c>
      <c r="I79" s="250">
        <f t="shared" ref="I79" si="21">SUM(I74:I78)</f>
        <v>0</v>
      </c>
      <c r="J79" s="64">
        <f t="shared" ref="J79:N79" si="22">SUM(J74:J78)</f>
        <v>0</v>
      </c>
      <c r="K79" s="64">
        <f t="shared" si="22"/>
        <v>0</v>
      </c>
      <c r="L79" s="64">
        <f t="shared" si="22"/>
        <v>0</v>
      </c>
      <c r="M79" s="64">
        <f t="shared" si="22"/>
        <v>0</v>
      </c>
      <c r="N79" s="64">
        <f t="shared" si="22"/>
        <v>0</v>
      </c>
    </row>
    <row r="80" spans="6:14" ht="11.25" customHeight="1" x14ac:dyDescent="0.2"/>
    <row r="81" spans="6:14" ht="12.6" thickBot="1" x14ac:dyDescent="0.25">
      <c r="H81" s="149" t="str">
        <f>"TOTAL - "&amp;$F$12</f>
        <v>TOTAL - [No está en uso]</v>
      </c>
      <c r="I81" s="65">
        <f t="shared" ref="I81:N81" si="23">SUM(I25,I31,I37,I43,I49,I55,I61,I67,I73,I79)</f>
        <v>0</v>
      </c>
      <c r="J81" s="65">
        <f t="shared" si="23"/>
        <v>0</v>
      </c>
      <c r="K81" s="65">
        <f t="shared" si="23"/>
        <v>0</v>
      </c>
      <c r="L81" s="65">
        <f t="shared" si="23"/>
        <v>0</v>
      </c>
      <c r="M81" s="65">
        <f t="shared" si="23"/>
        <v>0</v>
      </c>
      <c r="N81" s="65">
        <f t="shared" si="23"/>
        <v>0</v>
      </c>
    </row>
    <row r="82" spans="6:14" ht="12" x14ac:dyDescent="0.2">
      <c r="I82" s="149"/>
    </row>
    <row r="83" spans="6:14" ht="12" x14ac:dyDescent="0.2">
      <c r="F83" s="44" t="s">
        <v>171</v>
      </c>
    </row>
    <row r="84" spans="6:14" x14ac:dyDescent="0.2">
      <c r="F84" s="49" t="s">
        <v>174</v>
      </c>
    </row>
    <row r="85" spans="6:14" x14ac:dyDescent="0.2">
      <c r="F85" s="49" t="s">
        <v>175</v>
      </c>
    </row>
    <row r="86" spans="6:14" x14ac:dyDescent="0.2">
      <c r="F86" s="49"/>
    </row>
    <row r="87" spans="6:14" x14ac:dyDescent="0.2">
      <c r="F87" s="49"/>
    </row>
    <row r="90" spans="6:14" ht="12.6" thickBot="1" x14ac:dyDescent="0.25">
      <c r="F90" s="1" t="s">
        <v>411</v>
      </c>
      <c r="G90" s="1" t="s">
        <v>412</v>
      </c>
      <c r="H90" s="406" t="s">
        <v>472</v>
      </c>
      <c r="I90" s="409" t="s">
        <v>106</v>
      </c>
      <c r="J90" s="54" t="str">
        <f>CURR_LCU_ABBR</f>
        <v>GOZ</v>
      </c>
      <c r="K90" s="54" t="str">
        <f>CURR_LCU_ABBR</f>
        <v>GOZ</v>
      </c>
      <c r="L90" s="54" t="str">
        <f>CURR_LCU_ABBR</f>
        <v>GOZ</v>
      </c>
      <c r="M90" s="54" t="str">
        <f>CURR_LCU_ABBR</f>
        <v>GOZ</v>
      </c>
      <c r="N90" s="54" t="str">
        <f>CURR_LCU_ABBR</f>
        <v>GOZ</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248">
        <f t="shared" ref="I91:N101" si="24">I20*EXCHANGE_RATE</f>
        <v>0</v>
      </c>
      <c r="J91" s="220">
        <f t="shared" si="24"/>
        <v>0</v>
      </c>
      <c r="K91" s="220">
        <f t="shared" si="24"/>
        <v>0</v>
      </c>
      <c r="L91" s="220">
        <f t="shared" si="24"/>
        <v>0</v>
      </c>
      <c r="M91" s="220">
        <f t="shared" si="24"/>
        <v>0</v>
      </c>
      <c r="N91" s="220">
        <f t="shared" si="24"/>
        <v>0</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248">
        <f t="shared" si="24"/>
        <v>0</v>
      </c>
      <c r="J92" s="220">
        <f t="shared" si="24"/>
        <v>0</v>
      </c>
      <c r="K92" s="220">
        <f t="shared" si="24"/>
        <v>0</v>
      </c>
      <c r="L92" s="220">
        <f t="shared" si="24"/>
        <v>0</v>
      </c>
      <c r="M92" s="220">
        <f t="shared" si="24"/>
        <v>0</v>
      </c>
      <c r="N92" s="220">
        <f t="shared" si="24"/>
        <v>0</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248">
        <f t="shared" si="24"/>
        <v>0</v>
      </c>
      <c r="J93" s="220">
        <f t="shared" si="24"/>
        <v>0</v>
      </c>
      <c r="K93" s="220">
        <f t="shared" si="24"/>
        <v>0</v>
      </c>
      <c r="L93" s="220">
        <f t="shared" si="24"/>
        <v>0</v>
      </c>
      <c r="M93" s="220">
        <f t="shared" si="24"/>
        <v>0</v>
      </c>
      <c r="N93" s="220">
        <f t="shared" si="24"/>
        <v>0</v>
      </c>
    </row>
    <row r="94" spans="6:14" ht="22.8" x14ac:dyDescent="0.2">
      <c r="F94" s="444"/>
      <c r="G94" s="41" t="str">
        <f>STRAT1_IND4</f>
        <v>El marco legislativo y reglamentario de la nutrición se ha fortalecido y está en funcionamiento.</v>
      </c>
      <c r="H94" s="268" t="str">
        <f ca="1">OFFSET(Variables_Lu!$D$10,Basic_Setup!H37,0)</f>
        <v>Governance</v>
      </c>
      <c r="I94" s="248">
        <f t="shared" si="24"/>
        <v>0</v>
      </c>
      <c r="J94" s="220">
        <f t="shared" si="24"/>
        <v>0</v>
      </c>
      <c r="K94" s="220">
        <f t="shared" si="24"/>
        <v>0</v>
      </c>
      <c r="L94" s="220">
        <f t="shared" si="24"/>
        <v>0</v>
      </c>
      <c r="M94" s="220">
        <f t="shared" si="24"/>
        <v>0</v>
      </c>
      <c r="N94" s="220">
        <f t="shared" si="24"/>
        <v>0</v>
      </c>
    </row>
    <row r="95" spans="6:14" ht="12.6" thickBot="1" x14ac:dyDescent="0.25">
      <c r="F95" s="445"/>
      <c r="G95" s="275" t="str">
        <f>STRAT1_IND5</f>
        <v>Objetivo estratégico 1 Indicador 5</v>
      </c>
      <c r="H95" s="270" t="str">
        <f ca="1">OFFSET(Variables_Lu!$D$10,Basic_Setup!H38,0)</f>
        <v>Governance</v>
      </c>
      <c r="I95" s="248">
        <f t="shared" si="24"/>
        <v>0</v>
      </c>
      <c r="J95" s="232">
        <f t="shared" si="24"/>
        <v>0</v>
      </c>
      <c r="K95" s="232">
        <f t="shared" si="24"/>
        <v>0</v>
      </c>
      <c r="L95" s="232">
        <f t="shared" si="24"/>
        <v>0</v>
      </c>
      <c r="M95" s="232">
        <f t="shared" si="24"/>
        <v>0</v>
      </c>
      <c r="N95" s="232">
        <f t="shared" si="24"/>
        <v>0</v>
      </c>
    </row>
    <row r="96" spans="6:14" ht="12.6" thickBot="1" x14ac:dyDescent="0.25">
      <c r="F96" s="38"/>
      <c r="G96" s="38"/>
      <c r="H96" s="152" t="s">
        <v>107</v>
      </c>
      <c r="I96" s="249">
        <f t="shared" si="24"/>
        <v>0</v>
      </c>
      <c r="J96" s="221">
        <f t="shared" si="24"/>
        <v>0</v>
      </c>
      <c r="K96" s="221">
        <f t="shared" si="24"/>
        <v>0</v>
      </c>
      <c r="L96" s="221">
        <f t="shared" si="24"/>
        <v>0</v>
      </c>
      <c r="M96" s="221">
        <f t="shared" si="24"/>
        <v>0</v>
      </c>
      <c r="N96" s="221">
        <f t="shared" si="24"/>
        <v>0</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248">
        <f t="shared" si="24"/>
        <v>0</v>
      </c>
      <c r="J97" s="220">
        <f t="shared" si="24"/>
        <v>0</v>
      </c>
      <c r="K97" s="220">
        <f t="shared" si="24"/>
        <v>0</v>
      </c>
      <c r="L97" s="220">
        <f t="shared" si="24"/>
        <v>0</v>
      </c>
      <c r="M97" s="220">
        <f t="shared" si="24"/>
        <v>0</v>
      </c>
      <c r="N97" s="220">
        <f t="shared" si="24"/>
        <v>0</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248">
        <f t="shared" si="24"/>
        <v>0</v>
      </c>
      <c r="J98" s="220">
        <f t="shared" si="24"/>
        <v>0</v>
      </c>
      <c r="K98" s="220">
        <f t="shared" si="24"/>
        <v>0</v>
      </c>
      <c r="L98" s="220">
        <f t="shared" si="24"/>
        <v>0</v>
      </c>
      <c r="M98" s="220">
        <f t="shared" si="24"/>
        <v>0</v>
      </c>
      <c r="N98" s="220">
        <f t="shared" si="24"/>
        <v>0</v>
      </c>
    </row>
    <row r="99" spans="6:14" ht="22.8" x14ac:dyDescent="0.2">
      <c r="F99" s="444"/>
      <c r="G99" s="42" t="str">
        <f>STRAT2_IND3</f>
        <v>Se refuerzan las intervenciones comunitarias en materia de nutrición.</v>
      </c>
      <c r="H99" s="268" t="str">
        <f ca="1">OFFSET(Variables_Lu!$D$10,Basic_Setup!H42,0)</f>
        <v>Nutrition-specific</v>
      </c>
      <c r="I99" s="248">
        <f t="shared" si="24"/>
        <v>0</v>
      </c>
      <c r="J99" s="220">
        <f t="shared" si="24"/>
        <v>0</v>
      </c>
      <c r="K99" s="220">
        <f t="shared" si="24"/>
        <v>0</v>
      </c>
      <c r="L99" s="220">
        <f t="shared" si="24"/>
        <v>0</v>
      </c>
      <c r="M99" s="220">
        <f t="shared" si="24"/>
        <v>0</v>
      </c>
      <c r="N99" s="220">
        <f t="shared" si="24"/>
        <v>0</v>
      </c>
    </row>
    <row r="100" spans="6:14" ht="12" x14ac:dyDescent="0.2">
      <c r="F100" s="444"/>
      <c r="G100" s="41" t="str">
        <f>STRAT2_IND4</f>
        <v>Objetivo estratégico 2 Indicador 4</v>
      </c>
      <c r="H100" s="268" t="str">
        <f ca="1">OFFSET(Variables_Lu!$D$10,Basic_Setup!H43,0)</f>
        <v>Nutrition-specific</v>
      </c>
      <c r="I100" s="248">
        <f t="shared" si="24"/>
        <v>0</v>
      </c>
      <c r="J100" s="220">
        <f t="shared" si="24"/>
        <v>0</v>
      </c>
      <c r="K100" s="220">
        <f t="shared" si="24"/>
        <v>0</v>
      </c>
      <c r="L100" s="220">
        <f t="shared" si="24"/>
        <v>0</v>
      </c>
      <c r="M100" s="220">
        <f t="shared" si="24"/>
        <v>0</v>
      </c>
      <c r="N100" s="220">
        <f t="shared" si="24"/>
        <v>0</v>
      </c>
    </row>
    <row r="101" spans="6:14" ht="12.6" thickBot="1" x14ac:dyDescent="0.25">
      <c r="F101" s="445"/>
      <c r="G101" s="275" t="str">
        <f>STRAT2_IND5</f>
        <v>Objetivo estratégico 2 Indicador 5</v>
      </c>
      <c r="H101" s="270" t="str">
        <f ca="1">OFFSET(Variables_Lu!$D$10,Basic_Setup!H44,0)</f>
        <v>Nutrition-specific</v>
      </c>
      <c r="I101" s="248">
        <f t="shared" si="24"/>
        <v>0</v>
      </c>
      <c r="J101" s="232">
        <f t="shared" si="24"/>
        <v>0</v>
      </c>
      <c r="K101" s="232">
        <f t="shared" si="24"/>
        <v>0</v>
      </c>
      <c r="L101" s="232">
        <f t="shared" si="24"/>
        <v>0</v>
      </c>
      <c r="M101" s="232">
        <f t="shared" si="24"/>
        <v>0</v>
      </c>
      <c r="N101" s="232">
        <f t="shared" si="24"/>
        <v>0</v>
      </c>
    </row>
    <row r="102" spans="6:14" ht="12.6" thickBot="1" x14ac:dyDescent="0.25">
      <c r="F102" s="38"/>
      <c r="G102" s="38"/>
      <c r="H102" s="152" t="s">
        <v>108</v>
      </c>
      <c r="I102" s="249">
        <f t="shared" ref="I102:I133" si="25">I31*EXCHANGE_RATE</f>
        <v>0</v>
      </c>
      <c r="J102" s="247">
        <f>SUM(J97:J101)</f>
        <v>0</v>
      </c>
      <c r="K102" s="247">
        <f>SUM(K97:K101)</f>
        <v>0</v>
      </c>
      <c r="L102" s="247">
        <f>SUM(L97:L101)</f>
        <v>0</v>
      </c>
      <c r="M102" s="247">
        <f>SUM(M97:M101)</f>
        <v>0</v>
      </c>
      <c r="N102" s="247">
        <f>SUM(N97:N101)</f>
        <v>0</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248">
        <f t="shared" si="25"/>
        <v>0</v>
      </c>
      <c r="J103" s="220">
        <f t="shared" ref="J103:N107" si="26">J32*EXCHANGE_RATE</f>
        <v>0</v>
      </c>
      <c r="K103" s="220">
        <f t="shared" si="26"/>
        <v>0</v>
      </c>
      <c r="L103" s="220">
        <f t="shared" si="26"/>
        <v>0</v>
      </c>
      <c r="M103" s="220">
        <f t="shared" si="26"/>
        <v>0</v>
      </c>
      <c r="N103" s="220">
        <f t="shared" si="26"/>
        <v>0</v>
      </c>
    </row>
    <row r="104" spans="6:14" ht="22.8" x14ac:dyDescent="0.2">
      <c r="F104" s="444"/>
      <c r="G104" s="42" t="str">
        <f>STRAT3_IND2</f>
        <v xml:space="preserve"> La seguridad alimentaria está garantizada para toda la nación.</v>
      </c>
      <c r="H104" s="268" t="str">
        <f ca="1">OFFSET(Variables_Lu!$D$10,Basic_Setup!H47,0)</f>
        <v>Nutrition-sensitive</v>
      </c>
      <c r="I104" s="248">
        <f t="shared" si="25"/>
        <v>0</v>
      </c>
      <c r="J104" s="220">
        <f t="shared" si="26"/>
        <v>0</v>
      </c>
      <c r="K104" s="220">
        <f t="shared" si="26"/>
        <v>0</v>
      </c>
      <c r="L104" s="220">
        <f t="shared" si="26"/>
        <v>0</v>
      </c>
      <c r="M104" s="220">
        <f t="shared" si="26"/>
        <v>0</v>
      </c>
      <c r="N104" s="220">
        <f t="shared" si="26"/>
        <v>0</v>
      </c>
    </row>
    <row r="105" spans="6:14" ht="12" x14ac:dyDescent="0.2">
      <c r="F105" s="444"/>
      <c r="G105" s="42" t="str">
        <f>STRAT3_IND3</f>
        <v>Objetivo estratégico 3 Indicador 3</v>
      </c>
      <c r="H105" s="268" t="str">
        <f ca="1">OFFSET(Variables_Lu!$D$10,Basic_Setup!H48,0)</f>
        <v>Nutrition-specific</v>
      </c>
      <c r="I105" s="248">
        <f t="shared" si="25"/>
        <v>0</v>
      </c>
      <c r="J105" s="220">
        <f t="shared" si="26"/>
        <v>0</v>
      </c>
      <c r="K105" s="220">
        <f t="shared" si="26"/>
        <v>0</v>
      </c>
      <c r="L105" s="220">
        <f t="shared" si="26"/>
        <v>0</v>
      </c>
      <c r="M105" s="220">
        <f t="shared" si="26"/>
        <v>0</v>
      </c>
      <c r="N105" s="220">
        <f t="shared" si="26"/>
        <v>0</v>
      </c>
    </row>
    <row r="106" spans="6:14" ht="12" x14ac:dyDescent="0.2">
      <c r="F106" s="444"/>
      <c r="G106" s="41" t="str">
        <f>STRAT3_IND4</f>
        <v>Objetivo estratégico 3 Indicador 4</v>
      </c>
      <c r="H106" s="268" t="str">
        <f ca="1">OFFSET(Variables_Lu!$D$10,Basic_Setup!H49,0)</f>
        <v>Nutrition-specific</v>
      </c>
      <c r="I106" s="248">
        <f t="shared" si="25"/>
        <v>0</v>
      </c>
      <c r="J106" s="220">
        <f t="shared" si="26"/>
        <v>0</v>
      </c>
      <c r="K106" s="220">
        <f t="shared" si="26"/>
        <v>0</v>
      </c>
      <c r="L106" s="220">
        <f t="shared" si="26"/>
        <v>0</v>
      </c>
      <c r="M106" s="220">
        <f t="shared" si="26"/>
        <v>0</v>
      </c>
      <c r="N106" s="220">
        <f t="shared" si="26"/>
        <v>0</v>
      </c>
    </row>
    <row r="107" spans="6:14" ht="12.6" thickBot="1" x14ac:dyDescent="0.25">
      <c r="F107" s="445"/>
      <c r="G107" s="275" t="str">
        <f>STRAT3_IND5</f>
        <v>Objetivo estratégico 3 Indicador 5</v>
      </c>
      <c r="H107" s="270" t="str">
        <f ca="1">OFFSET(Variables_Lu!$D$10,Basic_Setup!H50,0)</f>
        <v>Nutrition-specific</v>
      </c>
      <c r="I107" s="248">
        <f t="shared" si="25"/>
        <v>0</v>
      </c>
      <c r="J107" s="232">
        <f t="shared" si="26"/>
        <v>0</v>
      </c>
      <c r="K107" s="232">
        <f t="shared" si="26"/>
        <v>0</v>
      </c>
      <c r="L107" s="232">
        <f t="shared" si="26"/>
        <v>0</v>
      </c>
      <c r="M107" s="232">
        <f t="shared" si="26"/>
        <v>0</v>
      </c>
      <c r="N107" s="232">
        <f t="shared" si="26"/>
        <v>0</v>
      </c>
    </row>
    <row r="108" spans="6:14" ht="12.6" thickBot="1" x14ac:dyDescent="0.25">
      <c r="H108" s="152" t="s">
        <v>109</v>
      </c>
      <c r="I108" s="249">
        <f t="shared" si="25"/>
        <v>0</v>
      </c>
      <c r="J108" s="247">
        <f>SUM(J103:J107)</f>
        <v>0</v>
      </c>
      <c r="K108" s="247">
        <f t="shared" ref="K108:N108" si="27">SUM(K103:K107)</f>
        <v>0</v>
      </c>
      <c r="L108" s="247">
        <f t="shared" si="27"/>
        <v>0</v>
      </c>
      <c r="M108" s="247">
        <f t="shared" si="27"/>
        <v>0</v>
      </c>
      <c r="N108" s="247">
        <f t="shared" si="27"/>
        <v>0</v>
      </c>
    </row>
    <row r="109" spans="6:14" ht="22.95"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248">
        <f t="shared" si="25"/>
        <v>0</v>
      </c>
      <c r="J109" s="220">
        <f t="shared" ref="J109:N113" si="28">J38*EXCHANGE_RATE</f>
        <v>0</v>
      </c>
      <c r="K109" s="220">
        <f t="shared" si="28"/>
        <v>0</v>
      </c>
      <c r="L109" s="220">
        <f t="shared" si="28"/>
        <v>0</v>
      </c>
      <c r="M109" s="220">
        <f t="shared" si="28"/>
        <v>0</v>
      </c>
      <c r="N109" s="220">
        <f t="shared" si="28"/>
        <v>0</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248">
        <f t="shared" si="25"/>
        <v>0</v>
      </c>
      <c r="J110" s="220">
        <f t="shared" si="28"/>
        <v>0</v>
      </c>
      <c r="K110" s="220">
        <f t="shared" si="28"/>
        <v>0</v>
      </c>
      <c r="L110" s="220">
        <f t="shared" si="28"/>
        <v>0</v>
      </c>
      <c r="M110" s="220">
        <f t="shared" si="28"/>
        <v>0</v>
      </c>
      <c r="N110" s="220">
        <f t="shared" si="28"/>
        <v>0</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248">
        <f t="shared" si="25"/>
        <v>0</v>
      </c>
      <c r="J111" s="220">
        <f t="shared" si="28"/>
        <v>0</v>
      </c>
      <c r="K111" s="220">
        <f t="shared" si="28"/>
        <v>0</v>
      </c>
      <c r="L111" s="220">
        <f t="shared" si="28"/>
        <v>0</v>
      </c>
      <c r="M111" s="220">
        <f t="shared" si="28"/>
        <v>0</v>
      </c>
      <c r="N111" s="220">
        <f t="shared" si="28"/>
        <v>0</v>
      </c>
    </row>
    <row r="112" spans="6:14" ht="12" x14ac:dyDescent="0.2">
      <c r="F112" s="444"/>
      <c r="G112" s="41" t="str">
        <f>STRAT4_IND4</f>
        <v>Objetivo estratégico 4 Indicador 4</v>
      </c>
      <c r="H112" s="268" t="str">
        <f ca="1">OFFSET(Variables_Lu!$D$10,Basic_Setup!H55,0)</f>
        <v>Nutrition-specific</v>
      </c>
      <c r="I112" s="248">
        <f t="shared" si="25"/>
        <v>0</v>
      </c>
      <c r="J112" s="220">
        <f t="shared" si="28"/>
        <v>0</v>
      </c>
      <c r="K112" s="220">
        <f t="shared" si="28"/>
        <v>0</v>
      </c>
      <c r="L112" s="220">
        <f t="shared" si="28"/>
        <v>0</v>
      </c>
      <c r="M112" s="220">
        <f t="shared" si="28"/>
        <v>0</v>
      </c>
      <c r="N112" s="220">
        <f t="shared" si="28"/>
        <v>0</v>
      </c>
    </row>
    <row r="113" spans="6:14" ht="12.6" thickBot="1" x14ac:dyDescent="0.25">
      <c r="F113" s="445"/>
      <c r="G113" s="275" t="str">
        <f>STRAT4_IND5</f>
        <v>Objetivo estratégico 4 Indicador 5</v>
      </c>
      <c r="H113" s="270" t="str">
        <f ca="1">OFFSET(Variables_Lu!$D$10,Basic_Setup!H56,0)</f>
        <v>Nutrition-specific</v>
      </c>
      <c r="I113" s="248">
        <f t="shared" si="25"/>
        <v>0</v>
      </c>
      <c r="J113" s="232">
        <f t="shared" si="28"/>
        <v>0</v>
      </c>
      <c r="K113" s="232">
        <f t="shared" si="28"/>
        <v>0</v>
      </c>
      <c r="L113" s="232">
        <f t="shared" si="28"/>
        <v>0</v>
      </c>
      <c r="M113" s="232">
        <f t="shared" si="28"/>
        <v>0</v>
      </c>
      <c r="N113" s="232">
        <f t="shared" si="28"/>
        <v>0</v>
      </c>
    </row>
    <row r="114" spans="6:14" ht="12.6" thickBot="1" x14ac:dyDescent="0.25">
      <c r="H114" s="152" t="s">
        <v>110</v>
      </c>
      <c r="I114" s="249">
        <f t="shared" si="25"/>
        <v>0</v>
      </c>
      <c r="J114" s="247">
        <f>SUM(J109:J113)</f>
        <v>0</v>
      </c>
      <c r="K114" s="247">
        <f t="shared" ref="K114:N114" si="29">SUM(K109:K113)</f>
        <v>0</v>
      </c>
      <c r="L114" s="247">
        <f t="shared" si="29"/>
        <v>0</v>
      </c>
      <c r="M114" s="247">
        <f t="shared" si="29"/>
        <v>0</v>
      </c>
      <c r="N114" s="247">
        <f t="shared" si="29"/>
        <v>0</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248">
        <f t="shared" si="25"/>
        <v>0</v>
      </c>
      <c r="J115" s="220">
        <f t="shared" ref="J115:N119" si="30">J44*EXCHANGE_RATE</f>
        <v>0</v>
      </c>
      <c r="K115" s="220">
        <f t="shared" si="30"/>
        <v>0</v>
      </c>
      <c r="L115" s="220">
        <f t="shared" si="30"/>
        <v>0</v>
      </c>
      <c r="M115" s="220">
        <f t="shared" si="30"/>
        <v>0</v>
      </c>
      <c r="N115" s="220">
        <f t="shared" si="30"/>
        <v>0</v>
      </c>
    </row>
    <row r="116" spans="6:14" ht="22.8" x14ac:dyDescent="0.2">
      <c r="F116" s="444"/>
      <c r="G116" s="42" t="str">
        <f>STRAT5_IND2</f>
        <v>Se promueven dietas saludables y estilos de vida saludables para las personas.</v>
      </c>
      <c r="H116" s="268" t="str">
        <f ca="1">OFFSET(Variables_Lu!$D$10,Basic_Setup!H59,0)</f>
        <v>Nutrition-specific</v>
      </c>
      <c r="I116" s="248">
        <f t="shared" si="25"/>
        <v>0</v>
      </c>
      <c r="J116" s="220">
        <f t="shared" si="30"/>
        <v>0</v>
      </c>
      <c r="K116" s="220">
        <f t="shared" si="30"/>
        <v>0</v>
      </c>
      <c r="L116" s="220">
        <f t="shared" si="30"/>
        <v>0</v>
      </c>
      <c r="M116" s="220">
        <f t="shared" si="30"/>
        <v>0</v>
      </c>
      <c r="N116" s="220">
        <f t="shared" si="30"/>
        <v>0</v>
      </c>
    </row>
    <row r="117" spans="6:14" ht="22.8" x14ac:dyDescent="0.2">
      <c r="F117" s="444"/>
      <c r="G117" s="42" t="str">
        <f>STRAT5_IND3</f>
        <v>Se promueven las buenas prácticas WASH a nivel comunitario y doméstico</v>
      </c>
      <c r="H117" s="268" t="str">
        <f ca="1">OFFSET(Variables_Lu!$D$10,Basic_Setup!H60,0)</f>
        <v>Nutrition-sensitive</v>
      </c>
      <c r="I117" s="248">
        <f t="shared" si="25"/>
        <v>0</v>
      </c>
      <c r="J117" s="220">
        <f t="shared" si="30"/>
        <v>0</v>
      </c>
      <c r="K117" s="220">
        <f t="shared" si="30"/>
        <v>0</v>
      </c>
      <c r="L117" s="220">
        <f t="shared" si="30"/>
        <v>0</v>
      </c>
      <c r="M117" s="220">
        <f t="shared" si="30"/>
        <v>0</v>
      </c>
      <c r="N117" s="220">
        <f t="shared" si="30"/>
        <v>0</v>
      </c>
    </row>
    <row r="118" spans="6:14" ht="12" x14ac:dyDescent="0.2">
      <c r="F118" s="444"/>
      <c r="G118" s="41" t="str">
        <f>STRAT5_IND4</f>
        <v>Objetivo estratégico 5 Indicador 4</v>
      </c>
      <c r="H118" s="268" t="str">
        <f ca="1">OFFSET(Variables_Lu!$D$10,Basic_Setup!H61,0)</f>
        <v>Nutrition-specific</v>
      </c>
      <c r="I118" s="248">
        <f t="shared" si="25"/>
        <v>0</v>
      </c>
      <c r="J118" s="220">
        <f t="shared" si="30"/>
        <v>0</v>
      </c>
      <c r="K118" s="220">
        <f t="shared" si="30"/>
        <v>0</v>
      </c>
      <c r="L118" s="220">
        <f t="shared" si="30"/>
        <v>0</v>
      </c>
      <c r="M118" s="220">
        <f t="shared" si="30"/>
        <v>0</v>
      </c>
      <c r="N118" s="220">
        <f t="shared" si="30"/>
        <v>0</v>
      </c>
    </row>
    <row r="119" spans="6:14" ht="12.6" thickBot="1" x14ac:dyDescent="0.25">
      <c r="F119" s="445"/>
      <c r="G119" s="275" t="str">
        <f>STRAT5_IND5</f>
        <v>Objetivo estratégico 5 Indicador 5</v>
      </c>
      <c r="H119" s="270" t="str">
        <f ca="1">OFFSET(Variables_Lu!$D$10,Basic_Setup!H62,0)</f>
        <v>Nutrition-specific</v>
      </c>
      <c r="I119" s="248">
        <f t="shared" si="25"/>
        <v>0</v>
      </c>
      <c r="J119" s="232">
        <f t="shared" si="30"/>
        <v>0</v>
      </c>
      <c r="K119" s="232">
        <f t="shared" si="30"/>
        <v>0</v>
      </c>
      <c r="L119" s="232">
        <f t="shared" si="30"/>
        <v>0</v>
      </c>
      <c r="M119" s="232">
        <f t="shared" si="30"/>
        <v>0</v>
      </c>
      <c r="N119" s="232">
        <f t="shared" si="30"/>
        <v>0</v>
      </c>
    </row>
    <row r="120" spans="6:14" ht="12.6" thickBot="1" x14ac:dyDescent="0.25">
      <c r="H120" s="152" t="s">
        <v>111</v>
      </c>
      <c r="I120" s="249">
        <f t="shared" si="25"/>
        <v>0</v>
      </c>
      <c r="J120" s="247">
        <f>SUM(J115:J119)</f>
        <v>0</v>
      </c>
      <c r="K120" s="247">
        <f t="shared" ref="K120:N120" si="31">SUM(K115:K119)</f>
        <v>0</v>
      </c>
      <c r="L120" s="247">
        <f t="shared" si="31"/>
        <v>0</v>
      </c>
      <c r="M120" s="247">
        <f t="shared" si="31"/>
        <v>0</v>
      </c>
      <c r="N120" s="247">
        <f t="shared" si="31"/>
        <v>0</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248">
        <f t="shared" si="25"/>
        <v>0</v>
      </c>
      <c r="J121" s="220">
        <f t="shared" ref="J121:N125" si="32">J50*EXCHANGE_RATE</f>
        <v>0</v>
      </c>
      <c r="K121" s="220">
        <f t="shared" si="32"/>
        <v>0</v>
      </c>
      <c r="L121" s="220">
        <f t="shared" si="32"/>
        <v>0</v>
      </c>
      <c r="M121" s="220">
        <f t="shared" si="32"/>
        <v>0</v>
      </c>
      <c r="N121" s="220">
        <f t="shared" si="32"/>
        <v>0</v>
      </c>
    </row>
    <row r="122" spans="6:14" ht="12" x14ac:dyDescent="0.2">
      <c r="F122" s="444"/>
      <c r="G122" s="42" t="str">
        <f>STRAT6_IND2</f>
        <v>Objetivo estratégico 6 Indicador 2</v>
      </c>
      <c r="H122" s="268" t="str">
        <f ca="1">OFFSET(Variables_Lu!$D$10,Basic_Setup!H65,0)</f>
        <v>Nutrition-specific</v>
      </c>
      <c r="I122" s="248">
        <f t="shared" si="25"/>
        <v>0</v>
      </c>
      <c r="J122" s="220">
        <f t="shared" si="32"/>
        <v>0</v>
      </c>
      <c r="K122" s="220">
        <f t="shared" si="32"/>
        <v>0</v>
      </c>
      <c r="L122" s="220">
        <f t="shared" si="32"/>
        <v>0</v>
      </c>
      <c r="M122" s="220">
        <f t="shared" si="32"/>
        <v>0</v>
      </c>
      <c r="N122" s="220">
        <f t="shared" si="32"/>
        <v>0</v>
      </c>
    </row>
    <row r="123" spans="6:14" ht="12" x14ac:dyDescent="0.2">
      <c r="F123" s="444"/>
      <c r="G123" s="42" t="str">
        <f>STRAT6_IND3</f>
        <v>Objetivo estratégico 6 Indicador 3</v>
      </c>
      <c r="H123" s="268" t="str">
        <f ca="1">OFFSET(Variables_Lu!$D$10,Basic_Setup!H66,0)</f>
        <v>Nutrition-specific</v>
      </c>
      <c r="I123" s="248">
        <f t="shared" si="25"/>
        <v>0</v>
      </c>
      <c r="J123" s="220">
        <f t="shared" si="32"/>
        <v>0</v>
      </c>
      <c r="K123" s="220">
        <f t="shared" si="32"/>
        <v>0</v>
      </c>
      <c r="L123" s="220">
        <f t="shared" si="32"/>
        <v>0</v>
      </c>
      <c r="M123" s="220">
        <f t="shared" si="32"/>
        <v>0</v>
      </c>
      <c r="N123" s="220">
        <f t="shared" si="32"/>
        <v>0</v>
      </c>
    </row>
    <row r="124" spans="6:14" ht="12" x14ac:dyDescent="0.2">
      <c r="F124" s="444"/>
      <c r="G124" s="41" t="str">
        <f>STRAT6_IND4</f>
        <v>Objetivo estratégico 6 Indicador 4</v>
      </c>
      <c r="H124" s="268" t="str">
        <f ca="1">OFFSET(Variables_Lu!$D$10,Basic_Setup!H67,0)</f>
        <v>Nutrition-specific</v>
      </c>
      <c r="I124" s="248">
        <f t="shared" si="25"/>
        <v>0</v>
      </c>
      <c r="J124" s="220">
        <f t="shared" si="32"/>
        <v>0</v>
      </c>
      <c r="K124" s="220">
        <f t="shared" si="32"/>
        <v>0</v>
      </c>
      <c r="L124" s="220">
        <f t="shared" si="32"/>
        <v>0</v>
      </c>
      <c r="M124" s="220">
        <f t="shared" si="32"/>
        <v>0</v>
      </c>
      <c r="N124" s="220">
        <f t="shared" si="32"/>
        <v>0</v>
      </c>
    </row>
    <row r="125" spans="6:14" ht="12.6" thickBot="1" x14ac:dyDescent="0.25">
      <c r="F125" s="445"/>
      <c r="G125" s="275" t="str">
        <f>STRAT6_IND5</f>
        <v>Objetivo estratégico 6 Indicador 5</v>
      </c>
      <c r="H125" s="270" t="str">
        <f ca="1">OFFSET(Variables_Lu!$D$10,Basic_Setup!H68,0)</f>
        <v>Nutrition-specific</v>
      </c>
      <c r="I125" s="248">
        <f t="shared" si="25"/>
        <v>0</v>
      </c>
      <c r="J125" s="232">
        <f t="shared" si="32"/>
        <v>0</v>
      </c>
      <c r="K125" s="232">
        <f t="shared" si="32"/>
        <v>0</v>
      </c>
      <c r="L125" s="232">
        <f t="shared" si="32"/>
        <v>0</v>
      </c>
      <c r="M125" s="232">
        <f t="shared" si="32"/>
        <v>0</v>
      </c>
      <c r="N125" s="232">
        <f t="shared" si="32"/>
        <v>0</v>
      </c>
    </row>
    <row r="126" spans="6:14" ht="12.6" thickBot="1" x14ac:dyDescent="0.25">
      <c r="H126" s="152" t="s">
        <v>159</v>
      </c>
      <c r="I126" s="249">
        <f t="shared" si="25"/>
        <v>0</v>
      </c>
      <c r="J126" s="247">
        <f>SUM(J121:J125)</f>
        <v>0</v>
      </c>
      <c r="K126" s="247">
        <f>SUM(K121:K125)</f>
        <v>0</v>
      </c>
      <c r="L126" s="247">
        <f>SUM(L121:L125)</f>
        <v>0</v>
      </c>
      <c r="M126" s="247">
        <f>SUM(M121:M125)</f>
        <v>0</v>
      </c>
      <c r="N126" s="247">
        <f>SUM(N121:N125)</f>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248">
        <f t="shared" si="25"/>
        <v>0</v>
      </c>
      <c r="J127" s="220">
        <f t="shared" ref="J127:N131" si="33">J56*EXCHANGE_RATE</f>
        <v>0</v>
      </c>
      <c r="K127" s="220">
        <f t="shared" si="33"/>
        <v>0</v>
      </c>
      <c r="L127" s="220">
        <f t="shared" si="33"/>
        <v>0</v>
      </c>
      <c r="M127" s="220">
        <f t="shared" si="33"/>
        <v>0</v>
      </c>
      <c r="N127" s="220">
        <f t="shared" si="33"/>
        <v>0</v>
      </c>
    </row>
    <row r="128" spans="6:14" ht="12" x14ac:dyDescent="0.2">
      <c r="F128" s="444"/>
      <c r="G128" s="42" t="str">
        <f>STRAT7_IND2</f>
        <v>Objetivo estratégico 7 Indicador 2</v>
      </c>
      <c r="H128" s="268" t="str">
        <f ca="1">OFFSET(Variables_Lu!$D$10,Basic_Setup!H71,0)</f>
        <v>Nutrition-specific</v>
      </c>
      <c r="I128" s="248">
        <f t="shared" si="25"/>
        <v>0</v>
      </c>
      <c r="J128" s="220">
        <f t="shared" si="33"/>
        <v>0</v>
      </c>
      <c r="K128" s="220">
        <f t="shared" si="33"/>
        <v>0</v>
      </c>
      <c r="L128" s="220">
        <f t="shared" si="33"/>
        <v>0</v>
      </c>
      <c r="M128" s="220">
        <f t="shared" si="33"/>
        <v>0</v>
      </c>
      <c r="N128" s="220">
        <f t="shared" si="33"/>
        <v>0</v>
      </c>
    </row>
    <row r="129" spans="6:14" ht="12" x14ac:dyDescent="0.2">
      <c r="F129" s="444"/>
      <c r="G129" s="42" t="str">
        <f>STRAT7_IND3</f>
        <v>Objetivo estratégico 7 Indicador 3</v>
      </c>
      <c r="H129" s="268" t="str">
        <f ca="1">OFFSET(Variables_Lu!$D$10,Basic_Setup!H72,0)</f>
        <v>Nutrition-specific</v>
      </c>
      <c r="I129" s="248">
        <f t="shared" si="25"/>
        <v>0</v>
      </c>
      <c r="J129" s="220">
        <f t="shared" si="33"/>
        <v>0</v>
      </c>
      <c r="K129" s="220">
        <f t="shared" si="33"/>
        <v>0</v>
      </c>
      <c r="L129" s="220">
        <f t="shared" si="33"/>
        <v>0</v>
      </c>
      <c r="M129" s="220">
        <f t="shared" si="33"/>
        <v>0</v>
      </c>
      <c r="N129" s="220">
        <f t="shared" si="33"/>
        <v>0</v>
      </c>
    </row>
    <row r="130" spans="6:14" ht="12" x14ac:dyDescent="0.2">
      <c r="F130" s="444"/>
      <c r="G130" s="41" t="str">
        <f>STRAT7_IND4</f>
        <v>Objetivo estratégico 7 Indicador 4</v>
      </c>
      <c r="H130" s="268" t="str">
        <f ca="1">OFFSET(Variables_Lu!$D$10,Basic_Setup!H73,0)</f>
        <v>Nutrition-specific</v>
      </c>
      <c r="I130" s="248">
        <f t="shared" si="25"/>
        <v>0</v>
      </c>
      <c r="J130" s="220">
        <f t="shared" si="33"/>
        <v>0</v>
      </c>
      <c r="K130" s="220">
        <f t="shared" si="33"/>
        <v>0</v>
      </c>
      <c r="L130" s="220">
        <f t="shared" si="33"/>
        <v>0</v>
      </c>
      <c r="M130" s="220">
        <f t="shared" si="33"/>
        <v>0</v>
      </c>
      <c r="N130" s="220">
        <f t="shared" si="33"/>
        <v>0</v>
      </c>
    </row>
    <row r="131" spans="6:14" ht="12.6" thickBot="1" x14ac:dyDescent="0.25">
      <c r="F131" s="445"/>
      <c r="G131" s="275" t="str">
        <f>STRAT7_IND5</f>
        <v>Objetivo estratégico 7 Indicador 5</v>
      </c>
      <c r="H131" s="270" t="str">
        <f ca="1">OFFSET(Variables_Lu!$D$10,Basic_Setup!H74,0)</f>
        <v>Nutrition-specific</v>
      </c>
      <c r="I131" s="248">
        <f t="shared" si="25"/>
        <v>0</v>
      </c>
      <c r="J131" s="232">
        <f t="shared" si="33"/>
        <v>0</v>
      </c>
      <c r="K131" s="232">
        <f t="shared" si="33"/>
        <v>0</v>
      </c>
      <c r="L131" s="232">
        <f t="shared" si="33"/>
        <v>0</v>
      </c>
      <c r="M131" s="232">
        <f t="shared" si="33"/>
        <v>0</v>
      </c>
      <c r="N131" s="232">
        <f t="shared" si="33"/>
        <v>0</v>
      </c>
    </row>
    <row r="132" spans="6:14" ht="12.6" thickBot="1" x14ac:dyDescent="0.25">
      <c r="H132" s="152" t="s">
        <v>160</v>
      </c>
      <c r="I132" s="249">
        <f t="shared" si="25"/>
        <v>0</v>
      </c>
      <c r="J132" s="247">
        <f>SUM(J127:J131)</f>
        <v>0</v>
      </c>
      <c r="K132" s="247">
        <f>SUM(K127:K131)</f>
        <v>0</v>
      </c>
      <c r="L132" s="247">
        <f>SUM(L127:L131)</f>
        <v>0</v>
      </c>
      <c r="M132" s="247">
        <f>SUM(M127:M131)</f>
        <v>0</v>
      </c>
      <c r="N132" s="247">
        <f>SUM(N127:N131)</f>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248">
        <f t="shared" si="25"/>
        <v>0</v>
      </c>
      <c r="J133" s="220">
        <f t="shared" ref="J133:N137" si="34">J62*EXCHANGE_RATE</f>
        <v>0</v>
      </c>
      <c r="K133" s="220">
        <f t="shared" si="34"/>
        <v>0</v>
      </c>
      <c r="L133" s="220">
        <f t="shared" si="34"/>
        <v>0</v>
      </c>
      <c r="M133" s="220">
        <f t="shared" si="34"/>
        <v>0</v>
      </c>
      <c r="N133" s="220">
        <f t="shared" si="34"/>
        <v>0</v>
      </c>
    </row>
    <row r="134" spans="6:14" ht="12" x14ac:dyDescent="0.2">
      <c r="F134" s="444"/>
      <c r="G134" s="42" t="str">
        <f>STRAT8_IND2</f>
        <v>Objetivo estratégico 8 Indicador 2</v>
      </c>
      <c r="H134" s="268" t="str">
        <f ca="1">OFFSET(Variables_Lu!$D$10,Basic_Setup!H77,0)</f>
        <v>Nutrition-specific</v>
      </c>
      <c r="I134" s="248">
        <f t="shared" ref="I134:I150" si="35">I63*EXCHANGE_RATE</f>
        <v>0</v>
      </c>
      <c r="J134" s="220">
        <f t="shared" si="34"/>
        <v>0</v>
      </c>
      <c r="K134" s="220">
        <f t="shared" si="34"/>
        <v>0</v>
      </c>
      <c r="L134" s="220">
        <f t="shared" si="34"/>
        <v>0</v>
      </c>
      <c r="M134" s="220">
        <f t="shared" si="34"/>
        <v>0</v>
      </c>
      <c r="N134" s="220">
        <f t="shared" si="34"/>
        <v>0</v>
      </c>
    </row>
    <row r="135" spans="6:14" ht="12" x14ac:dyDescent="0.2">
      <c r="F135" s="444"/>
      <c r="G135" s="42" t="str">
        <f>STRAT8_IND3</f>
        <v>Objetivo estratégico 8 Indicador 3</v>
      </c>
      <c r="H135" s="268" t="str">
        <f ca="1">OFFSET(Variables_Lu!$D$10,Basic_Setup!H78,0)</f>
        <v>Nutrition-specific</v>
      </c>
      <c r="I135" s="248">
        <f t="shared" si="35"/>
        <v>0</v>
      </c>
      <c r="J135" s="220">
        <f t="shared" si="34"/>
        <v>0</v>
      </c>
      <c r="K135" s="220">
        <f t="shared" si="34"/>
        <v>0</v>
      </c>
      <c r="L135" s="220">
        <f t="shared" si="34"/>
        <v>0</v>
      </c>
      <c r="M135" s="220">
        <f t="shared" si="34"/>
        <v>0</v>
      </c>
      <c r="N135" s="220">
        <f t="shared" si="34"/>
        <v>0</v>
      </c>
    </row>
    <row r="136" spans="6:14" ht="12" x14ac:dyDescent="0.2">
      <c r="F136" s="444"/>
      <c r="G136" s="41" t="str">
        <f>STRAT8_IND4</f>
        <v>Objetivo estratégico 8 Indicador 4</v>
      </c>
      <c r="H136" s="268" t="str">
        <f ca="1">OFFSET(Variables_Lu!$D$10,Basic_Setup!H79,0)</f>
        <v>Nutrition-specific</v>
      </c>
      <c r="I136" s="248">
        <f t="shared" si="35"/>
        <v>0</v>
      </c>
      <c r="J136" s="220">
        <f t="shared" si="34"/>
        <v>0</v>
      </c>
      <c r="K136" s="220">
        <f t="shared" si="34"/>
        <v>0</v>
      </c>
      <c r="L136" s="220">
        <f t="shared" si="34"/>
        <v>0</v>
      </c>
      <c r="M136" s="220">
        <f t="shared" si="34"/>
        <v>0</v>
      </c>
      <c r="N136" s="220">
        <f t="shared" si="34"/>
        <v>0</v>
      </c>
    </row>
    <row r="137" spans="6:14" ht="12.6" thickBot="1" x14ac:dyDescent="0.25">
      <c r="F137" s="445"/>
      <c r="G137" s="275" t="str">
        <f>STRAT8_IND5</f>
        <v>Objetivo estratégico 8 Indicador 5</v>
      </c>
      <c r="H137" s="270" t="str">
        <f ca="1">OFFSET(Variables_Lu!$D$10,Basic_Setup!H80,0)</f>
        <v>Nutrition-specific</v>
      </c>
      <c r="I137" s="248">
        <f t="shared" si="35"/>
        <v>0</v>
      </c>
      <c r="J137" s="232">
        <f t="shared" si="34"/>
        <v>0</v>
      </c>
      <c r="K137" s="232">
        <f t="shared" si="34"/>
        <v>0</v>
      </c>
      <c r="L137" s="232">
        <f t="shared" si="34"/>
        <v>0</v>
      </c>
      <c r="M137" s="232">
        <f t="shared" si="34"/>
        <v>0</v>
      </c>
      <c r="N137" s="232">
        <f t="shared" si="34"/>
        <v>0</v>
      </c>
    </row>
    <row r="138" spans="6:14" ht="12.6" thickBot="1" x14ac:dyDescent="0.25">
      <c r="H138" s="152" t="s">
        <v>161</v>
      </c>
      <c r="I138" s="249">
        <f t="shared" si="35"/>
        <v>0</v>
      </c>
      <c r="J138" s="247">
        <f>SUM(J133:J137)</f>
        <v>0</v>
      </c>
      <c r="K138" s="247">
        <f>SUM(K133:K137)</f>
        <v>0</v>
      </c>
      <c r="L138" s="247">
        <f>SUM(L133:L137)</f>
        <v>0</v>
      </c>
      <c r="M138" s="247">
        <f>SUM(M133:M137)</f>
        <v>0</v>
      </c>
      <c r="N138" s="247">
        <f>SUM(N133:N137)</f>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248">
        <f t="shared" si="35"/>
        <v>0</v>
      </c>
      <c r="J139" s="220">
        <f t="shared" ref="J139:N143" si="36">J68*EXCHANGE_RATE</f>
        <v>0</v>
      </c>
      <c r="K139" s="220">
        <f t="shared" si="36"/>
        <v>0</v>
      </c>
      <c r="L139" s="220">
        <f t="shared" si="36"/>
        <v>0</v>
      </c>
      <c r="M139" s="220">
        <f t="shared" si="36"/>
        <v>0</v>
      </c>
      <c r="N139" s="220">
        <f t="shared" si="36"/>
        <v>0</v>
      </c>
    </row>
    <row r="140" spans="6:14" ht="12" x14ac:dyDescent="0.2">
      <c r="F140" s="444"/>
      <c r="G140" s="42" t="str">
        <f>STRAT9_IND2</f>
        <v>Objetivo estratégico 9 Indicador 2</v>
      </c>
      <c r="H140" s="268" t="str">
        <f ca="1">OFFSET(Variables_Lu!$D$10,Basic_Setup!H83,0)</f>
        <v>Nutrition-specific</v>
      </c>
      <c r="I140" s="248">
        <f t="shared" si="35"/>
        <v>0</v>
      </c>
      <c r="J140" s="220">
        <f t="shared" si="36"/>
        <v>0</v>
      </c>
      <c r="K140" s="220">
        <f t="shared" si="36"/>
        <v>0</v>
      </c>
      <c r="L140" s="220">
        <f t="shared" si="36"/>
        <v>0</v>
      </c>
      <c r="M140" s="220">
        <f t="shared" si="36"/>
        <v>0</v>
      </c>
      <c r="N140" s="220">
        <f t="shared" si="36"/>
        <v>0</v>
      </c>
    </row>
    <row r="141" spans="6:14" ht="12" x14ac:dyDescent="0.2">
      <c r="F141" s="444"/>
      <c r="G141" s="42" t="str">
        <f>STRAT9_IND3</f>
        <v>Objetivo estratégico 9 Indicador 3</v>
      </c>
      <c r="H141" s="268" t="str">
        <f ca="1">OFFSET(Variables_Lu!$D$10,Basic_Setup!H84,0)</f>
        <v>Nutrition-specific</v>
      </c>
      <c r="I141" s="248">
        <f t="shared" si="35"/>
        <v>0</v>
      </c>
      <c r="J141" s="220">
        <f t="shared" si="36"/>
        <v>0</v>
      </c>
      <c r="K141" s="220">
        <f t="shared" si="36"/>
        <v>0</v>
      </c>
      <c r="L141" s="220">
        <f t="shared" si="36"/>
        <v>0</v>
      </c>
      <c r="M141" s="220">
        <f t="shared" si="36"/>
        <v>0</v>
      </c>
      <c r="N141" s="220">
        <f t="shared" si="36"/>
        <v>0</v>
      </c>
    </row>
    <row r="142" spans="6:14" ht="12" x14ac:dyDescent="0.2">
      <c r="F142" s="444"/>
      <c r="G142" s="41" t="str">
        <f>STRAT9_IND4</f>
        <v>Objetivo estratégico 9 Indicador 4</v>
      </c>
      <c r="H142" s="268" t="str">
        <f ca="1">OFFSET(Variables_Lu!$D$10,Basic_Setup!H85,0)</f>
        <v>Nutrition-specific</v>
      </c>
      <c r="I142" s="248">
        <f t="shared" si="35"/>
        <v>0</v>
      </c>
      <c r="J142" s="220">
        <f t="shared" si="36"/>
        <v>0</v>
      </c>
      <c r="K142" s="220">
        <f t="shared" si="36"/>
        <v>0</v>
      </c>
      <c r="L142" s="220">
        <f t="shared" si="36"/>
        <v>0</v>
      </c>
      <c r="M142" s="220">
        <f t="shared" si="36"/>
        <v>0</v>
      </c>
      <c r="N142" s="220">
        <f t="shared" si="36"/>
        <v>0</v>
      </c>
    </row>
    <row r="143" spans="6:14" ht="12.6" thickBot="1" x14ac:dyDescent="0.25">
      <c r="F143" s="445"/>
      <c r="G143" s="275" t="str">
        <f>STRAT9_IND5</f>
        <v>Objetivo estratégico 9 Indicador 5</v>
      </c>
      <c r="H143" s="270" t="str">
        <f ca="1">OFFSET(Variables_Lu!$D$10,Basic_Setup!H86,0)</f>
        <v>Nutrition-specific</v>
      </c>
      <c r="I143" s="248">
        <f t="shared" si="35"/>
        <v>0</v>
      </c>
      <c r="J143" s="232">
        <f t="shared" si="36"/>
        <v>0</v>
      </c>
      <c r="K143" s="232">
        <f t="shared" si="36"/>
        <v>0</v>
      </c>
      <c r="L143" s="232">
        <f t="shared" si="36"/>
        <v>0</v>
      </c>
      <c r="M143" s="232">
        <f t="shared" si="36"/>
        <v>0</v>
      </c>
      <c r="N143" s="232">
        <f t="shared" si="36"/>
        <v>0</v>
      </c>
    </row>
    <row r="144" spans="6:14" ht="12.6" thickBot="1" x14ac:dyDescent="0.25">
      <c r="H144" s="152" t="s">
        <v>162</v>
      </c>
      <c r="I144" s="249">
        <f t="shared" si="35"/>
        <v>0</v>
      </c>
      <c r="J144" s="247">
        <f>SUM(J139:J143)</f>
        <v>0</v>
      </c>
      <c r="K144" s="247">
        <f>SUM(K139:K143)</f>
        <v>0</v>
      </c>
      <c r="L144" s="247">
        <f>SUM(L139:L143)</f>
        <v>0</v>
      </c>
      <c r="M144" s="247">
        <f>SUM(M139:M143)</f>
        <v>0</v>
      </c>
      <c r="N144" s="247">
        <f>SUM(N139:N143)</f>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248">
        <f t="shared" si="35"/>
        <v>0</v>
      </c>
      <c r="J145" s="220">
        <f t="shared" ref="J145:N149" si="37">J74*EXCHANGE_RATE</f>
        <v>0</v>
      </c>
      <c r="K145" s="220">
        <f t="shared" si="37"/>
        <v>0</v>
      </c>
      <c r="L145" s="220">
        <f t="shared" si="37"/>
        <v>0</v>
      </c>
      <c r="M145" s="220">
        <f t="shared" si="37"/>
        <v>0</v>
      </c>
      <c r="N145" s="220">
        <f t="shared" si="37"/>
        <v>0</v>
      </c>
    </row>
    <row r="146" spans="1:14" ht="12" x14ac:dyDescent="0.2">
      <c r="F146" s="444"/>
      <c r="G146" s="42" t="str">
        <f>STRAT10_IND2</f>
        <v>Objetivo estratégico 10 Indicador 2</v>
      </c>
      <c r="H146" s="268" t="str">
        <f ca="1">OFFSET(Variables_Lu!$D$10,Basic_Setup!H89,0)</f>
        <v>Nutrition-specific</v>
      </c>
      <c r="I146" s="248">
        <f t="shared" si="35"/>
        <v>0</v>
      </c>
      <c r="J146" s="220">
        <f t="shared" si="37"/>
        <v>0</v>
      </c>
      <c r="K146" s="220">
        <f t="shared" si="37"/>
        <v>0</v>
      </c>
      <c r="L146" s="220">
        <f t="shared" si="37"/>
        <v>0</v>
      </c>
      <c r="M146" s="220">
        <f t="shared" si="37"/>
        <v>0</v>
      </c>
      <c r="N146" s="220">
        <f t="shared" si="37"/>
        <v>0</v>
      </c>
    </row>
    <row r="147" spans="1:14" ht="12" x14ac:dyDescent="0.2">
      <c r="F147" s="444"/>
      <c r="G147" s="42" t="str">
        <f>STRAT10_IND3</f>
        <v>Objetivo estratégico 10 Indicador 3</v>
      </c>
      <c r="H147" s="268" t="str">
        <f ca="1">OFFSET(Variables_Lu!$D$10,Basic_Setup!H90,0)</f>
        <v>Nutrition-specific</v>
      </c>
      <c r="I147" s="248">
        <f t="shared" si="35"/>
        <v>0</v>
      </c>
      <c r="J147" s="220">
        <f t="shared" si="37"/>
        <v>0</v>
      </c>
      <c r="K147" s="220">
        <f t="shared" si="37"/>
        <v>0</v>
      </c>
      <c r="L147" s="220">
        <f t="shared" si="37"/>
        <v>0</v>
      </c>
      <c r="M147" s="220">
        <f t="shared" si="37"/>
        <v>0</v>
      </c>
      <c r="N147" s="220">
        <f t="shared" si="37"/>
        <v>0</v>
      </c>
    </row>
    <row r="148" spans="1:14" ht="12" x14ac:dyDescent="0.2">
      <c r="F148" s="444"/>
      <c r="G148" s="41" t="str">
        <f>STRAT10_IND4</f>
        <v>Objetivo estratégico 10 Indicador 4</v>
      </c>
      <c r="H148" s="268" t="str">
        <f ca="1">OFFSET(Variables_Lu!$D$10,Basic_Setup!H91,0)</f>
        <v>Nutrition-specific</v>
      </c>
      <c r="I148" s="248">
        <f t="shared" si="35"/>
        <v>0</v>
      </c>
      <c r="J148" s="220">
        <f t="shared" si="37"/>
        <v>0</v>
      </c>
      <c r="K148" s="220">
        <f t="shared" si="37"/>
        <v>0</v>
      </c>
      <c r="L148" s="220">
        <f t="shared" si="37"/>
        <v>0</v>
      </c>
      <c r="M148" s="220">
        <f t="shared" si="37"/>
        <v>0</v>
      </c>
      <c r="N148" s="220">
        <f t="shared" si="37"/>
        <v>0</v>
      </c>
    </row>
    <row r="149" spans="1:14" ht="12.6" thickBot="1" x14ac:dyDescent="0.25">
      <c r="F149" s="445"/>
      <c r="G149" s="275" t="str">
        <f>STRAT10_IND5</f>
        <v>Objetivo estratégico 10 Indicador 5</v>
      </c>
      <c r="H149" s="270" t="str">
        <f ca="1">OFFSET(Variables_Lu!$D$10,Basic_Setup!H92,0)</f>
        <v>Nutrition-specific</v>
      </c>
      <c r="I149" s="248">
        <f t="shared" si="35"/>
        <v>0</v>
      </c>
      <c r="J149" s="232">
        <f t="shared" si="37"/>
        <v>0</v>
      </c>
      <c r="K149" s="232">
        <f t="shared" si="37"/>
        <v>0</v>
      </c>
      <c r="L149" s="232">
        <f t="shared" si="37"/>
        <v>0</v>
      </c>
      <c r="M149" s="232">
        <f t="shared" si="37"/>
        <v>0</v>
      </c>
      <c r="N149" s="232">
        <f t="shared" si="37"/>
        <v>0</v>
      </c>
    </row>
    <row r="150" spans="1:14" ht="12" x14ac:dyDescent="0.2">
      <c r="H150" s="152" t="s">
        <v>163</v>
      </c>
      <c r="I150" s="249">
        <f t="shared" si="35"/>
        <v>0</v>
      </c>
      <c r="J150" s="247">
        <f>SUM(J145:J149)</f>
        <v>0</v>
      </c>
      <c r="K150" s="247">
        <f>SUM(K145:K149)</f>
        <v>0</v>
      </c>
      <c r="L150" s="247">
        <f>SUM(L145:L149)</f>
        <v>0</v>
      </c>
      <c r="M150" s="247">
        <f>SUM(M145:M149)</f>
        <v>0</v>
      </c>
      <c r="N150" s="247">
        <f>SUM(N145:N149)</f>
        <v>0</v>
      </c>
    </row>
    <row r="151" spans="1:14" x14ac:dyDescent="0.2">
      <c r="I151" s="231"/>
      <c r="J151" s="231"/>
      <c r="K151" s="231"/>
      <c r="L151" s="231"/>
      <c r="M151" s="231"/>
      <c r="N151" s="231"/>
    </row>
    <row r="152" spans="1:14" ht="12.6" thickBot="1" x14ac:dyDescent="0.25">
      <c r="H152" s="149" t="str">
        <f>"TOTAL - "&amp;$F$12</f>
        <v>TOTAL - [No está en uso]</v>
      </c>
      <c r="I152" s="222">
        <f t="shared" ref="I152:N152" si="38">I81*EXCHANGE_RATE</f>
        <v>0</v>
      </c>
      <c r="J152" s="222">
        <f t="shared" si="38"/>
        <v>0</v>
      </c>
      <c r="K152" s="222">
        <f t="shared" si="38"/>
        <v>0</v>
      </c>
      <c r="L152" s="222">
        <f t="shared" si="38"/>
        <v>0</v>
      </c>
      <c r="M152" s="222">
        <f t="shared" si="38"/>
        <v>0</v>
      </c>
      <c r="N152" s="222">
        <f t="shared" si="38"/>
        <v>0</v>
      </c>
    </row>
    <row r="153" spans="1:14" ht="12" x14ac:dyDescent="0.2">
      <c r="I153" s="149"/>
    </row>
    <row r="155" spans="1:14" x14ac:dyDescent="0.2">
      <c r="A155" s="39" t="s">
        <v>76</v>
      </c>
      <c r="B155" s="40" t="str">
        <f>"Summary of "&amp;Partner8&amp;" - by Result/Indicator Type"</f>
        <v>Summary of [No está en uso]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t="e">
        <f ca="1">I159/$I$162</f>
        <v>#DIV/0!</v>
      </c>
      <c r="I159" s="68">
        <f ca="1">SUM(J159:N159)</f>
        <v>0</v>
      </c>
      <c r="J159" s="325">
        <f ca="1">SUMIF($H$91:$H$149,Lu_Nutrition_Specific,J$91:J$149)</f>
        <v>0</v>
      </c>
      <c r="K159" s="325">
        <f ca="1">SUMIF($H$91:$H$149,Lu_Nutrition_Specific,K$91:K$149)</f>
        <v>0</v>
      </c>
      <c r="L159" s="325">
        <f ca="1">SUMIF($H$91:$H$149,Lu_Nutrition_Specific,L$91:L$149)</f>
        <v>0</v>
      </c>
      <c r="M159" s="325">
        <f ca="1">SUMIF($H$91:$H$149,Lu_Nutrition_Specific,M$91:M$149)</f>
        <v>0</v>
      </c>
      <c r="N159" s="325">
        <f ca="1">SUMIF($H$91:$H$149,Lu_Nutrition_Specific,N$91:N$149)</f>
        <v>0</v>
      </c>
    </row>
    <row r="160" spans="1:14" ht="12" x14ac:dyDescent="0.2">
      <c r="F160" s="38" t="str">
        <f>Lu_Nutrition_Sensitive</f>
        <v>Nutrition-sensitive</v>
      </c>
      <c r="G160" s="38"/>
      <c r="H160" s="289" t="e">
        <f t="shared" ref="H160:H161" ca="1" si="39">I160/$I$162</f>
        <v>#DIV/0!</v>
      </c>
      <c r="I160" s="69">
        <f t="shared" ref="I160:I161" ca="1" si="40">SUM(J160:N160)</f>
        <v>0</v>
      </c>
      <c r="J160" s="325">
        <f ca="1">SUMIF($H$91:$H$149,Lu_Nutrition_Sensitive,J$91:J$149)</f>
        <v>0</v>
      </c>
      <c r="K160" s="325">
        <f ca="1">SUMIF($H$91:$H$149,Lu_Nutrition_Sensitive,K$91:K$149)</f>
        <v>0</v>
      </c>
      <c r="L160" s="325">
        <f ca="1">SUMIF($H$91:$H$149,Lu_Nutrition_Sensitive,L$91:L$149)</f>
        <v>0</v>
      </c>
      <c r="M160" s="325">
        <f ca="1">SUMIF($H$91:$H$149,Lu_Nutrition_Sensitive,M$91:M$149)</f>
        <v>0</v>
      </c>
      <c r="N160" s="325">
        <f ca="1">SUMIF($H$91:$H$149,Lu_Nutrition_Sensitive,N$91:N$149)</f>
        <v>0</v>
      </c>
    </row>
    <row r="161" spans="6:14" ht="12" x14ac:dyDescent="0.2">
      <c r="F161" s="38" t="str">
        <f>Lu_Governance</f>
        <v>Governance</v>
      </c>
      <c r="G161" s="38"/>
      <c r="H161" s="289" t="e">
        <f t="shared" ca="1" si="39"/>
        <v>#DIV/0!</v>
      </c>
      <c r="I161" s="396">
        <f t="shared" ca="1" si="40"/>
        <v>0</v>
      </c>
      <c r="J161" s="325">
        <f ca="1">SUMIF($H$91:$H$149,Lu_Governance,J$91:J$149)</f>
        <v>0</v>
      </c>
      <c r="K161" s="325">
        <f ca="1">SUMIF($H$91:$H$149,Lu_Governance,K$91:K$149)</f>
        <v>0</v>
      </c>
      <c r="L161" s="325">
        <f ca="1">SUMIF($H$91:$H$149,Lu_Governance,L$91:L$149)</f>
        <v>0</v>
      </c>
      <c r="M161" s="325">
        <f ca="1">SUMIF($H$91:$H$149,Lu_Governance,M$91:M$149)</f>
        <v>0</v>
      </c>
      <c r="N161" s="325">
        <f ca="1">SUMIF($H$91:$H$149,Lu_Governance,N$91:N$149)</f>
        <v>0</v>
      </c>
    </row>
    <row r="162" spans="6:14" ht="12" x14ac:dyDescent="0.2">
      <c r="F162" s="324" t="str">
        <f>"TOTAL - "&amp;Summary_Govt_Contributions!$F$12&amp;" ("&amp;CURR_LCU_ABBR&amp;")"</f>
        <v>TOTAL - TODAS las contribuciones de las agencias gubernamentales (GOZ)</v>
      </c>
      <c r="G162" s="74"/>
      <c r="H162" s="291" t="e">
        <f ca="1">SUM(H159:H161)</f>
        <v>#DIV/0!</v>
      </c>
      <c r="I162" s="57">
        <f ca="1">SUM(J162:N162)</f>
        <v>0</v>
      </c>
      <c r="J162" s="55">
        <f ca="1">SUM(J159:J161)</f>
        <v>0</v>
      </c>
      <c r="K162" s="55">
        <f t="shared" ref="K162:N162" ca="1" si="41">SUM(K159:K161)</f>
        <v>0</v>
      </c>
      <c r="L162" s="55">
        <f t="shared" ca="1" si="41"/>
        <v>0</v>
      </c>
      <c r="M162" s="55">
        <f t="shared" ca="1" si="41"/>
        <v>0</v>
      </c>
      <c r="N162" s="55">
        <f t="shared" ca="1" si="41"/>
        <v>0</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t="e">
        <f ca="1">I166/$I$169</f>
        <v>#DIV/0!</v>
      </c>
      <c r="I166" s="404">
        <f ca="1">SUM(J166:N166)</f>
        <v>0</v>
      </c>
      <c r="J166" s="407">
        <f t="shared" ref="J166:N168" ca="1" si="42">J159/EXCHANGE_RATE</f>
        <v>0</v>
      </c>
      <c r="K166" s="407">
        <f t="shared" ca="1" si="42"/>
        <v>0</v>
      </c>
      <c r="L166" s="407">
        <f t="shared" ca="1" si="42"/>
        <v>0</v>
      </c>
      <c r="M166" s="407">
        <f t="shared" ca="1" si="42"/>
        <v>0</v>
      </c>
      <c r="N166" s="407">
        <f t="shared" ca="1" si="42"/>
        <v>0</v>
      </c>
    </row>
    <row r="167" spans="6:14" ht="12" x14ac:dyDescent="0.2">
      <c r="F167" t="str">
        <f>Lu_Nutrition_Sensitive</f>
        <v>Nutrition-sensitive</v>
      </c>
      <c r="H167" s="289" t="e">
        <f t="shared" ref="H167:H168" ca="1" si="43">I167/$I$169</f>
        <v>#DIV/0!</v>
      </c>
      <c r="I167" s="404">
        <f t="shared" ref="I167:I168" ca="1" si="44">SUM(J167:N167)</f>
        <v>0</v>
      </c>
      <c r="J167" s="407">
        <f t="shared" ca="1" si="42"/>
        <v>0</v>
      </c>
      <c r="K167" s="407">
        <f t="shared" ca="1" si="42"/>
        <v>0</v>
      </c>
      <c r="L167" s="407">
        <f t="shared" ca="1" si="42"/>
        <v>0</v>
      </c>
      <c r="M167" s="407">
        <f t="shared" ca="1" si="42"/>
        <v>0</v>
      </c>
      <c r="N167" s="407">
        <f t="shared" ca="1" si="42"/>
        <v>0</v>
      </c>
    </row>
    <row r="168" spans="6:14" ht="12" x14ac:dyDescent="0.2">
      <c r="F168" t="str">
        <f>Lu_Governance</f>
        <v>Governance</v>
      </c>
      <c r="H168" s="289" t="e">
        <f t="shared" ca="1" si="43"/>
        <v>#DIV/0!</v>
      </c>
      <c r="I168" s="404">
        <f t="shared" ca="1" si="44"/>
        <v>0</v>
      </c>
      <c r="J168" s="407">
        <f t="shared" ca="1" si="42"/>
        <v>0</v>
      </c>
      <c r="K168" s="407">
        <f t="shared" ca="1" si="42"/>
        <v>0</v>
      </c>
      <c r="L168" s="407">
        <f t="shared" ca="1" si="42"/>
        <v>0</v>
      </c>
      <c r="M168" s="407">
        <f t="shared" ca="1" si="42"/>
        <v>0</v>
      </c>
      <c r="N168" s="407">
        <f t="shared" ca="1" si="42"/>
        <v>0</v>
      </c>
    </row>
    <row r="169" spans="6:14" ht="12" x14ac:dyDescent="0.2">
      <c r="F169" s="324" t="str">
        <f>"TOTAL - "&amp;Summary_Govt_Contributions!$F$12&amp;" ("&amp;CURR_INT_ABBR&amp;")"</f>
        <v>TOTAL - TODAS las contribuciones de las agencias gubernamentales (USD)</v>
      </c>
      <c r="G169" s="74"/>
      <c r="H169" s="291" t="e">
        <f ca="1">SUM(H166:H168)</f>
        <v>#DIV/0!</v>
      </c>
      <c r="I169" s="295">
        <f ca="1">SUM(J169:N169)</f>
        <v>0</v>
      </c>
      <c r="J169" s="408">
        <f ca="1">SUM(J166:J168)</f>
        <v>0</v>
      </c>
      <c r="K169" s="408">
        <f t="shared" ref="K169:N169" ca="1" si="45">SUM(K166:K168)</f>
        <v>0</v>
      </c>
      <c r="L169" s="408">
        <f t="shared" ca="1" si="45"/>
        <v>0</v>
      </c>
      <c r="M169" s="408">
        <f t="shared" ca="1" si="45"/>
        <v>0</v>
      </c>
      <c r="N169" s="408">
        <f t="shared" ca="1" si="45"/>
        <v>0</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3 J32:N36 J26:N30 J44:N48 J50:N54 J56:N60 J62:N66 J68:N72 J74:N78 J38:N42 J103:N107 J97:N101 J91:N95 J109:N113 J115:N119 J121:N125 J127:N131 J133:N137 J139:N143 J145:N149" xr:uid="{00000000-0002-0000-1C00-000000000000}">
      <formula1>NOT(ISERROR(J20/1))</formula1>
    </dataValidation>
  </dataValidations>
  <hyperlinks>
    <hyperlink ref="A14" location="HL_Mod_Out" tooltip="Click to follow hyperlink." display="ð" xr:uid="{00000000-0004-0000-1C00-000000000000}"/>
    <hyperlink ref="B4" location="Partner7!HL_Sheet_Main_13" tooltip="Go to Previous Sheet" display="ç" xr:uid="{00000000-0004-0000-1C00-000001000000}"/>
    <hyperlink ref="C4" location="Partner9!HL_Sheet_Main_13" tooltip="Go to Next Sheet" display="è" xr:uid="{00000000-0004-0000-1C00-000002000000}"/>
    <hyperlink ref="A4" r:id="rId1" tooltip="Go to Top of Sheet" xr:uid="{00000000-0004-0000-1C00-000003000000}"/>
    <hyperlink ref="B3" location="HL_Home" tooltip="Go to Table of Contents" display="Go to Table of Contents" xr:uid="{00000000-0004-0000-1C00-000004000000}"/>
    <hyperlink ref="A155" location="HL_Mod_Out" tooltip="Click to follow hyperlink." display="ð" xr:uid="{00000000-0004-0000-1C00-000005000000}"/>
  </hyperlinks>
  <pageMargins left="0.4" right="0.4" top="0.6" bottom="1" header="0" footer="0.3"/>
  <pageSetup orientation="landscape" r:id="rId2"/>
  <headerFooter>
    <oddFooter>&amp;L&amp;F
&amp;A
Printed: &amp;T on &amp;D&amp;C&amp;",Bold"Sheet 2.t.
Page &amp;P of &amp;N</oddFooter>
  </headerFooter>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C9:L46"/>
  <sheetViews>
    <sheetView showGridLines="0" showRowColHeaders="0" zoomScale="64" workbookViewId="0">
      <pane ySplit="47" topLeftCell="A61" activePane="bottomLeft" state="frozen"/>
      <selection pane="bottomLeft" activeCell="C11" sqref="C11"/>
    </sheetView>
  </sheetViews>
  <sheetFormatPr defaultColWidth="11.75" defaultRowHeight="11.4" x14ac:dyDescent="0.2"/>
  <cols>
    <col min="3" max="6" width="3.75" customWidth="1"/>
  </cols>
  <sheetData>
    <row r="9" spans="3:7" ht="13.8" x14ac:dyDescent="0.2">
      <c r="C9" s="2" t="s">
        <v>380</v>
      </c>
    </row>
    <row r="10" spans="3:7" ht="13.2" x14ac:dyDescent="0.2">
      <c r="C10" s="9" t="s">
        <v>22</v>
      </c>
    </row>
    <row r="11" spans="3:7" ht="13.2" x14ac:dyDescent="0.2">
      <c r="C11" s="5" t="str">
        <f>Model_Name</f>
        <v>Financial Gap Analysis Tool - País X (Datos de la muestra)</v>
      </c>
    </row>
    <row r="12" spans="3:7" x14ac:dyDescent="0.2">
      <c r="C12" s="425" t="s">
        <v>524</v>
      </c>
      <c r="D12" s="425"/>
      <c r="E12" s="425"/>
      <c r="F12" s="425"/>
      <c r="G12" s="425"/>
    </row>
    <row r="13" spans="3:7" x14ac:dyDescent="0.2">
      <c r="C13" s="7" t="s">
        <v>2</v>
      </c>
      <c r="D13" s="8" t="s">
        <v>3</v>
      </c>
    </row>
    <row r="17" spans="3:9" ht="12" x14ac:dyDescent="0.2">
      <c r="C17" s="3" t="s">
        <v>525</v>
      </c>
    </row>
    <row r="18" spans="3:9" x14ac:dyDescent="0.2">
      <c r="C18" s="4"/>
    </row>
    <row r="19" spans="3:9" ht="12" x14ac:dyDescent="0.2">
      <c r="C19" s="230" t="s">
        <v>400</v>
      </c>
    </row>
    <row r="20" spans="3:9" x14ac:dyDescent="0.2">
      <c r="C20" s="4"/>
      <c r="D20" s="199" t="s">
        <v>526</v>
      </c>
      <c r="E20" s="199"/>
      <c r="F20" s="199"/>
      <c r="G20" s="199"/>
      <c r="H20" s="199"/>
      <c r="I20" s="199"/>
    </row>
    <row r="21" spans="3:9" x14ac:dyDescent="0.2">
      <c r="C21" s="4"/>
      <c r="D21" s="199" t="s">
        <v>527</v>
      </c>
      <c r="E21" s="199"/>
      <c r="F21" s="199"/>
      <c r="G21" s="199"/>
      <c r="H21" s="199"/>
      <c r="I21" s="199"/>
    </row>
    <row r="22" spans="3:9" x14ac:dyDescent="0.2">
      <c r="D22" s="199" t="s">
        <v>528</v>
      </c>
      <c r="E22" s="199"/>
      <c r="F22" s="199"/>
      <c r="G22" s="199"/>
      <c r="H22" s="199"/>
      <c r="I22" s="199"/>
    </row>
    <row r="23" spans="3:9" x14ac:dyDescent="0.2">
      <c r="D23" s="199" t="s">
        <v>529</v>
      </c>
      <c r="E23" s="199"/>
      <c r="F23" s="199"/>
      <c r="G23" s="199"/>
      <c r="H23" s="199"/>
      <c r="I23" s="199"/>
    </row>
    <row r="24" spans="3:9" x14ac:dyDescent="0.2">
      <c r="D24" s="199" t="s">
        <v>530</v>
      </c>
      <c r="E24" s="199"/>
      <c r="F24" s="199"/>
      <c r="G24" s="199"/>
      <c r="H24" s="199"/>
      <c r="I24" s="199"/>
    </row>
    <row r="25" spans="3:9" x14ac:dyDescent="0.2">
      <c r="D25" s="199" t="s">
        <v>531</v>
      </c>
      <c r="E25" s="199"/>
      <c r="F25" s="199"/>
      <c r="G25" s="199"/>
      <c r="H25" s="199"/>
      <c r="I25" s="199"/>
    </row>
    <row r="26" spans="3:9" x14ac:dyDescent="0.2">
      <c r="D26" s="199" t="s">
        <v>532</v>
      </c>
      <c r="E26" s="199"/>
      <c r="F26" s="199"/>
      <c r="G26" s="199"/>
      <c r="H26" s="199"/>
      <c r="I26" s="199"/>
    </row>
    <row r="27" spans="3:9" x14ac:dyDescent="0.2">
      <c r="D27" s="199" t="s">
        <v>533</v>
      </c>
      <c r="E27" s="199"/>
      <c r="F27" s="199"/>
      <c r="G27" s="199"/>
      <c r="H27" s="199"/>
      <c r="I27" s="199"/>
    </row>
    <row r="28" spans="3:9" x14ac:dyDescent="0.2">
      <c r="D28" s="199" t="s">
        <v>169</v>
      </c>
      <c r="E28" s="199"/>
      <c r="F28" s="199"/>
      <c r="G28" s="199"/>
      <c r="H28" s="199"/>
      <c r="I28" s="199"/>
    </row>
    <row r="29" spans="3:9" x14ac:dyDescent="0.2">
      <c r="D29" s="199" t="s">
        <v>534</v>
      </c>
      <c r="E29" s="199"/>
      <c r="F29" s="199"/>
      <c r="G29" s="199"/>
      <c r="H29" s="199"/>
      <c r="I29" s="199"/>
    </row>
    <row r="30" spans="3:9" x14ac:dyDescent="0.2">
      <c r="D30" s="199" t="s">
        <v>535</v>
      </c>
      <c r="E30" s="199"/>
      <c r="F30" s="199"/>
      <c r="G30" s="199"/>
      <c r="H30" s="199"/>
      <c r="I30" s="199"/>
    </row>
    <row r="31" spans="3:9" x14ac:dyDescent="0.2">
      <c r="D31" s="199" t="s">
        <v>536</v>
      </c>
      <c r="E31" s="199"/>
      <c r="F31" s="199"/>
      <c r="G31" s="199"/>
      <c r="H31" s="199"/>
      <c r="I31" s="199"/>
    </row>
    <row r="33" spans="3:12" ht="12" x14ac:dyDescent="0.2">
      <c r="C33" s="230" t="s">
        <v>550</v>
      </c>
    </row>
    <row r="34" spans="3:12" ht="12" x14ac:dyDescent="0.2">
      <c r="C34" s="230"/>
      <c r="D34" s="199" t="str">
        <f>Tablero!B5</f>
        <v>Presentación interactiva de los principales resultados</v>
      </c>
      <c r="E34" s="199"/>
      <c r="F34" s="199"/>
      <c r="G34" s="199"/>
      <c r="H34" s="199"/>
      <c r="I34" s="199"/>
      <c r="J34" s="199"/>
      <c r="K34" s="199"/>
      <c r="L34" s="199"/>
    </row>
    <row r="35" spans="3:12" x14ac:dyDescent="0.2">
      <c r="D35" s="199" t="s">
        <v>537</v>
      </c>
      <c r="E35" s="199"/>
      <c r="F35" s="199"/>
      <c r="G35" s="199"/>
      <c r="H35" s="199"/>
      <c r="I35" s="199"/>
      <c r="J35" s="199"/>
      <c r="K35" s="199"/>
      <c r="L35" s="199"/>
    </row>
    <row r="36" spans="3:12" x14ac:dyDescent="0.2">
      <c r="D36" s="199" t="s">
        <v>291</v>
      </c>
      <c r="E36" s="199"/>
      <c r="F36" s="199"/>
      <c r="G36" s="199"/>
      <c r="H36" s="199"/>
      <c r="I36" s="199"/>
      <c r="J36" s="199"/>
      <c r="K36" s="199"/>
    </row>
    <row r="37" spans="3:12" x14ac:dyDescent="0.2">
      <c r="D37" s="199" t="str">
        <f>Tablero!B106</f>
        <v>Objetivo estratégico 1: Fortalecer la gobernanza de la nutrición: Summary Dashboard</v>
      </c>
      <c r="E37" s="199"/>
      <c r="F37" s="199"/>
      <c r="G37" s="199"/>
      <c r="H37" s="199"/>
      <c r="I37" s="199"/>
      <c r="J37" s="199"/>
      <c r="K37" s="199"/>
    </row>
    <row r="38" spans="3:12" x14ac:dyDescent="0.2">
      <c r="D38" s="199" t="str">
        <f>Tablero!B153</f>
        <v>Objetivo estratégico 2: Fortalecer el acceso al tratamiento y a los servicios de salud y nutrición de calidad, así como al tratamiento de todas las formas de malnutrición: Summary Dashboard</v>
      </c>
      <c r="E38" s="199"/>
      <c r="F38" s="199"/>
      <c r="G38" s="199"/>
      <c r="H38" s="199"/>
      <c r="I38" s="199"/>
      <c r="J38" s="199"/>
      <c r="K38" s="199"/>
    </row>
    <row r="39" spans="3:12" x14ac:dyDescent="0.2">
      <c r="D39" s="199" t="str">
        <f>Tablero!B200</f>
        <v>Objetivo estratégico 3: Aumentar la disponibilidad y el acceso a alimentos nutritivos de alto valor, seguros y diversificados: Summary Dashboard</v>
      </c>
      <c r="E39" s="199"/>
      <c r="F39" s="199"/>
      <c r="G39" s="199"/>
      <c r="H39" s="199"/>
      <c r="I39" s="199"/>
      <c r="J39" s="199"/>
      <c r="K39" s="199"/>
    </row>
    <row r="40" spans="3:12" x14ac:dyDescent="0.2">
      <c r="D40" s="199" t="str">
        <f>Tablero!B248</f>
        <v>Objetivo estratégico 4: Fortalecer la protección social, la resiliencia de la respuesta a las emergencias y los desastres naturales.: Summary Dashboard</v>
      </c>
      <c r="E40" s="199"/>
      <c r="F40" s="199"/>
      <c r="G40" s="199"/>
      <c r="H40" s="199"/>
      <c r="I40" s="199"/>
      <c r="J40" s="199"/>
      <c r="K40" s="199"/>
    </row>
    <row r="41" spans="3:12" x14ac:dyDescent="0.2">
      <c r="D41" s="199" t="str">
        <f>Tablero!B296</f>
        <v>Objetivo estratégico 5: Promoción de prácticas favorables a una nutrición óptima, de higiene y saneamiento básico. : Summary Dashboard</v>
      </c>
      <c r="E41" s="199"/>
      <c r="F41" s="199"/>
      <c r="G41" s="199"/>
      <c r="H41" s="199"/>
      <c r="I41" s="199"/>
      <c r="J41" s="199"/>
      <c r="K41" s="199"/>
    </row>
    <row r="42" spans="3:12" x14ac:dyDescent="0.2">
      <c r="D42" s="199" t="str">
        <f>Tablero!B344</f>
        <v>Objetivo estratégico 6: [No está en uso]: Summary Dashboard</v>
      </c>
      <c r="E42" s="199"/>
      <c r="F42" s="199"/>
      <c r="G42" s="199"/>
      <c r="H42" s="199"/>
      <c r="I42" s="199"/>
      <c r="J42" s="199"/>
      <c r="K42" s="199"/>
    </row>
    <row r="43" spans="3:12" x14ac:dyDescent="0.2">
      <c r="D43" s="199" t="str">
        <f>Tablero!B392</f>
        <v>Objetivo estratégico 7: [No está en uso]: Summary Dashboard</v>
      </c>
      <c r="E43" s="199"/>
      <c r="F43" s="199"/>
      <c r="G43" s="199"/>
      <c r="H43" s="199"/>
      <c r="I43" s="199"/>
      <c r="J43" s="199"/>
      <c r="K43" s="199"/>
    </row>
    <row r="44" spans="3:12" x14ac:dyDescent="0.2">
      <c r="D44" s="199" t="str">
        <f>Tablero!B440</f>
        <v>Objetivo estratégico 8: [No está en uso]: Summary Dashboard</v>
      </c>
      <c r="E44" s="199"/>
      <c r="F44" s="199"/>
      <c r="G44" s="199"/>
      <c r="H44" s="199"/>
      <c r="I44" s="199"/>
      <c r="J44" s="199"/>
      <c r="K44" s="199"/>
    </row>
    <row r="45" spans="3:12" x14ac:dyDescent="0.2">
      <c r="D45" s="199" t="str">
        <f>Tablero!B488</f>
        <v>Objetivo estratégico 9: [No está en uso]: Summary Dashboard</v>
      </c>
      <c r="E45" s="199"/>
      <c r="F45" s="199"/>
      <c r="G45" s="199"/>
      <c r="H45" s="199"/>
      <c r="I45" s="199"/>
      <c r="J45" s="199"/>
      <c r="K45" s="199"/>
    </row>
    <row r="46" spans="3:12" x14ac:dyDescent="0.2">
      <c r="D46" s="199" t="str">
        <f>Tablero!B536</f>
        <v>Objetivo estratégico 10: [No está en uso]: Summary Dashboard</v>
      </c>
      <c r="E46" s="199"/>
      <c r="F46" s="199"/>
      <c r="G46" s="199"/>
      <c r="H46" s="199"/>
      <c r="I46" s="199"/>
      <c r="J46" s="199"/>
      <c r="K46" s="199"/>
    </row>
  </sheetData>
  <mergeCells count="1">
    <mergeCell ref="C12:G12"/>
  </mergeCells>
  <hyperlinks>
    <hyperlink ref="C13" location="HL_Sheet_Main_19" tooltip="Go to Previous Sheet" display="ç" xr:uid="{00000000-0004-0000-0200-000000000000}"/>
    <hyperlink ref="D13" location="HL_Sheet_Main_21" tooltip="Go to Next Sheet" display="è" xr:uid="{00000000-0004-0000-0200-000001000000}"/>
    <hyperlink ref="D20" location="About!B6" display="Descripción general" xr:uid="{00000000-0004-0000-0200-000002000000}"/>
    <hyperlink ref="D21" location="About!B17" display="Usuarios previstos y momento de su utilización" xr:uid="{00000000-0004-0000-0200-000003000000}"/>
    <hyperlink ref="D22" location="About!B26" display="Propósito" xr:uid="{00000000-0004-0000-0200-000004000000}"/>
    <hyperlink ref="D23" location="About!B38" display="Aportes necesarios y fuentes de datos recomendadas" xr:uid="{00000000-0004-0000-0200-000005000000}"/>
    <hyperlink ref="D24" location="About!B48" display="Usos sugeridos para los resultados de esta herramienta" xr:uid="{00000000-0004-0000-0200-000006000000}"/>
    <hyperlink ref="D25" location="About!B61" display="Navegar por esta herramienta" xr:uid="{00000000-0004-0000-0200-000007000000}"/>
    <hyperlink ref="D26" location="About!B102" display="Instrucciones para los usuarios" xr:uid="{00000000-0004-0000-0200-000008000000}"/>
    <hyperlink ref="D27" location="About!B112" display="Fuentes de datos utilizadas en este instrumento" xr:uid="{00000000-0004-0000-0200-000009000000}"/>
    <hyperlink ref="D28" location="About!B120" display="Control de cambios y gestión de versiones" xr:uid="{00000000-0004-0000-0200-00000A000000}"/>
    <hyperlink ref="D29" location="About!B126" display="Técnicas de programación avanzada utilizadas en la herramienta" xr:uid="{00000000-0004-0000-0200-00000B000000}"/>
    <hyperlink ref="D30" location="About!B134" display="Limitaciones y advertencias de los instrumentos utilizados en la herramienta" xr:uid="{00000000-0004-0000-0200-00000C000000}"/>
    <hyperlink ref="D31" location="About!B141" display="Seguridad y protección" xr:uid="{00000000-0004-0000-0200-00000D000000}"/>
    <hyperlink ref="D35" location="Dashboard!B44" display="Resumen de las necesidades financieras, el total de la financiación disponible y la diferencia financiera" xr:uid="{00000000-0004-0000-0200-00000E000000}"/>
    <hyperlink ref="D36" location="Dashboard!B77" display="Déficit de financiación: por año y objetivo estratégico" xr:uid="{00000000-0004-0000-0200-00000F000000}"/>
    <hyperlink ref="D40" location="Dashboard!B248" display="Dashboard!B248" xr:uid="{00000000-0004-0000-0200-000010000000}"/>
    <hyperlink ref="D39" location="Dashboard!B200" display="Dashboard!B200" xr:uid="{00000000-0004-0000-0200-000011000000}"/>
    <hyperlink ref="D38" location="Dashboard!B153" display="Dashboard!B153" xr:uid="{00000000-0004-0000-0200-000012000000}"/>
    <hyperlink ref="D41" location="Dashboard!B296" display="Dashboard!B296" xr:uid="{00000000-0004-0000-0200-000013000000}"/>
    <hyperlink ref="D43" location="Dashboard!B392" display="Dashboard!B392" xr:uid="{00000000-0004-0000-0200-000014000000}"/>
    <hyperlink ref="D42" location="Dashboard!B344" display="Dashboard!B344" xr:uid="{00000000-0004-0000-0200-000015000000}"/>
    <hyperlink ref="D44" location="Dashboard!B440" display="Dashboard!B440" xr:uid="{00000000-0004-0000-0200-000016000000}"/>
    <hyperlink ref="D45" location="Dashboard!B488" display="Dashboard!B488" xr:uid="{00000000-0004-0000-0200-000017000000}"/>
    <hyperlink ref="D46" location="Dashboard!B536" display="Dashboard!B536" xr:uid="{00000000-0004-0000-0200-000018000000}"/>
    <hyperlink ref="D34" location="Dashboard!B5" display="Interactive Presentation of Key Outputs" xr:uid="{00000000-0004-0000-0200-000019000000}"/>
    <hyperlink ref="C12" location="HL_Home" tooltip="Go to Table of Contents" display="Ir al índice" xr:uid="{00000000-0004-0000-0200-00001A000000}"/>
  </hyperlinks>
  <pageMargins left="0.4" right="0.4" top="0.6" bottom="1" header="0" footer="0.3"/>
  <pageSetup orientation="landscape" r:id="rId1"/>
  <headerFooter>
    <oddFooter>&amp;L&amp;F
&amp;A
Impreso: &amp;T en &amp;D&amp;C&amp;",Bold"Section 1.
Página &amp;P de &amp;N</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sheetPr>
  <dimension ref="A1:N169"/>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0.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Partner9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F12" s="198" t="str">
        <f>Partner9</f>
        <v>[No está en uso]</v>
      </c>
      <c r="G12" s="60">
        <v>1</v>
      </c>
    </row>
    <row r="13" spans="1:14" s="38" customFormat="1" x14ac:dyDescent="0.2">
      <c r="G13"/>
    </row>
    <row r="14" spans="1:14" s="38" customFormat="1" x14ac:dyDescent="0.2">
      <c r="A14" s="39" t="s">
        <v>76</v>
      </c>
      <c r="B14" s="40" t="str">
        <f>"Planned Annual Contributions by "&amp;Partner9&amp;" - by Strategic Objective and Result/Indicator"</f>
        <v>Planned Annual Contributions by [No está en uso]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409" t="s">
        <v>106</v>
      </c>
      <c r="J19" s="54" t="str">
        <f>CURR_INT_ABBR</f>
        <v>USD</v>
      </c>
      <c r="K19" s="54" t="str">
        <f>CURR_INT_ABBR</f>
        <v>USD</v>
      </c>
      <c r="L19" s="54" t="str">
        <f>CURR_INT_ABBR</f>
        <v>USD</v>
      </c>
      <c r="M19" s="54" t="str">
        <f>CURR_INT_ABBR</f>
        <v>USD</v>
      </c>
      <c r="N19" s="54" t="str">
        <f>CURR_INT_ABBR</f>
        <v>USD</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67">
        <f>SUM(J20:N20)</f>
        <v>0</v>
      </c>
      <c r="J20" s="61"/>
      <c r="K20" s="61"/>
      <c r="L20" s="61"/>
      <c r="M20" s="61"/>
      <c r="N20" s="61"/>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67">
        <f t="shared" ref="I21:I22" si="2">SUM(J21:N21)</f>
        <v>0</v>
      </c>
      <c r="J21" s="61"/>
      <c r="K21" s="61"/>
      <c r="L21" s="61"/>
      <c r="M21" s="61"/>
      <c r="N21" s="61"/>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67">
        <f t="shared" si="2"/>
        <v>0</v>
      </c>
      <c r="J22" s="61"/>
      <c r="K22" s="61"/>
      <c r="L22" s="61"/>
      <c r="M22" s="61"/>
      <c r="N22" s="61"/>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67">
        <f>SUM(J23:N23)</f>
        <v>0</v>
      </c>
      <c r="J23" s="61"/>
      <c r="K23" s="61"/>
      <c r="L23" s="61"/>
      <c r="M23" s="61"/>
      <c r="N23" s="61"/>
    </row>
    <row r="24" spans="6:14" s="38" customFormat="1" ht="12" x14ac:dyDescent="0.2">
      <c r="F24" s="448"/>
      <c r="G24" s="41" t="str">
        <f>STRAT1_IND5</f>
        <v>Objetivo estratégico 1 Indicador 5</v>
      </c>
      <c r="H24" s="260" t="str">
        <f ca="1">OFFSET(Variables_Lu!$D$10,Basic_Setup!H38,0)</f>
        <v>Governance</v>
      </c>
      <c r="I24" s="67">
        <f>SUM(J24:N24)</f>
        <v>0</v>
      </c>
      <c r="J24" s="61"/>
      <c r="K24" s="61"/>
      <c r="L24" s="61"/>
      <c r="M24" s="61"/>
      <c r="N24" s="61"/>
    </row>
    <row r="25" spans="6:14" s="38" customFormat="1" ht="12" x14ac:dyDescent="0.2">
      <c r="H25" s="152" t="s">
        <v>107</v>
      </c>
      <c r="I25" s="250">
        <f>SUM(I20:I24)</f>
        <v>0</v>
      </c>
      <c r="J25" s="64">
        <f>SUM(J20:J24)</f>
        <v>0</v>
      </c>
      <c r="K25" s="64">
        <f t="shared" ref="K25:N25" si="3">SUM(K20:K24)</f>
        <v>0</v>
      </c>
      <c r="L25" s="64">
        <f t="shared" si="3"/>
        <v>0</v>
      </c>
      <c r="M25" s="64">
        <f t="shared" si="3"/>
        <v>0</v>
      </c>
      <c r="N25" s="64">
        <f t="shared" si="3"/>
        <v>0</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67">
        <f>SUM(J26:N26)</f>
        <v>0</v>
      </c>
      <c r="J26" s="61"/>
      <c r="K26" s="61"/>
      <c r="L26" s="61"/>
      <c r="M26" s="61"/>
      <c r="N26" s="61"/>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67">
        <f t="shared" ref="I27:I30" si="4">SUM(J27:N27)</f>
        <v>0</v>
      </c>
      <c r="J27" s="61"/>
      <c r="K27" s="61"/>
      <c r="L27" s="61"/>
      <c r="M27" s="61"/>
      <c r="N27" s="61"/>
    </row>
    <row r="28" spans="6:14" s="38" customFormat="1" ht="22.8" x14ac:dyDescent="0.2">
      <c r="F28" s="447"/>
      <c r="G28" s="42" t="str">
        <f>STRAT2_IND3</f>
        <v>Se refuerzan las intervenciones comunitarias en materia de nutrición.</v>
      </c>
      <c r="H28" s="260" t="str">
        <f ca="1">OFFSET(Variables_Lu!$D$10,Basic_Setup!H42,0)</f>
        <v>Nutrition-specific</v>
      </c>
      <c r="I28" s="67">
        <f t="shared" si="4"/>
        <v>0</v>
      </c>
      <c r="J28" s="61"/>
      <c r="K28" s="61"/>
      <c r="L28" s="61"/>
      <c r="M28" s="61"/>
      <c r="N28" s="61"/>
    </row>
    <row r="29" spans="6:14" s="38" customFormat="1" ht="12" x14ac:dyDescent="0.2">
      <c r="F29" s="447"/>
      <c r="G29" s="41" t="str">
        <f>STRAT2_IND4</f>
        <v>Objetivo estratégico 2 Indicador 4</v>
      </c>
      <c r="H29" s="260" t="str">
        <f ca="1">OFFSET(Variables_Lu!$D$10,Basic_Setup!H43,0)</f>
        <v>Nutrition-specific</v>
      </c>
      <c r="I29" s="67">
        <f t="shared" si="4"/>
        <v>0</v>
      </c>
      <c r="J29" s="61"/>
      <c r="K29" s="61"/>
      <c r="L29" s="61"/>
      <c r="M29" s="61"/>
      <c r="N29" s="61"/>
    </row>
    <row r="30" spans="6:14" s="38" customFormat="1" ht="12" x14ac:dyDescent="0.2">
      <c r="F30" s="448"/>
      <c r="G30" s="41" t="str">
        <f>STRAT2_IND5</f>
        <v>Objetivo estratégico 2 Indicador 5</v>
      </c>
      <c r="H30" s="260" t="str">
        <f ca="1">OFFSET(Variables_Lu!$D$10,Basic_Setup!H44,0)</f>
        <v>Nutrition-specific</v>
      </c>
      <c r="I30" s="67">
        <f t="shared" si="4"/>
        <v>0</v>
      </c>
      <c r="J30" s="61"/>
      <c r="K30" s="61"/>
      <c r="L30" s="61"/>
      <c r="M30" s="61"/>
      <c r="N30" s="61"/>
    </row>
    <row r="31" spans="6:14" s="38" customFormat="1" ht="12" x14ac:dyDescent="0.2">
      <c r="H31" s="152" t="s">
        <v>108</v>
      </c>
      <c r="I31" s="250">
        <f t="shared" ref="I31" si="5">SUM(I26:I30)</f>
        <v>0</v>
      </c>
      <c r="J31" s="64">
        <f t="shared" ref="J31:N31" si="6">SUM(J26:J30)</f>
        <v>0</v>
      </c>
      <c r="K31" s="64">
        <f t="shared" si="6"/>
        <v>0</v>
      </c>
      <c r="L31" s="64">
        <f t="shared" si="6"/>
        <v>0</v>
      </c>
      <c r="M31" s="64">
        <f t="shared" si="6"/>
        <v>0</v>
      </c>
      <c r="N31" s="64">
        <f t="shared" si="6"/>
        <v>0</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67">
        <f>SUM(J32:N32)</f>
        <v>0</v>
      </c>
      <c r="J32" s="61"/>
      <c r="K32" s="61"/>
      <c r="L32" s="61"/>
      <c r="M32" s="61"/>
      <c r="N32" s="61"/>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67">
        <f t="shared" ref="I33:I36" si="7">SUM(J33:N33)</f>
        <v>0</v>
      </c>
      <c r="J33" s="61"/>
      <c r="K33" s="61"/>
      <c r="L33" s="61"/>
      <c r="M33" s="61"/>
      <c r="N33" s="61"/>
    </row>
    <row r="34" spans="6:14" s="38" customFormat="1" ht="12" x14ac:dyDescent="0.2">
      <c r="F34" s="447"/>
      <c r="G34" s="42" t="str">
        <f>STRAT3_IND3</f>
        <v>Objetivo estratégico 3 Indicador 3</v>
      </c>
      <c r="H34" s="260" t="str">
        <f ca="1">OFFSET(Variables_Lu!$D$10,Basic_Setup!H48,0)</f>
        <v>Nutrition-specific</v>
      </c>
      <c r="I34" s="67">
        <f t="shared" si="7"/>
        <v>0</v>
      </c>
      <c r="J34" s="61"/>
      <c r="K34" s="61"/>
      <c r="L34" s="61"/>
      <c r="M34" s="61"/>
      <c r="N34" s="61"/>
    </row>
    <row r="35" spans="6:14" s="38" customFormat="1" ht="12" x14ac:dyDescent="0.2">
      <c r="F35" s="447"/>
      <c r="G35" s="41" t="str">
        <f>STRAT3_IND4</f>
        <v>Objetivo estratégico 3 Indicador 4</v>
      </c>
      <c r="H35" s="260" t="str">
        <f ca="1">OFFSET(Variables_Lu!$D$10,Basic_Setup!H49,0)</f>
        <v>Nutrition-specific</v>
      </c>
      <c r="I35" s="67">
        <f t="shared" si="7"/>
        <v>0</v>
      </c>
      <c r="J35" s="61"/>
      <c r="K35" s="61"/>
      <c r="L35" s="61"/>
      <c r="M35" s="61"/>
      <c r="N35" s="61"/>
    </row>
    <row r="36" spans="6:14" s="38" customFormat="1" ht="12" x14ac:dyDescent="0.2">
      <c r="F36" s="448"/>
      <c r="G36" s="41" t="str">
        <f>STRAT3_IND5</f>
        <v>Objetivo estratégico 3 Indicador 5</v>
      </c>
      <c r="H36" s="260" t="str">
        <f ca="1">OFFSET(Variables_Lu!$D$10,Basic_Setup!H50,0)</f>
        <v>Nutrition-specific</v>
      </c>
      <c r="I36" s="67">
        <f t="shared" si="7"/>
        <v>0</v>
      </c>
      <c r="J36" s="61"/>
      <c r="K36" s="61"/>
      <c r="L36" s="61"/>
      <c r="M36" s="61"/>
      <c r="N36" s="61"/>
    </row>
    <row r="37" spans="6:14" ht="12" x14ac:dyDescent="0.2">
      <c r="H37" s="152" t="s">
        <v>109</v>
      </c>
      <c r="I37" s="250">
        <f>SUM(I32:I36)</f>
        <v>0</v>
      </c>
      <c r="J37" s="64">
        <f>SUM(J32:J36)</f>
        <v>0</v>
      </c>
      <c r="K37" s="64">
        <f t="shared" ref="K37:N37" si="8">SUM(K32:K36)</f>
        <v>0</v>
      </c>
      <c r="L37" s="64">
        <f t="shared" si="8"/>
        <v>0</v>
      </c>
      <c r="M37" s="64">
        <f t="shared" si="8"/>
        <v>0</v>
      </c>
      <c r="N37" s="64">
        <f t="shared" si="8"/>
        <v>0</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67">
        <f>SUM(J38:N38)</f>
        <v>0</v>
      </c>
      <c r="J38" s="61"/>
      <c r="K38" s="61"/>
      <c r="L38" s="61"/>
      <c r="M38" s="61"/>
      <c r="N38" s="61"/>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67">
        <f t="shared" ref="I39:I42" si="9">SUM(J39:N39)</f>
        <v>0</v>
      </c>
      <c r="J39" s="61"/>
      <c r="K39" s="61"/>
      <c r="L39" s="61"/>
      <c r="M39" s="61"/>
      <c r="N39" s="61"/>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67">
        <f>SUM(J40:N40)</f>
        <v>0</v>
      </c>
      <c r="J40" s="61"/>
      <c r="K40" s="61"/>
      <c r="L40" s="61"/>
      <c r="M40" s="61"/>
      <c r="N40" s="61"/>
    </row>
    <row r="41" spans="6:14" ht="12" x14ac:dyDescent="0.2">
      <c r="F41" s="447"/>
      <c r="G41" s="41" t="str">
        <f>STRAT4_IND4</f>
        <v>Objetivo estratégico 4 Indicador 4</v>
      </c>
      <c r="H41" s="260" t="str">
        <f ca="1">OFFSET(Variables_Lu!$D$10,Basic_Setup!H55,0)</f>
        <v>Nutrition-specific</v>
      </c>
      <c r="I41" s="67">
        <f>SUM(J41:N41)</f>
        <v>0</v>
      </c>
      <c r="J41" s="61"/>
      <c r="K41" s="61"/>
      <c r="L41" s="61"/>
      <c r="M41" s="61"/>
      <c r="N41" s="61"/>
    </row>
    <row r="42" spans="6:14" ht="12" x14ac:dyDescent="0.2">
      <c r="F42" s="448"/>
      <c r="G42" s="41" t="str">
        <f>STRAT4_IND5</f>
        <v>Objetivo estratégico 4 Indicador 5</v>
      </c>
      <c r="H42" s="260" t="str">
        <f ca="1">OFFSET(Variables_Lu!$D$10,Basic_Setup!H56,0)</f>
        <v>Nutrition-specific</v>
      </c>
      <c r="I42" s="67">
        <f t="shared" si="9"/>
        <v>0</v>
      </c>
      <c r="J42" s="61"/>
      <c r="K42" s="61"/>
      <c r="L42" s="61"/>
      <c r="M42" s="61"/>
      <c r="N42" s="61"/>
    </row>
    <row r="43" spans="6:14" ht="12" x14ac:dyDescent="0.2">
      <c r="H43" s="152" t="s">
        <v>110</v>
      </c>
      <c r="I43" s="250">
        <f>SUM(I38:I42)</f>
        <v>0</v>
      </c>
      <c r="J43" s="64">
        <f>SUM(J38:J42)</f>
        <v>0</v>
      </c>
      <c r="K43" s="64">
        <f t="shared" ref="K43:N43" si="10">SUM(K38:K42)</f>
        <v>0</v>
      </c>
      <c r="L43" s="64">
        <f t="shared" si="10"/>
        <v>0</v>
      </c>
      <c r="M43" s="64">
        <f t="shared" si="10"/>
        <v>0</v>
      </c>
      <c r="N43" s="64">
        <f t="shared" si="10"/>
        <v>0</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67">
        <f>SUM(J44:N44)</f>
        <v>0</v>
      </c>
      <c r="J44" s="61"/>
      <c r="K44" s="61"/>
      <c r="L44" s="61"/>
      <c r="M44" s="61"/>
      <c r="N44" s="61"/>
    </row>
    <row r="45" spans="6:14" ht="22.8" x14ac:dyDescent="0.2">
      <c r="F45" s="447"/>
      <c r="G45" s="42" t="str">
        <f>STRAT5_IND2</f>
        <v>Se promueven dietas saludables y estilos de vida saludables para las personas.</v>
      </c>
      <c r="H45" s="260" t="str">
        <f ca="1">OFFSET(Variables_Lu!$D$10,Basic_Setup!H59,0)</f>
        <v>Nutrition-specific</v>
      </c>
      <c r="I45" s="67">
        <f t="shared" ref="I45:I48" si="11">SUM(J45:N45)</f>
        <v>0</v>
      </c>
      <c r="J45" s="61"/>
      <c r="K45" s="61"/>
      <c r="L45" s="61"/>
      <c r="M45" s="61"/>
      <c r="N45" s="61"/>
    </row>
    <row r="46" spans="6:14" ht="22.8" x14ac:dyDescent="0.2">
      <c r="F46" s="447"/>
      <c r="G46" s="42" t="str">
        <f>STRAT5_IND3</f>
        <v>Se promueven las buenas prácticas WASH a nivel comunitario y doméstico</v>
      </c>
      <c r="H46" s="260" t="str">
        <f ca="1">OFFSET(Variables_Lu!$D$10,Basic_Setup!H60,0)</f>
        <v>Nutrition-sensitive</v>
      </c>
      <c r="I46" s="67">
        <f t="shared" si="11"/>
        <v>0</v>
      </c>
      <c r="J46" s="61"/>
      <c r="K46" s="61"/>
      <c r="L46" s="61"/>
      <c r="M46" s="61"/>
      <c r="N46" s="61"/>
    </row>
    <row r="47" spans="6:14" ht="12" x14ac:dyDescent="0.2">
      <c r="F47" s="447"/>
      <c r="G47" s="41" t="str">
        <f>STRAT5_IND4</f>
        <v>Objetivo estratégico 5 Indicador 4</v>
      </c>
      <c r="H47" s="260" t="str">
        <f ca="1">OFFSET(Variables_Lu!$D$10,Basic_Setup!H61,0)</f>
        <v>Nutrition-specific</v>
      </c>
      <c r="I47" s="67">
        <f t="shared" si="11"/>
        <v>0</v>
      </c>
      <c r="J47" s="61"/>
      <c r="K47" s="61"/>
      <c r="L47" s="61"/>
      <c r="M47" s="61"/>
      <c r="N47" s="61"/>
    </row>
    <row r="48" spans="6:14" ht="12" x14ac:dyDescent="0.2">
      <c r="F48" s="448"/>
      <c r="G48" s="41" t="str">
        <f>STRAT5_IND5</f>
        <v>Objetivo estratégico 5 Indicador 5</v>
      </c>
      <c r="H48" s="260" t="str">
        <f ca="1">OFFSET(Variables_Lu!$D$10,Basic_Setup!H62,0)</f>
        <v>Nutrition-specific</v>
      </c>
      <c r="I48" s="67">
        <f t="shared" si="11"/>
        <v>0</v>
      </c>
      <c r="J48" s="61"/>
      <c r="K48" s="61"/>
      <c r="L48" s="61"/>
      <c r="M48" s="61"/>
      <c r="N48" s="61"/>
    </row>
    <row r="49" spans="6:14" ht="12" x14ac:dyDescent="0.2">
      <c r="H49" s="152" t="s">
        <v>111</v>
      </c>
      <c r="I49" s="250">
        <f>SUM(I44:I48)</f>
        <v>0</v>
      </c>
      <c r="J49" s="64">
        <f>SUM(J44:J48)</f>
        <v>0</v>
      </c>
      <c r="K49" s="64">
        <f t="shared" ref="K49:N49" si="12">SUM(K44:K48)</f>
        <v>0</v>
      </c>
      <c r="L49" s="64">
        <f t="shared" si="12"/>
        <v>0</v>
      </c>
      <c r="M49" s="64">
        <f t="shared" si="12"/>
        <v>0</v>
      </c>
      <c r="N49" s="64">
        <f t="shared" si="12"/>
        <v>0</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67">
        <f>SUM(J50:N50)</f>
        <v>0</v>
      </c>
      <c r="J50" s="61"/>
      <c r="K50" s="61"/>
      <c r="L50" s="61"/>
      <c r="M50" s="61"/>
      <c r="N50" s="61"/>
    </row>
    <row r="51" spans="6:14" ht="12" x14ac:dyDescent="0.2">
      <c r="F51" s="447"/>
      <c r="G51" s="42" t="str">
        <f>STRAT6_IND2</f>
        <v>Objetivo estratégico 6 Indicador 2</v>
      </c>
      <c r="H51" s="260" t="str">
        <f ca="1">OFFSET(Variables_Lu!$D$10,Basic_Setup!H65,0)</f>
        <v>Nutrition-specific</v>
      </c>
      <c r="I51" s="67">
        <f>SUM(J51:N51)</f>
        <v>0</v>
      </c>
      <c r="J51" s="61"/>
      <c r="K51" s="61"/>
      <c r="L51" s="61"/>
      <c r="M51" s="61"/>
      <c r="N51" s="61"/>
    </row>
    <row r="52" spans="6:14" ht="12" x14ac:dyDescent="0.2">
      <c r="F52" s="447"/>
      <c r="G52" s="42" t="str">
        <f>STRAT6_IND3</f>
        <v>Objetivo estratégico 6 Indicador 3</v>
      </c>
      <c r="H52" s="260" t="str">
        <f ca="1">OFFSET(Variables_Lu!$D$10,Basic_Setup!H66,0)</f>
        <v>Nutrition-specific</v>
      </c>
      <c r="I52" s="67">
        <f>SUM(J52:N52)</f>
        <v>0</v>
      </c>
      <c r="J52" s="61"/>
      <c r="K52" s="61"/>
      <c r="L52" s="61"/>
      <c r="M52" s="61"/>
      <c r="N52" s="61"/>
    </row>
    <row r="53" spans="6:14" ht="12" x14ac:dyDescent="0.2">
      <c r="F53" s="447"/>
      <c r="G53" s="41" t="str">
        <f>STRAT6_IND4</f>
        <v>Objetivo estratégico 6 Indicador 4</v>
      </c>
      <c r="H53" s="260" t="str">
        <f ca="1">OFFSET(Variables_Lu!$D$10,Basic_Setup!H67,0)</f>
        <v>Nutrition-specific</v>
      </c>
      <c r="I53" s="67">
        <f>SUM(J53:N53)</f>
        <v>0</v>
      </c>
      <c r="J53" s="61"/>
      <c r="K53" s="61"/>
      <c r="L53" s="61"/>
      <c r="M53" s="61"/>
      <c r="N53" s="61"/>
    </row>
    <row r="54" spans="6:14" ht="12" x14ac:dyDescent="0.2">
      <c r="F54" s="448"/>
      <c r="G54" s="41" t="str">
        <f>STRAT6_IND5</f>
        <v>Objetivo estratégico 6 Indicador 5</v>
      </c>
      <c r="H54" s="260" t="str">
        <f ca="1">OFFSET(Variables_Lu!$D$10,Basic_Setup!H68,0)</f>
        <v>Nutrition-specific</v>
      </c>
      <c r="I54" s="67">
        <f>SUM(J54:N54)</f>
        <v>0</v>
      </c>
      <c r="J54" s="61"/>
      <c r="K54" s="61"/>
      <c r="L54" s="61"/>
      <c r="M54" s="61"/>
      <c r="N54" s="61"/>
    </row>
    <row r="55" spans="6:14" ht="12" x14ac:dyDescent="0.2">
      <c r="H55" s="152" t="s">
        <v>159</v>
      </c>
      <c r="I55" s="250">
        <f t="shared" ref="I55" si="13">SUM(I50:I54)</f>
        <v>0</v>
      </c>
      <c r="J55" s="64">
        <f t="shared" ref="J55:N55" si="14">SUM(J50:J54)</f>
        <v>0</v>
      </c>
      <c r="K55" s="64">
        <f t="shared" si="14"/>
        <v>0</v>
      </c>
      <c r="L55" s="64">
        <f t="shared" si="14"/>
        <v>0</v>
      </c>
      <c r="M55" s="64">
        <f t="shared" si="14"/>
        <v>0</v>
      </c>
      <c r="N55" s="64">
        <f t="shared" si="14"/>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67">
        <f>SUM(J56:N56)</f>
        <v>0</v>
      </c>
      <c r="J56" s="61"/>
      <c r="K56" s="61"/>
      <c r="L56" s="61"/>
      <c r="M56" s="61"/>
      <c r="N56" s="61"/>
    </row>
    <row r="57" spans="6:14" ht="12" x14ac:dyDescent="0.2">
      <c r="F57" s="447"/>
      <c r="G57" s="42" t="str">
        <f>STRAT7_IND2</f>
        <v>Objetivo estratégico 7 Indicador 2</v>
      </c>
      <c r="H57" s="260" t="str">
        <f ca="1">OFFSET(Variables_Lu!$D$10,Basic_Setup!H71,0)</f>
        <v>Nutrition-specific</v>
      </c>
      <c r="I57" s="67">
        <f>SUM(J57:N57)</f>
        <v>0</v>
      </c>
      <c r="J57" s="61"/>
      <c r="K57" s="61"/>
      <c r="L57" s="61"/>
      <c r="M57" s="61"/>
      <c r="N57" s="61"/>
    </row>
    <row r="58" spans="6:14" ht="12" x14ac:dyDescent="0.2">
      <c r="F58" s="447"/>
      <c r="G58" s="42" t="str">
        <f>STRAT7_IND3</f>
        <v>Objetivo estratégico 7 Indicador 3</v>
      </c>
      <c r="H58" s="260" t="str">
        <f ca="1">OFFSET(Variables_Lu!$D$10,Basic_Setup!H72,0)</f>
        <v>Nutrition-specific</v>
      </c>
      <c r="I58" s="67">
        <f>SUM(J58:N58)</f>
        <v>0</v>
      </c>
      <c r="J58" s="61"/>
      <c r="K58" s="61"/>
      <c r="L58" s="61"/>
      <c r="M58" s="61"/>
      <c r="N58" s="61"/>
    </row>
    <row r="59" spans="6:14" ht="12" x14ac:dyDescent="0.2">
      <c r="F59" s="447"/>
      <c r="G59" s="41" t="str">
        <f>STRAT7_IND4</f>
        <v>Objetivo estratégico 7 Indicador 4</v>
      </c>
      <c r="H59" s="260" t="str">
        <f ca="1">OFFSET(Variables_Lu!$D$10,Basic_Setup!H73,0)</f>
        <v>Nutrition-specific</v>
      </c>
      <c r="I59" s="67">
        <f>SUM(J59:N59)</f>
        <v>0</v>
      </c>
      <c r="J59" s="61"/>
      <c r="K59" s="61"/>
      <c r="L59" s="61"/>
      <c r="M59" s="61"/>
      <c r="N59" s="61"/>
    </row>
    <row r="60" spans="6:14" ht="12" x14ac:dyDescent="0.2">
      <c r="F60" s="448"/>
      <c r="G60" s="41" t="str">
        <f>STRAT7_IND5</f>
        <v>Objetivo estratégico 7 Indicador 5</v>
      </c>
      <c r="H60" s="260" t="str">
        <f ca="1">OFFSET(Variables_Lu!$D$10,Basic_Setup!H74,0)</f>
        <v>Nutrition-specific</v>
      </c>
      <c r="I60" s="67">
        <f>SUM(J60:N60)</f>
        <v>0</v>
      </c>
      <c r="J60" s="61"/>
      <c r="K60" s="61"/>
      <c r="L60" s="61"/>
      <c r="M60" s="61"/>
      <c r="N60" s="61"/>
    </row>
    <row r="61" spans="6:14" ht="12" x14ac:dyDescent="0.2">
      <c r="H61" s="152" t="s">
        <v>160</v>
      </c>
      <c r="I61" s="250">
        <f t="shared" ref="I61" si="15">SUM(I56:I60)</f>
        <v>0</v>
      </c>
      <c r="J61" s="64">
        <f t="shared" ref="J61:N61" si="16">SUM(J56:J60)</f>
        <v>0</v>
      </c>
      <c r="K61" s="64">
        <f t="shared" si="16"/>
        <v>0</v>
      </c>
      <c r="L61" s="64">
        <f t="shared" si="16"/>
        <v>0</v>
      </c>
      <c r="M61" s="64">
        <f t="shared" si="16"/>
        <v>0</v>
      </c>
      <c r="N61" s="64">
        <f t="shared" si="16"/>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67">
        <f>SUM(J62:N62)</f>
        <v>0</v>
      </c>
      <c r="J62" s="61"/>
      <c r="K62" s="61"/>
      <c r="L62" s="61"/>
      <c r="M62" s="61"/>
      <c r="N62" s="61"/>
    </row>
    <row r="63" spans="6:14" ht="12" x14ac:dyDescent="0.2">
      <c r="F63" s="447"/>
      <c r="G63" s="42" t="str">
        <f>STRAT8_IND2</f>
        <v>Objetivo estratégico 8 Indicador 2</v>
      </c>
      <c r="H63" s="260" t="str">
        <f ca="1">OFFSET(Variables_Lu!$D$10,Basic_Setup!H77,0)</f>
        <v>Nutrition-specific</v>
      </c>
      <c r="I63" s="67">
        <f>SUM(J63:N63)</f>
        <v>0</v>
      </c>
      <c r="J63" s="61"/>
      <c r="K63" s="61"/>
      <c r="L63" s="61"/>
      <c r="M63" s="61"/>
      <c r="N63" s="61"/>
    </row>
    <row r="64" spans="6:14" ht="12" x14ac:dyDescent="0.2">
      <c r="F64" s="447"/>
      <c r="G64" s="42" t="str">
        <f>STRAT8_IND3</f>
        <v>Objetivo estratégico 8 Indicador 3</v>
      </c>
      <c r="H64" s="260" t="str">
        <f ca="1">OFFSET(Variables_Lu!$D$10,Basic_Setup!H78,0)</f>
        <v>Nutrition-specific</v>
      </c>
      <c r="I64" s="67">
        <f>SUM(J64:N64)</f>
        <v>0</v>
      </c>
      <c r="J64" s="61"/>
      <c r="K64" s="61"/>
      <c r="L64" s="61"/>
      <c r="M64" s="61"/>
      <c r="N64" s="61"/>
    </row>
    <row r="65" spans="6:14" ht="12" x14ac:dyDescent="0.2">
      <c r="F65" s="447"/>
      <c r="G65" s="41" t="str">
        <f>STRAT8_IND4</f>
        <v>Objetivo estratégico 8 Indicador 4</v>
      </c>
      <c r="H65" s="260" t="str">
        <f ca="1">OFFSET(Variables_Lu!$D$10,Basic_Setup!H79,0)</f>
        <v>Nutrition-specific</v>
      </c>
      <c r="I65" s="67">
        <f>SUM(J65:N65)</f>
        <v>0</v>
      </c>
      <c r="J65" s="61"/>
      <c r="K65" s="61"/>
      <c r="L65" s="61"/>
      <c r="M65" s="61"/>
      <c r="N65" s="61"/>
    </row>
    <row r="66" spans="6:14" ht="12" x14ac:dyDescent="0.2">
      <c r="F66" s="448"/>
      <c r="G66" s="41" t="str">
        <f>STRAT8_IND5</f>
        <v>Objetivo estratégico 8 Indicador 5</v>
      </c>
      <c r="H66" s="260" t="str">
        <f ca="1">OFFSET(Variables_Lu!$D$10,Basic_Setup!H80,0)</f>
        <v>Nutrition-specific</v>
      </c>
      <c r="I66" s="67">
        <f>SUM(J66:N66)</f>
        <v>0</v>
      </c>
      <c r="J66" s="61"/>
      <c r="K66" s="61"/>
      <c r="L66" s="61"/>
      <c r="M66" s="61"/>
      <c r="N66" s="61"/>
    </row>
    <row r="67" spans="6:14" ht="12" x14ac:dyDescent="0.2">
      <c r="H67" s="152" t="s">
        <v>161</v>
      </c>
      <c r="I67" s="250">
        <f t="shared" ref="I67" si="17">SUM(I62:I66)</f>
        <v>0</v>
      </c>
      <c r="J67" s="64">
        <f t="shared" ref="J67:N67" si="18">SUM(J62:J66)</f>
        <v>0</v>
      </c>
      <c r="K67" s="64">
        <f t="shared" si="18"/>
        <v>0</v>
      </c>
      <c r="L67" s="64">
        <f t="shared" si="18"/>
        <v>0</v>
      </c>
      <c r="M67" s="64">
        <f t="shared" si="18"/>
        <v>0</v>
      </c>
      <c r="N67" s="64">
        <f t="shared" si="18"/>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67">
        <f>SUM(J68:N68)</f>
        <v>0</v>
      </c>
      <c r="J68" s="61"/>
      <c r="K68" s="61"/>
      <c r="L68" s="61"/>
      <c r="M68" s="61"/>
      <c r="N68" s="61"/>
    </row>
    <row r="69" spans="6:14" ht="12" x14ac:dyDescent="0.2">
      <c r="F69" s="447"/>
      <c r="G69" s="42" t="str">
        <f>STRAT9_IND2</f>
        <v>Objetivo estratégico 9 Indicador 2</v>
      </c>
      <c r="H69" s="260" t="str">
        <f ca="1">OFFSET(Variables_Lu!$D$10,Basic_Setup!H83,0)</f>
        <v>Nutrition-specific</v>
      </c>
      <c r="I69" s="67">
        <f>SUM(J69:N69)</f>
        <v>0</v>
      </c>
      <c r="J69" s="61"/>
      <c r="K69" s="61"/>
      <c r="L69" s="61"/>
      <c r="M69" s="61"/>
      <c r="N69" s="61"/>
    </row>
    <row r="70" spans="6:14" ht="12" x14ac:dyDescent="0.2">
      <c r="F70" s="447"/>
      <c r="G70" s="42" t="str">
        <f>STRAT9_IND3</f>
        <v>Objetivo estratégico 9 Indicador 3</v>
      </c>
      <c r="H70" s="260" t="str">
        <f ca="1">OFFSET(Variables_Lu!$D$10,Basic_Setup!H84,0)</f>
        <v>Nutrition-specific</v>
      </c>
      <c r="I70" s="67">
        <f>SUM(J70:N70)</f>
        <v>0</v>
      </c>
      <c r="J70" s="61"/>
      <c r="K70" s="61"/>
      <c r="L70" s="61"/>
      <c r="M70" s="61"/>
      <c r="N70" s="61"/>
    </row>
    <row r="71" spans="6:14" ht="12" x14ac:dyDescent="0.2">
      <c r="F71" s="447"/>
      <c r="G71" s="41" t="str">
        <f>STRAT9_IND4</f>
        <v>Objetivo estratégico 9 Indicador 4</v>
      </c>
      <c r="H71" s="260" t="str">
        <f ca="1">OFFSET(Variables_Lu!$D$10,Basic_Setup!H85,0)</f>
        <v>Nutrition-specific</v>
      </c>
      <c r="I71" s="67">
        <f>SUM(J71:N71)</f>
        <v>0</v>
      </c>
      <c r="J71" s="61"/>
      <c r="K71" s="61"/>
      <c r="L71" s="61"/>
      <c r="M71" s="61"/>
      <c r="N71" s="61"/>
    </row>
    <row r="72" spans="6:14" ht="12" x14ac:dyDescent="0.2">
      <c r="F72" s="448"/>
      <c r="G72" s="41" t="str">
        <f>STRAT9_IND5</f>
        <v>Objetivo estratégico 9 Indicador 5</v>
      </c>
      <c r="H72" s="260" t="str">
        <f ca="1">OFFSET(Variables_Lu!$D$10,Basic_Setup!H86,0)</f>
        <v>Nutrition-specific</v>
      </c>
      <c r="I72" s="67">
        <f>SUM(J72:N72)</f>
        <v>0</v>
      </c>
      <c r="J72" s="61"/>
      <c r="K72" s="61"/>
      <c r="L72" s="61"/>
      <c r="M72" s="61"/>
      <c r="N72" s="61"/>
    </row>
    <row r="73" spans="6:14" ht="12" x14ac:dyDescent="0.2">
      <c r="H73" s="152" t="s">
        <v>162</v>
      </c>
      <c r="I73" s="250">
        <f t="shared" ref="I73" si="19">SUM(I68:I72)</f>
        <v>0</v>
      </c>
      <c r="J73" s="64">
        <f t="shared" ref="J73:N73" si="20">SUM(J68:J72)</f>
        <v>0</v>
      </c>
      <c r="K73" s="64">
        <f t="shared" si="20"/>
        <v>0</v>
      </c>
      <c r="L73" s="64">
        <f t="shared" si="20"/>
        <v>0</v>
      </c>
      <c r="M73" s="64">
        <f t="shared" si="20"/>
        <v>0</v>
      </c>
      <c r="N73" s="64">
        <f t="shared" si="20"/>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67">
        <f>SUM(J74:N74)</f>
        <v>0</v>
      </c>
      <c r="J74" s="61"/>
      <c r="K74" s="61"/>
      <c r="L74" s="61"/>
      <c r="M74" s="61"/>
      <c r="N74" s="61"/>
    </row>
    <row r="75" spans="6:14" ht="12" x14ac:dyDescent="0.2">
      <c r="F75" s="447"/>
      <c r="G75" s="42" t="str">
        <f>STRAT10_IND2</f>
        <v>Objetivo estratégico 10 Indicador 2</v>
      </c>
      <c r="H75" s="260" t="str">
        <f ca="1">OFFSET(Variables_Lu!$D$10,Basic_Setup!H89,0)</f>
        <v>Nutrition-specific</v>
      </c>
      <c r="I75" s="67">
        <f>SUM(J75:N75)</f>
        <v>0</v>
      </c>
      <c r="J75" s="61"/>
      <c r="K75" s="61"/>
      <c r="L75" s="61"/>
      <c r="M75" s="61"/>
      <c r="N75" s="61"/>
    </row>
    <row r="76" spans="6:14" ht="12" x14ac:dyDescent="0.2">
      <c r="F76" s="447"/>
      <c r="G76" s="42" t="str">
        <f>STRAT10_IND3</f>
        <v>Objetivo estratégico 10 Indicador 3</v>
      </c>
      <c r="H76" s="260" t="str">
        <f ca="1">OFFSET(Variables_Lu!$D$10,Basic_Setup!H90,0)</f>
        <v>Nutrition-specific</v>
      </c>
      <c r="I76" s="67">
        <f>SUM(J76:N76)</f>
        <v>0</v>
      </c>
      <c r="J76" s="61"/>
      <c r="K76" s="61"/>
      <c r="L76" s="61"/>
      <c r="M76" s="61"/>
      <c r="N76" s="61"/>
    </row>
    <row r="77" spans="6:14" ht="11.25" customHeight="1" x14ac:dyDescent="0.2">
      <c r="F77" s="447"/>
      <c r="G77" s="41" t="str">
        <f>STRAT10_IND4</f>
        <v>Objetivo estratégico 10 Indicador 4</v>
      </c>
      <c r="H77" s="260" t="str">
        <f ca="1">OFFSET(Variables_Lu!$D$10,Basic_Setup!H91,0)</f>
        <v>Nutrition-specific</v>
      </c>
      <c r="I77" s="67">
        <f>SUM(J77:N77)</f>
        <v>0</v>
      </c>
      <c r="J77" s="61"/>
      <c r="K77" s="61"/>
      <c r="L77" s="61"/>
      <c r="M77" s="61"/>
      <c r="N77" s="61"/>
    </row>
    <row r="78" spans="6:14" ht="11.25" customHeight="1" x14ac:dyDescent="0.2">
      <c r="F78" s="448"/>
      <c r="G78" s="41" t="str">
        <f>STRAT10_IND5</f>
        <v>Objetivo estratégico 10 Indicador 5</v>
      </c>
      <c r="H78" s="260" t="str">
        <f ca="1">OFFSET(Variables_Lu!$D$10,Basic_Setup!H92,0)</f>
        <v>Nutrition-specific</v>
      </c>
      <c r="I78" s="67">
        <f>SUM(J78:N78)</f>
        <v>0</v>
      </c>
      <c r="J78" s="61"/>
      <c r="K78" s="61"/>
      <c r="L78" s="61"/>
      <c r="M78" s="61"/>
      <c r="N78" s="61"/>
    </row>
    <row r="79" spans="6:14" ht="11.25" customHeight="1" x14ac:dyDescent="0.2">
      <c r="H79" s="152" t="s">
        <v>163</v>
      </c>
      <c r="I79" s="250">
        <f t="shared" ref="I79" si="21">SUM(I74:I78)</f>
        <v>0</v>
      </c>
      <c r="J79" s="64">
        <f t="shared" ref="J79:N79" si="22">SUM(J74:J78)</f>
        <v>0</v>
      </c>
      <c r="K79" s="64">
        <f t="shared" si="22"/>
        <v>0</v>
      </c>
      <c r="L79" s="64">
        <f t="shared" si="22"/>
        <v>0</v>
      </c>
      <c r="M79" s="64">
        <f t="shared" si="22"/>
        <v>0</v>
      </c>
      <c r="N79" s="64">
        <f t="shared" si="22"/>
        <v>0</v>
      </c>
    </row>
    <row r="80" spans="6:14" ht="11.25" customHeight="1" x14ac:dyDescent="0.2"/>
    <row r="81" spans="6:14" ht="12.6" thickBot="1" x14ac:dyDescent="0.25">
      <c r="H81" s="149" t="str">
        <f>"TOTAL - "&amp;$F$12</f>
        <v>TOTAL - [No está en uso]</v>
      </c>
      <c r="I81" s="65">
        <f t="shared" ref="I81:N81" si="23">SUM(I25,I31,I37,I43,I49,I55,I61,I67,I73,I79)</f>
        <v>0</v>
      </c>
      <c r="J81" s="65">
        <f t="shared" si="23"/>
        <v>0</v>
      </c>
      <c r="K81" s="65">
        <f t="shared" si="23"/>
        <v>0</v>
      </c>
      <c r="L81" s="65">
        <f t="shared" si="23"/>
        <v>0</v>
      </c>
      <c r="M81" s="65">
        <f t="shared" si="23"/>
        <v>0</v>
      </c>
      <c r="N81" s="65">
        <f t="shared" si="23"/>
        <v>0</v>
      </c>
    </row>
    <row r="82" spans="6:14" ht="12" x14ac:dyDescent="0.2">
      <c r="I82" s="149"/>
    </row>
    <row r="83" spans="6:14" ht="12" x14ac:dyDescent="0.2">
      <c r="F83" s="44" t="s">
        <v>171</v>
      </c>
    </row>
    <row r="84" spans="6:14" x14ac:dyDescent="0.2">
      <c r="F84" s="49" t="s">
        <v>174</v>
      </c>
    </row>
    <row r="85" spans="6:14" x14ac:dyDescent="0.2">
      <c r="F85" s="49" t="s">
        <v>175</v>
      </c>
    </row>
    <row r="86" spans="6:14" x14ac:dyDescent="0.2">
      <c r="F86" s="49"/>
    </row>
    <row r="87" spans="6:14" x14ac:dyDescent="0.2">
      <c r="F87" s="49"/>
    </row>
    <row r="90" spans="6:14" ht="12.6" thickBot="1" x14ac:dyDescent="0.25">
      <c r="F90" s="1" t="s">
        <v>411</v>
      </c>
      <c r="G90" s="1" t="s">
        <v>412</v>
      </c>
      <c r="H90" s="406" t="s">
        <v>472</v>
      </c>
      <c r="I90" s="409" t="s">
        <v>106</v>
      </c>
      <c r="J90" s="54" t="str">
        <f>CURR_LCU_ABBR</f>
        <v>GOZ</v>
      </c>
      <c r="K90" s="54" t="str">
        <f>CURR_LCU_ABBR</f>
        <v>GOZ</v>
      </c>
      <c r="L90" s="54" t="str">
        <f>CURR_LCU_ABBR</f>
        <v>GOZ</v>
      </c>
      <c r="M90" s="54" t="str">
        <f>CURR_LCU_ABBR</f>
        <v>GOZ</v>
      </c>
      <c r="N90" s="54" t="str">
        <f>CURR_LCU_ABBR</f>
        <v>GOZ</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248">
        <f t="shared" ref="I91:N101" si="24">I20*EXCHANGE_RATE</f>
        <v>0</v>
      </c>
      <c r="J91" s="220">
        <f t="shared" si="24"/>
        <v>0</v>
      </c>
      <c r="K91" s="220">
        <f t="shared" si="24"/>
        <v>0</v>
      </c>
      <c r="L91" s="220">
        <f t="shared" si="24"/>
        <v>0</v>
      </c>
      <c r="M91" s="220">
        <f t="shared" si="24"/>
        <v>0</v>
      </c>
      <c r="N91" s="220">
        <f t="shared" si="24"/>
        <v>0</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248">
        <f t="shared" si="24"/>
        <v>0</v>
      </c>
      <c r="J92" s="220">
        <f t="shared" si="24"/>
        <v>0</v>
      </c>
      <c r="K92" s="220">
        <f t="shared" si="24"/>
        <v>0</v>
      </c>
      <c r="L92" s="220">
        <f t="shared" si="24"/>
        <v>0</v>
      </c>
      <c r="M92" s="220">
        <f t="shared" si="24"/>
        <v>0</v>
      </c>
      <c r="N92" s="220">
        <f t="shared" si="24"/>
        <v>0</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248">
        <f t="shared" si="24"/>
        <v>0</v>
      </c>
      <c r="J93" s="220">
        <f t="shared" si="24"/>
        <v>0</v>
      </c>
      <c r="K93" s="220">
        <f t="shared" si="24"/>
        <v>0</v>
      </c>
      <c r="L93" s="220">
        <f t="shared" si="24"/>
        <v>0</v>
      </c>
      <c r="M93" s="220">
        <f t="shared" si="24"/>
        <v>0</v>
      </c>
      <c r="N93" s="220">
        <f t="shared" si="24"/>
        <v>0</v>
      </c>
    </row>
    <row r="94" spans="6:14" ht="22.8" x14ac:dyDescent="0.2">
      <c r="F94" s="444"/>
      <c r="G94" s="41" t="str">
        <f>STRAT1_IND4</f>
        <v>El marco legislativo y reglamentario de la nutrición se ha fortalecido y está en funcionamiento.</v>
      </c>
      <c r="H94" s="268" t="str">
        <f ca="1">OFFSET(Variables_Lu!$D$10,Basic_Setup!H37,0)</f>
        <v>Governance</v>
      </c>
      <c r="I94" s="248">
        <f t="shared" si="24"/>
        <v>0</v>
      </c>
      <c r="J94" s="220">
        <f t="shared" si="24"/>
        <v>0</v>
      </c>
      <c r="K94" s="220">
        <f t="shared" si="24"/>
        <v>0</v>
      </c>
      <c r="L94" s="220">
        <f t="shared" si="24"/>
        <v>0</v>
      </c>
      <c r="M94" s="220">
        <f t="shared" si="24"/>
        <v>0</v>
      </c>
      <c r="N94" s="220">
        <f t="shared" si="24"/>
        <v>0</v>
      </c>
    </row>
    <row r="95" spans="6:14" ht="12.6" thickBot="1" x14ac:dyDescent="0.25">
      <c r="F95" s="445"/>
      <c r="G95" s="275" t="str">
        <f>STRAT1_IND5</f>
        <v>Objetivo estratégico 1 Indicador 5</v>
      </c>
      <c r="H95" s="270" t="str">
        <f ca="1">OFFSET(Variables_Lu!$D$10,Basic_Setup!H38,0)</f>
        <v>Governance</v>
      </c>
      <c r="I95" s="248">
        <f t="shared" si="24"/>
        <v>0</v>
      </c>
      <c r="J95" s="232">
        <f t="shared" si="24"/>
        <v>0</v>
      </c>
      <c r="K95" s="232">
        <f t="shared" si="24"/>
        <v>0</v>
      </c>
      <c r="L95" s="232">
        <f t="shared" si="24"/>
        <v>0</v>
      </c>
      <c r="M95" s="232">
        <f t="shared" si="24"/>
        <v>0</v>
      </c>
      <c r="N95" s="232">
        <f t="shared" si="24"/>
        <v>0</v>
      </c>
    </row>
    <row r="96" spans="6:14" ht="12.6" thickBot="1" x14ac:dyDescent="0.25">
      <c r="F96" s="38"/>
      <c r="G96" s="38"/>
      <c r="H96" s="152" t="s">
        <v>107</v>
      </c>
      <c r="I96" s="249">
        <f t="shared" si="24"/>
        <v>0</v>
      </c>
      <c r="J96" s="221">
        <f t="shared" si="24"/>
        <v>0</v>
      </c>
      <c r="K96" s="221">
        <f t="shared" si="24"/>
        <v>0</v>
      </c>
      <c r="L96" s="221">
        <f t="shared" si="24"/>
        <v>0</v>
      </c>
      <c r="M96" s="221">
        <f t="shared" si="24"/>
        <v>0</v>
      </c>
      <c r="N96" s="221">
        <f t="shared" si="24"/>
        <v>0</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248">
        <f t="shared" si="24"/>
        <v>0</v>
      </c>
      <c r="J97" s="220">
        <f t="shared" si="24"/>
        <v>0</v>
      </c>
      <c r="K97" s="220">
        <f t="shared" si="24"/>
        <v>0</v>
      </c>
      <c r="L97" s="220">
        <f t="shared" si="24"/>
        <v>0</v>
      </c>
      <c r="M97" s="220">
        <f t="shared" si="24"/>
        <v>0</v>
      </c>
      <c r="N97" s="220">
        <f t="shared" si="24"/>
        <v>0</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248">
        <f t="shared" si="24"/>
        <v>0</v>
      </c>
      <c r="J98" s="220">
        <f t="shared" si="24"/>
        <v>0</v>
      </c>
      <c r="K98" s="220">
        <f t="shared" si="24"/>
        <v>0</v>
      </c>
      <c r="L98" s="220">
        <f t="shared" si="24"/>
        <v>0</v>
      </c>
      <c r="M98" s="220">
        <f t="shared" si="24"/>
        <v>0</v>
      </c>
      <c r="N98" s="220">
        <f t="shared" si="24"/>
        <v>0</v>
      </c>
    </row>
    <row r="99" spans="6:14" ht="22.8" x14ac:dyDescent="0.2">
      <c r="F99" s="444"/>
      <c r="G99" s="42" t="str">
        <f>STRAT2_IND3</f>
        <v>Se refuerzan las intervenciones comunitarias en materia de nutrición.</v>
      </c>
      <c r="H99" s="268" t="str">
        <f ca="1">OFFSET(Variables_Lu!$D$10,Basic_Setup!H42,0)</f>
        <v>Nutrition-specific</v>
      </c>
      <c r="I99" s="248">
        <f t="shared" si="24"/>
        <v>0</v>
      </c>
      <c r="J99" s="220">
        <f t="shared" si="24"/>
        <v>0</v>
      </c>
      <c r="K99" s="220">
        <f t="shared" si="24"/>
        <v>0</v>
      </c>
      <c r="L99" s="220">
        <f t="shared" si="24"/>
        <v>0</v>
      </c>
      <c r="M99" s="220">
        <f t="shared" si="24"/>
        <v>0</v>
      </c>
      <c r="N99" s="220">
        <f t="shared" si="24"/>
        <v>0</v>
      </c>
    </row>
    <row r="100" spans="6:14" ht="12" x14ac:dyDescent="0.2">
      <c r="F100" s="444"/>
      <c r="G100" s="41" t="str">
        <f>STRAT2_IND4</f>
        <v>Objetivo estratégico 2 Indicador 4</v>
      </c>
      <c r="H100" s="268" t="str">
        <f ca="1">OFFSET(Variables_Lu!$D$10,Basic_Setup!H43,0)</f>
        <v>Nutrition-specific</v>
      </c>
      <c r="I100" s="248">
        <f t="shared" si="24"/>
        <v>0</v>
      </c>
      <c r="J100" s="220">
        <f t="shared" si="24"/>
        <v>0</v>
      </c>
      <c r="K100" s="220">
        <f t="shared" si="24"/>
        <v>0</v>
      </c>
      <c r="L100" s="220">
        <f t="shared" si="24"/>
        <v>0</v>
      </c>
      <c r="M100" s="220">
        <f t="shared" si="24"/>
        <v>0</v>
      </c>
      <c r="N100" s="220">
        <f t="shared" si="24"/>
        <v>0</v>
      </c>
    </row>
    <row r="101" spans="6:14" ht="12.6" thickBot="1" x14ac:dyDescent="0.25">
      <c r="F101" s="445"/>
      <c r="G101" s="275" t="str">
        <f>STRAT2_IND5</f>
        <v>Objetivo estratégico 2 Indicador 5</v>
      </c>
      <c r="H101" s="270" t="str">
        <f ca="1">OFFSET(Variables_Lu!$D$10,Basic_Setup!H44,0)</f>
        <v>Nutrition-specific</v>
      </c>
      <c r="I101" s="248">
        <f t="shared" si="24"/>
        <v>0</v>
      </c>
      <c r="J101" s="232">
        <f t="shared" si="24"/>
        <v>0</v>
      </c>
      <c r="K101" s="232">
        <f t="shared" si="24"/>
        <v>0</v>
      </c>
      <c r="L101" s="232">
        <f t="shared" si="24"/>
        <v>0</v>
      </c>
      <c r="M101" s="232">
        <f t="shared" si="24"/>
        <v>0</v>
      </c>
      <c r="N101" s="232">
        <f t="shared" si="24"/>
        <v>0</v>
      </c>
    </row>
    <row r="102" spans="6:14" ht="12.6" thickBot="1" x14ac:dyDescent="0.25">
      <c r="F102" s="38"/>
      <c r="G102" s="38"/>
      <c r="H102" s="152" t="s">
        <v>108</v>
      </c>
      <c r="I102" s="249">
        <f t="shared" ref="I102:I133" si="25">I31*EXCHANGE_RATE</f>
        <v>0</v>
      </c>
      <c r="J102" s="247">
        <f>SUM(J97:J101)</f>
        <v>0</v>
      </c>
      <c r="K102" s="247">
        <f>SUM(K97:K101)</f>
        <v>0</v>
      </c>
      <c r="L102" s="247">
        <f>SUM(L97:L101)</f>
        <v>0</v>
      </c>
      <c r="M102" s="247">
        <f>SUM(M97:M101)</f>
        <v>0</v>
      </c>
      <c r="N102" s="247">
        <f>SUM(N97:N101)</f>
        <v>0</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248">
        <f t="shared" si="25"/>
        <v>0</v>
      </c>
      <c r="J103" s="220">
        <f t="shared" ref="J103:N107" si="26">J32*EXCHANGE_RATE</f>
        <v>0</v>
      </c>
      <c r="K103" s="220">
        <f t="shared" si="26"/>
        <v>0</v>
      </c>
      <c r="L103" s="220">
        <f t="shared" si="26"/>
        <v>0</v>
      </c>
      <c r="M103" s="220">
        <f t="shared" si="26"/>
        <v>0</v>
      </c>
      <c r="N103" s="220">
        <f t="shared" si="26"/>
        <v>0</v>
      </c>
    </row>
    <row r="104" spans="6:14" ht="22.8" x14ac:dyDescent="0.2">
      <c r="F104" s="444"/>
      <c r="G104" s="42" t="str">
        <f>STRAT3_IND2</f>
        <v xml:space="preserve"> La seguridad alimentaria está garantizada para toda la nación.</v>
      </c>
      <c r="H104" s="268" t="str">
        <f ca="1">OFFSET(Variables_Lu!$D$10,Basic_Setup!H47,0)</f>
        <v>Nutrition-sensitive</v>
      </c>
      <c r="I104" s="248">
        <f t="shared" si="25"/>
        <v>0</v>
      </c>
      <c r="J104" s="220">
        <f t="shared" si="26"/>
        <v>0</v>
      </c>
      <c r="K104" s="220">
        <f t="shared" si="26"/>
        <v>0</v>
      </c>
      <c r="L104" s="220">
        <f t="shared" si="26"/>
        <v>0</v>
      </c>
      <c r="M104" s="220">
        <f t="shared" si="26"/>
        <v>0</v>
      </c>
      <c r="N104" s="220">
        <f t="shared" si="26"/>
        <v>0</v>
      </c>
    </row>
    <row r="105" spans="6:14" ht="12" x14ac:dyDescent="0.2">
      <c r="F105" s="444"/>
      <c r="G105" s="42" t="str">
        <f>STRAT3_IND3</f>
        <v>Objetivo estratégico 3 Indicador 3</v>
      </c>
      <c r="H105" s="268" t="str">
        <f ca="1">OFFSET(Variables_Lu!$D$10,Basic_Setup!H48,0)</f>
        <v>Nutrition-specific</v>
      </c>
      <c r="I105" s="248">
        <f t="shared" si="25"/>
        <v>0</v>
      </c>
      <c r="J105" s="220">
        <f t="shared" si="26"/>
        <v>0</v>
      </c>
      <c r="K105" s="220">
        <f t="shared" si="26"/>
        <v>0</v>
      </c>
      <c r="L105" s="220">
        <f t="shared" si="26"/>
        <v>0</v>
      </c>
      <c r="M105" s="220">
        <f t="shared" si="26"/>
        <v>0</v>
      </c>
      <c r="N105" s="220">
        <f t="shared" si="26"/>
        <v>0</v>
      </c>
    </row>
    <row r="106" spans="6:14" ht="12" x14ac:dyDescent="0.2">
      <c r="F106" s="444"/>
      <c r="G106" s="41" t="str">
        <f>STRAT3_IND4</f>
        <v>Objetivo estratégico 3 Indicador 4</v>
      </c>
      <c r="H106" s="268" t="str">
        <f ca="1">OFFSET(Variables_Lu!$D$10,Basic_Setup!H49,0)</f>
        <v>Nutrition-specific</v>
      </c>
      <c r="I106" s="248">
        <f t="shared" si="25"/>
        <v>0</v>
      </c>
      <c r="J106" s="220">
        <f t="shared" si="26"/>
        <v>0</v>
      </c>
      <c r="K106" s="220">
        <f t="shared" si="26"/>
        <v>0</v>
      </c>
      <c r="L106" s="220">
        <f t="shared" si="26"/>
        <v>0</v>
      </c>
      <c r="M106" s="220">
        <f t="shared" si="26"/>
        <v>0</v>
      </c>
      <c r="N106" s="220">
        <f t="shared" si="26"/>
        <v>0</v>
      </c>
    </row>
    <row r="107" spans="6:14" ht="12.6" thickBot="1" x14ac:dyDescent="0.25">
      <c r="F107" s="445"/>
      <c r="G107" s="275" t="str">
        <f>STRAT3_IND5</f>
        <v>Objetivo estratégico 3 Indicador 5</v>
      </c>
      <c r="H107" s="270" t="str">
        <f ca="1">OFFSET(Variables_Lu!$D$10,Basic_Setup!H50,0)</f>
        <v>Nutrition-specific</v>
      </c>
      <c r="I107" s="248">
        <f t="shared" si="25"/>
        <v>0</v>
      </c>
      <c r="J107" s="232">
        <f t="shared" si="26"/>
        <v>0</v>
      </c>
      <c r="K107" s="232">
        <f t="shared" si="26"/>
        <v>0</v>
      </c>
      <c r="L107" s="232">
        <f t="shared" si="26"/>
        <v>0</v>
      </c>
      <c r="M107" s="232">
        <f t="shared" si="26"/>
        <v>0</v>
      </c>
      <c r="N107" s="232">
        <f t="shared" si="26"/>
        <v>0</v>
      </c>
    </row>
    <row r="108" spans="6:14" ht="12.6" thickBot="1" x14ac:dyDescent="0.25">
      <c r="H108" s="152" t="s">
        <v>109</v>
      </c>
      <c r="I108" s="249">
        <f t="shared" si="25"/>
        <v>0</v>
      </c>
      <c r="J108" s="247">
        <f>SUM(J103:J107)</f>
        <v>0</v>
      </c>
      <c r="K108" s="247">
        <f t="shared" ref="K108:N108" si="27">SUM(K103:K107)</f>
        <v>0</v>
      </c>
      <c r="L108" s="247">
        <f t="shared" si="27"/>
        <v>0</v>
      </c>
      <c r="M108" s="247">
        <f t="shared" si="27"/>
        <v>0</v>
      </c>
      <c r="N108" s="247">
        <f t="shared" si="27"/>
        <v>0</v>
      </c>
    </row>
    <row r="109" spans="6:14" ht="22.95"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248">
        <f t="shared" si="25"/>
        <v>0</v>
      </c>
      <c r="J109" s="220">
        <f t="shared" ref="J109:N113" si="28">J38*EXCHANGE_RATE</f>
        <v>0</v>
      </c>
      <c r="K109" s="220">
        <f t="shared" si="28"/>
        <v>0</v>
      </c>
      <c r="L109" s="220">
        <f t="shared" si="28"/>
        <v>0</v>
      </c>
      <c r="M109" s="220">
        <f t="shared" si="28"/>
        <v>0</v>
      </c>
      <c r="N109" s="220">
        <f t="shared" si="28"/>
        <v>0</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248">
        <f t="shared" si="25"/>
        <v>0</v>
      </c>
      <c r="J110" s="220">
        <f t="shared" si="28"/>
        <v>0</v>
      </c>
      <c r="K110" s="220">
        <f t="shared" si="28"/>
        <v>0</v>
      </c>
      <c r="L110" s="220">
        <f t="shared" si="28"/>
        <v>0</v>
      </c>
      <c r="M110" s="220">
        <f t="shared" si="28"/>
        <v>0</v>
      </c>
      <c r="N110" s="220">
        <f t="shared" si="28"/>
        <v>0</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248">
        <f t="shared" si="25"/>
        <v>0</v>
      </c>
      <c r="J111" s="220">
        <f t="shared" si="28"/>
        <v>0</v>
      </c>
      <c r="K111" s="220">
        <f t="shared" si="28"/>
        <v>0</v>
      </c>
      <c r="L111" s="220">
        <f t="shared" si="28"/>
        <v>0</v>
      </c>
      <c r="M111" s="220">
        <f t="shared" si="28"/>
        <v>0</v>
      </c>
      <c r="N111" s="220">
        <f t="shared" si="28"/>
        <v>0</v>
      </c>
    </row>
    <row r="112" spans="6:14" ht="12" x14ac:dyDescent="0.2">
      <c r="F112" s="444"/>
      <c r="G112" s="41" t="str">
        <f>STRAT4_IND4</f>
        <v>Objetivo estratégico 4 Indicador 4</v>
      </c>
      <c r="H112" s="268" t="str">
        <f ca="1">OFFSET(Variables_Lu!$D$10,Basic_Setup!H55,0)</f>
        <v>Nutrition-specific</v>
      </c>
      <c r="I112" s="248">
        <f t="shared" si="25"/>
        <v>0</v>
      </c>
      <c r="J112" s="220">
        <f t="shared" si="28"/>
        <v>0</v>
      </c>
      <c r="K112" s="220">
        <f t="shared" si="28"/>
        <v>0</v>
      </c>
      <c r="L112" s="220">
        <f t="shared" si="28"/>
        <v>0</v>
      </c>
      <c r="M112" s="220">
        <f t="shared" si="28"/>
        <v>0</v>
      </c>
      <c r="N112" s="220">
        <f t="shared" si="28"/>
        <v>0</v>
      </c>
    </row>
    <row r="113" spans="6:14" ht="12.6" thickBot="1" x14ac:dyDescent="0.25">
      <c r="F113" s="445"/>
      <c r="G113" s="275" t="str">
        <f>STRAT4_IND5</f>
        <v>Objetivo estratégico 4 Indicador 5</v>
      </c>
      <c r="H113" s="270" t="str">
        <f ca="1">OFFSET(Variables_Lu!$D$10,Basic_Setup!H56,0)</f>
        <v>Nutrition-specific</v>
      </c>
      <c r="I113" s="248">
        <f t="shared" si="25"/>
        <v>0</v>
      </c>
      <c r="J113" s="232">
        <f t="shared" si="28"/>
        <v>0</v>
      </c>
      <c r="K113" s="232">
        <f t="shared" si="28"/>
        <v>0</v>
      </c>
      <c r="L113" s="232">
        <f t="shared" si="28"/>
        <v>0</v>
      </c>
      <c r="M113" s="232">
        <f t="shared" si="28"/>
        <v>0</v>
      </c>
      <c r="N113" s="232">
        <f t="shared" si="28"/>
        <v>0</v>
      </c>
    </row>
    <row r="114" spans="6:14" ht="12.6" thickBot="1" x14ac:dyDescent="0.25">
      <c r="H114" s="152" t="s">
        <v>110</v>
      </c>
      <c r="I114" s="249">
        <f t="shared" si="25"/>
        <v>0</v>
      </c>
      <c r="J114" s="247">
        <f>SUM(J109:J113)</f>
        <v>0</v>
      </c>
      <c r="K114" s="247">
        <f t="shared" ref="K114:N114" si="29">SUM(K109:K113)</f>
        <v>0</v>
      </c>
      <c r="L114" s="247">
        <f t="shared" si="29"/>
        <v>0</v>
      </c>
      <c r="M114" s="247">
        <f t="shared" si="29"/>
        <v>0</v>
      </c>
      <c r="N114" s="247">
        <f t="shared" si="29"/>
        <v>0</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248">
        <f t="shared" si="25"/>
        <v>0</v>
      </c>
      <c r="J115" s="220">
        <f t="shared" ref="J115:N119" si="30">J44*EXCHANGE_RATE</f>
        <v>0</v>
      </c>
      <c r="K115" s="220">
        <f t="shared" si="30"/>
        <v>0</v>
      </c>
      <c r="L115" s="220">
        <f t="shared" si="30"/>
        <v>0</v>
      </c>
      <c r="M115" s="220">
        <f t="shared" si="30"/>
        <v>0</v>
      </c>
      <c r="N115" s="220">
        <f t="shared" si="30"/>
        <v>0</v>
      </c>
    </row>
    <row r="116" spans="6:14" ht="22.8" x14ac:dyDescent="0.2">
      <c r="F116" s="444"/>
      <c r="G116" s="42" t="str">
        <f>STRAT5_IND2</f>
        <v>Se promueven dietas saludables y estilos de vida saludables para las personas.</v>
      </c>
      <c r="H116" s="268" t="str">
        <f ca="1">OFFSET(Variables_Lu!$D$10,Basic_Setup!H59,0)</f>
        <v>Nutrition-specific</v>
      </c>
      <c r="I116" s="248">
        <f t="shared" si="25"/>
        <v>0</v>
      </c>
      <c r="J116" s="220">
        <f t="shared" si="30"/>
        <v>0</v>
      </c>
      <c r="K116" s="220">
        <f t="shared" si="30"/>
        <v>0</v>
      </c>
      <c r="L116" s="220">
        <f t="shared" si="30"/>
        <v>0</v>
      </c>
      <c r="M116" s="220">
        <f t="shared" si="30"/>
        <v>0</v>
      </c>
      <c r="N116" s="220">
        <f t="shared" si="30"/>
        <v>0</v>
      </c>
    </row>
    <row r="117" spans="6:14" ht="22.8" x14ac:dyDescent="0.2">
      <c r="F117" s="444"/>
      <c r="G117" s="42" t="str">
        <f>STRAT5_IND3</f>
        <v>Se promueven las buenas prácticas WASH a nivel comunitario y doméstico</v>
      </c>
      <c r="H117" s="268" t="str">
        <f ca="1">OFFSET(Variables_Lu!$D$10,Basic_Setup!H60,0)</f>
        <v>Nutrition-sensitive</v>
      </c>
      <c r="I117" s="248">
        <f t="shared" si="25"/>
        <v>0</v>
      </c>
      <c r="J117" s="220">
        <f t="shared" si="30"/>
        <v>0</v>
      </c>
      <c r="K117" s="220">
        <f t="shared" si="30"/>
        <v>0</v>
      </c>
      <c r="L117" s="220">
        <f t="shared" si="30"/>
        <v>0</v>
      </c>
      <c r="M117" s="220">
        <f t="shared" si="30"/>
        <v>0</v>
      </c>
      <c r="N117" s="220">
        <f t="shared" si="30"/>
        <v>0</v>
      </c>
    </row>
    <row r="118" spans="6:14" ht="12" x14ac:dyDescent="0.2">
      <c r="F118" s="444"/>
      <c r="G118" s="41" t="str">
        <f>STRAT5_IND4</f>
        <v>Objetivo estratégico 5 Indicador 4</v>
      </c>
      <c r="H118" s="268" t="str">
        <f ca="1">OFFSET(Variables_Lu!$D$10,Basic_Setup!H61,0)</f>
        <v>Nutrition-specific</v>
      </c>
      <c r="I118" s="248">
        <f t="shared" si="25"/>
        <v>0</v>
      </c>
      <c r="J118" s="220">
        <f t="shared" si="30"/>
        <v>0</v>
      </c>
      <c r="K118" s="220">
        <f t="shared" si="30"/>
        <v>0</v>
      </c>
      <c r="L118" s="220">
        <f t="shared" si="30"/>
        <v>0</v>
      </c>
      <c r="M118" s="220">
        <f t="shared" si="30"/>
        <v>0</v>
      </c>
      <c r="N118" s="220">
        <f t="shared" si="30"/>
        <v>0</v>
      </c>
    </row>
    <row r="119" spans="6:14" ht="12.6" thickBot="1" x14ac:dyDescent="0.25">
      <c r="F119" s="445"/>
      <c r="G119" s="275" t="str">
        <f>STRAT5_IND5</f>
        <v>Objetivo estratégico 5 Indicador 5</v>
      </c>
      <c r="H119" s="270" t="str">
        <f ca="1">OFFSET(Variables_Lu!$D$10,Basic_Setup!H62,0)</f>
        <v>Nutrition-specific</v>
      </c>
      <c r="I119" s="248">
        <f t="shared" si="25"/>
        <v>0</v>
      </c>
      <c r="J119" s="232">
        <f t="shared" si="30"/>
        <v>0</v>
      </c>
      <c r="K119" s="232">
        <f t="shared" si="30"/>
        <v>0</v>
      </c>
      <c r="L119" s="232">
        <f t="shared" si="30"/>
        <v>0</v>
      </c>
      <c r="M119" s="232">
        <f t="shared" si="30"/>
        <v>0</v>
      </c>
      <c r="N119" s="232">
        <f t="shared" si="30"/>
        <v>0</v>
      </c>
    </row>
    <row r="120" spans="6:14" ht="12.6" thickBot="1" x14ac:dyDescent="0.25">
      <c r="H120" s="152" t="s">
        <v>111</v>
      </c>
      <c r="I120" s="249">
        <f t="shared" si="25"/>
        <v>0</v>
      </c>
      <c r="J120" s="247">
        <f>SUM(J115:J119)</f>
        <v>0</v>
      </c>
      <c r="K120" s="247">
        <f t="shared" ref="K120:N120" si="31">SUM(K115:K119)</f>
        <v>0</v>
      </c>
      <c r="L120" s="247">
        <f t="shared" si="31"/>
        <v>0</v>
      </c>
      <c r="M120" s="247">
        <f t="shared" si="31"/>
        <v>0</v>
      </c>
      <c r="N120" s="247">
        <f t="shared" si="31"/>
        <v>0</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248">
        <f t="shared" si="25"/>
        <v>0</v>
      </c>
      <c r="J121" s="220">
        <f t="shared" ref="J121:N125" si="32">J50*EXCHANGE_RATE</f>
        <v>0</v>
      </c>
      <c r="K121" s="220">
        <f t="shared" si="32"/>
        <v>0</v>
      </c>
      <c r="L121" s="220">
        <f t="shared" si="32"/>
        <v>0</v>
      </c>
      <c r="M121" s="220">
        <f t="shared" si="32"/>
        <v>0</v>
      </c>
      <c r="N121" s="220">
        <f t="shared" si="32"/>
        <v>0</v>
      </c>
    </row>
    <row r="122" spans="6:14" ht="12" x14ac:dyDescent="0.2">
      <c r="F122" s="444"/>
      <c r="G122" s="42" t="str">
        <f>STRAT6_IND2</f>
        <v>Objetivo estratégico 6 Indicador 2</v>
      </c>
      <c r="H122" s="268" t="str">
        <f ca="1">OFFSET(Variables_Lu!$D$10,Basic_Setup!H65,0)</f>
        <v>Nutrition-specific</v>
      </c>
      <c r="I122" s="248">
        <f t="shared" si="25"/>
        <v>0</v>
      </c>
      <c r="J122" s="220">
        <f t="shared" si="32"/>
        <v>0</v>
      </c>
      <c r="K122" s="220">
        <f t="shared" si="32"/>
        <v>0</v>
      </c>
      <c r="L122" s="220">
        <f t="shared" si="32"/>
        <v>0</v>
      </c>
      <c r="M122" s="220">
        <f t="shared" si="32"/>
        <v>0</v>
      </c>
      <c r="N122" s="220">
        <f t="shared" si="32"/>
        <v>0</v>
      </c>
    </row>
    <row r="123" spans="6:14" ht="12" x14ac:dyDescent="0.2">
      <c r="F123" s="444"/>
      <c r="G123" s="42" t="str">
        <f>STRAT6_IND3</f>
        <v>Objetivo estratégico 6 Indicador 3</v>
      </c>
      <c r="H123" s="268" t="str">
        <f ca="1">OFFSET(Variables_Lu!$D$10,Basic_Setup!H66,0)</f>
        <v>Nutrition-specific</v>
      </c>
      <c r="I123" s="248">
        <f t="shared" si="25"/>
        <v>0</v>
      </c>
      <c r="J123" s="220">
        <f t="shared" si="32"/>
        <v>0</v>
      </c>
      <c r="K123" s="220">
        <f t="shared" si="32"/>
        <v>0</v>
      </c>
      <c r="L123" s="220">
        <f t="shared" si="32"/>
        <v>0</v>
      </c>
      <c r="M123" s="220">
        <f t="shared" si="32"/>
        <v>0</v>
      </c>
      <c r="N123" s="220">
        <f t="shared" si="32"/>
        <v>0</v>
      </c>
    </row>
    <row r="124" spans="6:14" ht="12" x14ac:dyDescent="0.2">
      <c r="F124" s="444"/>
      <c r="G124" s="41" t="str">
        <f>STRAT6_IND4</f>
        <v>Objetivo estratégico 6 Indicador 4</v>
      </c>
      <c r="H124" s="268" t="str">
        <f ca="1">OFFSET(Variables_Lu!$D$10,Basic_Setup!H67,0)</f>
        <v>Nutrition-specific</v>
      </c>
      <c r="I124" s="248">
        <f t="shared" si="25"/>
        <v>0</v>
      </c>
      <c r="J124" s="220">
        <f t="shared" si="32"/>
        <v>0</v>
      </c>
      <c r="K124" s="220">
        <f t="shared" si="32"/>
        <v>0</v>
      </c>
      <c r="L124" s="220">
        <f t="shared" si="32"/>
        <v>0</v>
      </c>
      <c r="M124" s="220">
        <f t="shared" si="32"/>
        <v>0</v>
      </c>
      <c r="N124" s="220">
        <f t="shared" si="32"/>
        <v>0</v>
      </c>
    </row>
    <row r="125" spans="6:14" ht="12.6" thickBot="1" x14ac:dyDescent="0.25">
      <c r="F125" s="445"/>
      <c r="G125" s="275" t="str">
        <f>STRAT6_IND5</f>
        <v>Objetivo estratégico 6 Indicador 5</v>
      </c>
      <c r="H125" s="270" t="str">
        <f ca="1">OFFSET(Variables_Lu!$D$10,Basic_Setup!H68,0)</f>
        <v>Nutrition-specific</v>
      </c>
      <c r="I125" s="248">
        <f t="shared" si="25"/>
        <v>0</v>
      </c>
      <c r="J125" s="232">
        <f t="shared" si="32"/>
        <v>0</v>
      </c>
      <c r="K125" s="232">
        <f t="shared" si="32"/>
        <v>0</v>
      </c>
      <c r="L125" s="232">
        <f t="shared" si="32"/>
        <v>0</v>
      </c>
      <c r="M125" s="232">
        <f t="shared" si="32"/>
        <v>0</v>
      </c>
      <c r="N125" s="232">
        <f t="shared" si="32"/>
        <v>0</v>
      </c>
    </row>
    <row r="126" spans="6:14" ht="12.6" thickBot="1" x14ac:dyDescent="0.25">
      <c r="H126" s="152" t="s">
        <v>159</v>
      </c>
      <c r="I126" s="249">
        <f t="shared" si="25"/>
        <v>0</v>
      </c>
      <c r="J126" s="247">
        <f>SUM(J121:J125)</f>
        <v>0</v>
      </c>
      <c r="K126" s="247">
        <f>SUM(K121:K125)</f>
        <v>0</v>
      </c>
      <c r="L126" s="247">
        <f>SUM(L121:L125)</f>
        <v>0</v>
      </c>
      <c r="M126" s="247">
        <f>SUM(M121:M125)</f>
        <v>0</v>
      </c>
      <c r="N126" s="247">
        <f>SUM(N121:N125)</f>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248">
        <f t="shared" si="25"/>
        <v>0</v>
      </c>
      <c r="J127" s="220">
        <f t="shared" ref="J127:N131" si="33">J56*EXCHANGE_RATE</f>
        <v>0</v>
      </c>
      <c r="K127" s="220">
        <f t="shared" si="33"/>
        <v>0</v>
      </c>
      <c r="L127" s="220">
        <f t="shared" si="33"/>
        <v>0</v>
      </c>
      <c r="M127" s="220">
        <f t="shared" si="33"/>
        <v>0</v>
      </c>
      <c r="N127" s="220">
        <f t="shared" si="33"/>
        <v>0</v>
      </c>
    </row>
    <row r="128" spans="6:14" ht="12" x14ac:dyDescent="0.2">
      <c r="F128" s="444"/>
      <c r="G128" s="42" t="str">
        <f>STRAT7_IND2</f>
        <v>Objetivo estratégico 7 Indicador 2</v>
      </c>
      <c r="H128" s="268" t="str">
        <f ca="1">OFFSET(Variables_Lu!$D$10,Basic_Setup!H71,0)</f>
        <v>Nutrition-specific</v>
      </c>
      <c r="I128" s="248">
        <f t="shared" si="25"/>
        <v>0</v>
      </c>
      <c r="J128" s="220">
        <f t="shared" si="33"/>
        <v>0</v>
      </c>
      <c r="K128" s="220">
        <f t="shared" si="33"/>
        <v>0</v>
      </c>
      <c r="L128" s="220">
        <f t="shared" si="33"/>
        <v>0</v>
      </c>
      <c r="M128" s="220">
        <f t="shared" si="33"/>
        <v>0</v>
      </c>
      <c r="N128" s="220">
        <f t="shared" si="33"/>
        <v>0</v>
      </c>
    </row>
    <row r="129" spans="6:14" ht="12" x14ac:dyDescent="0.2">
      <c r="F129" s="444"/>
      <c r="G129" s="42" t="str">
        <f>STRAT7_IND3</f>
        <v>Objetivo estratégico 7 Indicador 3</v>
      </c>
      <c r="H129" s="268" t="str">
        <f ca="1">OFFSET(Variables_Lu!$D$10,Basic_Setup!H72,0)</f>
        <v>Nutrition-specific</v>
      </c>
      <c r="I129" s="248">
        <f t="shared" si="25"/>
        <v>0</v>
      </c>
      <c r="J129" s="220">
        <f t="shared" si="33"/>
        <v>0</v>
      </c>
      <c r="K129" s="220">
        <f t="shared" si="33"/>
        <v>0</v>
      </c>
      <c r="L129" s="220">
        <f t="shared" si="33"/>
        <v>0</v>
      </c>
      <c r="M129" s="220">
        <f t="shared" si="33"/>
        <v>0</v>
      </c>
      <c r="N129" s="220">
        <f t="shared" si="33"/>
        <v>0</v>
      </c>
    </row>
    <row r="130" spans="6:14" ht="12" x14ac:dyDescent="0.2">
      <c r="F130" s="444"/>
      <c r="G130" s="41" t="str">
        <f>STRAT7_IND4</f>
        <v>Objetivo estratégico 7 Indicador 4</v>
      </c>
      <c r="H130" s="268" t="str">
        <f ca="1">OFFSET(Variables_Lu!$D$10,Basic_Setup!H73,0)</f>
        <v>Nutrition-specific</v>
      </c>
      <c r="I130" s="248">
        <f t="shared" si="25"/>
        <v>0</v>
      </c>
      <c r="J130" s="220">
        <f t="shared" si="33"/>
        <v>0</v>
      </c>
      <c r="K130" s="220">
        <f t="shared" si="33"/>
        <v>0</v>
      </c>
      <c r="L130" s="220">
        <f t="shared" si="33"/>
        <v>0</v>
      </c>
      <c r="M130" s="220">
        <f t="shared" si="33"/>
        <v>0</v>
      </c>
      <c r="N130" s="220">
        <f t="shared" si="33"/>
        <v>0</v>
      </c>
    </row>
    <row r="131" spans="6:14" ht="12.6" thickBot="1" x14ac:dyDescent="0.25">
      <c r="F131" s="445"/>
      <c r="G131" s="275" t="str">
        <f>STRAT7_IND5</f>
        <v>Objetivo estratégico 7 Indicador 5</v>
      </c>
      <c r="H131" s="270" t="str">
        <f ca="1">OFFSET(Variables_Lu!$D$10,Basic_Setup!H74,0)</f>
        <v>Nutrition-specific</v>
      </c>
      <c r="I131" s="248">
        <f t="shared" si="25"/>
        <v>0</v>
      </c>
      <c r="J131" s="232">
        <f t="shared" si="33"/>
        <v>0</v>
      </c>
      <c r="K131" s="232">
        <f t="shared" si="33"/>
        <v>0</v>
      </c>
      <c r="L131" s="232">
        <f t="shared" si="33"/>
        <v>0</v>
      </c>
      <c r="M131" s="232">
        <f t="shared" si="33"/>
        <v>0</v>
      </c>
      <c r="N131" s="232">
        <f t="shared" si="33"/>
        <v>0</v>
      </c>
    </row>
    <row r="132" spans="6:14" ht="12.6" thickBot="1" x14ac:dyDescent="0.25">
      <c r="H132" s="152" t="s">
        <v>160</v>
      </c>
      <c r="I132" s="249">
        <f t="shared" si="25"/>
        <v>0</v>
      </c>
      <c r="J132" s="247">
        <f>SUM(J127:J131)</f>
        <v>0</v>
      </c>
      <c r="K132" s="247">
        <f>SUM(K127:K131)</f>
        <v>0</v>
      </c>
      <c r="L132" s="247">
        <f>SUM(L127:L131)</f>
        <v>0</v>
      </c>
      <c r="M132" s="247">
        <f>SUM(M127:M131)</f>
        <v>0</v>
      </c>
      <c r="N132" s="247">
        <f>SUM(N127:N131)</f>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248">
        <f t="shared" si="25"/>
        <v>0</v>
      </c>
      <c r="J133" s="220">
        <f t="shared" ref="J133:N137" si="34">J62*EXCHANGE_RATE</f>
        <v>0</v>
      </c>
      <c r="K133" s="220">
        <f t="shared" si="34"/>
        <v>0</v>
      </c>
      <c r="L133" s="220">
        <f t="shared" si="34"/>
        <v>0</v>
      </c>
      <c r="M133" s="220">
        <f t="shared" si="34"/>
        <v>0</v>
      </c>
      <c r="N133" s="220">
        <f t="shared" si="34"/>
        <v>0</v>
      </c>
    </row>
    <row r="134" spans="6:14" ht="12" x14ac:dyDescent="0.2">
      <c r="F134" s="444"/>
      <c r="G134" s="42" t="str">
        <f>STRAT8_IND2</f>
        <v>Objetivo estratégico 8 Indicador 2</v>
      </c>
      <c r="H134" s="268" t="str">
        <f ca="1">OFFSET(Variables_Lu!$D$10,Basic_Setup!H77,0)</f>
        <v>Nutrition-specific</v>
      </c>
      <c r="I134" s="248">
        <f t="shared" ref="I134:I150" si="35">I63*EXCHANGE_RATE</f>
        <v>0</v>
      </c>
      <c r="J134" s="220">
        <f t="shared" si="34"/>
        <v>0</v>
      </c>
      <c r="K134" s="220">
        <f t="shared" si="34"/>
        <v>0</v>
      </c>
      <c r="L134" s="220">
        <f t="shared" si="34"/>
        <v>0</v>
      </c>
      <c r="M134" s="220">
        <f t="shared" si="34"/>
        <v>0</v>
      </c>
      <c r="N134" s="220">
        <f t="shared" si="34"/>
        <v>0</v>
      </c>
    </row>
    <row r="135" spans="6:14" ht="12" x14ac:dyDescent="0.2">
      <c r="F135" s="444"/>
      <c r="G135" s="42" t="str">
        <f>STRAT8_IND3</f>
        <v>Objetivo estratégico 8 Indicador 3</v>
      </c>
      <c r="H135" s="268" t="str">
        <f ca="1">OFFSET(Variables_Lu!$D$10,Basic_Setup!H78,0)</f>
        <v>Nutrition-specific</v>
      </c>
      <c r="I135" s="248">
        <f t="shared" si="35"/>
        <v>0</v>
      </c>
      <c r="J135" s="220">
        <f t="shared" si="34"/>
        <v>0</v>
      </c>
      <c r="K135" s="220">
        <f t="shared" si="34"/>
        <v>0</v>
      </c>
      <c r="L135" s="220">
        <f t="shared" si="34"/>
        <v>0</v>
      </c>
      <c r="M135" s="220">
        <f t="shared" si="34"/>
        <v>0</v>
      </c>
      <c r="N135" s="220">
        <f t="shared" si="34"/>
        <v>0</v>
      </c>
    </row>
    <row r="136" spans="6:14" ht="12" x14ac:dyDescent="0.2">
      <c r="F136" s="444"/>
      <c r="G136" s="41" t="str">
        <f>STRAT8_IND4</f>
        <v>Objetivo estratégico 8 Indicador 4</v>
      </c>
      <c r="H136" s="268" t="str">
        <f ca="1">OFFSET(Variables_Lu!$D$10,Basic_Setup!H79,0)</f>
        <v>Nutrition-specific</v>
      </c>
      <c r="I136" s="248">
        <f t="shared" si="35"/>
        <v>0</v>
      </c>
      <c r="J136" s="220">
        <f t="shared" si="34"/>
        <v>0</v>
      </c>
      <c r="K136" s="220">
        <f t="shared" si="34"/>
        <v>0</v>
      </c>
      <c r="L136" s="220">
        <f t="shared" si="34"/>
        <v>0</v>
      </c>
      <c r="M136" s="220">
        <f t="shared" si="34"/>
        <v>0</v>
      </c>
      <c r="N136" s="220">
        <f t="shared" si="34"/>
        <v>0</v>
      </c>
    </row>
    <row r="137" spans="6:14" ht="12.6" thickBot="1" x14ac:dyDescent="0.25">
      <c r="F137" s="445"/>
      <c r="G137" s="275" t="str">
        <f>STRAT8_IND5</f>
        <v>Objetivo estratégico 8 Indicador 5</v>
      </c>
      <c r="H137" s="270" t="str">
        <f ca="1">OFFSET(Variables_Lu!$D$10,Basic_Setup!H80,0)</f>
        <v>Nutrition-specific</v>
      </c>
      <c r="I137" s="248">
        <f t="shared" si="35"/>
        <v>0</v>
      </c>
      <c r="J137" s="232">
        <f t="shared" si="34"/>
        <v>0</v>
      </c>
      <c r="K137" s="232">
        <f t="shared" si="34"/>
        <v>0</v>
      </c>
      <c r="L137" s="232">
        <f t="shared" si="34"/>
        <v>0</v>
      </c>
      <c r="M137" s="232">
        <f t="shared" si="34"/>
        <v>0</v>
      </c>
      <c r="N137" s="232">
        <f t="shared" si="34"/>
        <v>0</v>
      </c>
    </row>
    <row r="138" spans="6:14" ht="12.6" thickBot="1" x14ac:dyDescent="0.25">
      <c r="H138" s="152" t="s">
        <v>161</v>
      </c>
      <c r="I138" s="249">
        <f t="shared" si="35"/>
        <v>0</v>
      </c>
      <c r="J138" s="247">
        <f>SUM(J133:J137)</f>
        <v>0</v>
      </c>
      <c r="K138" s="247">
        <f>SUM(K133:K137)</f>
        <v>0</v>
      </c>
      <c r="L138" s="247">
        <f>SUM(L133:L137)</f>
        <v>0</v>
      </c>
      <c r="M138" s="247">
        <f>SUM(M133:M137)</f>
        <v>0</v>
      </c>
      <c r="N138" s="247">
        <f>SUM(N133:N137)</f>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248">
        <f t="shared" si="35"/>
        <v>0</v>
      </c>
      <c r="J139" s="220">
        <f t="shared" ref="J139:N143" si="36">J68*EXCHANGE_RATE</f>
        <v>0</v>
      </c>
      <c r="K139" s="220">
        <f t="shared" si="36"/>
        <v>0</v>
      </c>
      <c r="L139" s="220">
        <f t="shared" si="36"/>
        <v>0</v>
      </c>
      <c r="M139" s="220">
        <f t="shared" si="36"/>
        <v>0</v>
      </c>
      <c r="N139" s="220">
        <f t="shared" si="36"/>
        <v>0</v>
      </c>
    </row>
    <row r="140" spans="6:14" ht="12" x14ac:dyDescent="0.2">
      <c r="F140" s="444"/>
      <c r="G140" s="42" t="str">
        <f>STRAT9_IND2</f>
        <v>Objetivo estratégico 9 Indicador 2</v>
      </c>
      <c r="H140" s="268" t="str">
        <f ca="1">OFFSET(Variables_Lu!$D$10,Basic_Setup!H83,0)</f>
        <v>Nutrition-specific</v>
      </c>
      <c r="I140" s="248">
        <f t="shared" si="35"/>
        <v>0</v>
      </c>
      <c r="J140" s="220">
        <f t="shared" si="36"/>
        <v>0</v>
      </c>
      <c r="K140" s="220">
        <f t="shared" si="36"/>
        <v>0</v>
      </c>
      <c r="L140" s="220">
        <f t="shared" si="36"/>
        <v>0</v>
      </c>
      <c r="M140" s="220">
        <f t="shared" si="36"/>
        <v>0</v>
      </c>
      <c r="N140" s="220">
        <f t="shared" si="36"/>
        <v>0</v>
      </c>
    </row>
    <row r="141" spans="6:14" ht="12" x14ac:dyDescent="0.2">
      <c r="F141" s="444"/>
      <c r="G141" s="42" t="str">
        <f>STRAT9_IND3</f>
        <v>Objetivo estratégico 9 Indicador 3</v>
      </c>
      <c r="H141" s="268" t="str">
        <f ca="1">OFFSET(Variables_Lu!$D$10,Basic_Setup!H84,0)</f>
        <v>Nutrition-specific</v>
      </c>
      <c r="I141" s="248">
        <f t="shared" si="35"/>
        <v>0</v>
      </c>
      <c r="J141" s="220">
        <f t="shared" si="36"/>
        <v>0</v>
      </c>
      <c r="K141" s="220">
        <f t="shared" si="36"/>
        <v>0</v>
      </c>
      <c r="L141" s="220">
        <f t="shared" si="36"/>
        <v>0</v>
      </c>
      <c r="M141" s="220">
        <f t="shared" si="36"/>
        <v>0</v>
      </c>
      <c r="N141" s="220">
        <f t="shared" si="36"/>
        <v>0</v>
      </c>
    </row>
    <row r="142" spans="6:14" ht="12" x14ac:dyDescent="0.2">
      <c r="F142" s="444"/>
      <c r="G142" s="41" t="str">
        <f>STRAT9_IND4</f>
        <v>Objetivo estratégico 9 Indicador 4</v>
      </c>
      <c r="H142" s="268" t="str">
        <f ca="1">OFFSET(Variables_Lu!$D$10,Basic_Setup!H85,0)</f>
        <v>Nutrition-specific</v>
      </c>
      <c r="I142" s="248">
        <f t="shared" si="35"/>
        <v>0</v>
      </c>
      <c r="J142" s="220">
        <f t="shared" si="36"/>
        <v>0</v>
      </c>
      <c r="K142" s="220">
        <f t="shared" si="36"/>
        <v>0</v>
      </c>
      <c r="L142" s="220">
        <f t="shared" si="36"/>
        <v>0</v>
      </c>
      <c r="M142" s="220">
        <f t="shared" si="36"/>
        <v>0</v>
      </c>
      <c r="N142" s="220">
        <f t="shared" si="36"/>
        <v>0</v>
      </c>
    </row>
    <row r="143" spans="6:14" ht="12.6" thickBot="1" x14ac:dyDescent="0.25">
      <c r="F143" s="445"/>
      <c r="G143" s="275" t="str">
        <f>STRAT9_IND5</f>
        <v>Objetivo estratégico 9 Indicador 5</v>
      </c>
      <c r="H143" s="270" t="str">
        <f ca="1">OFFSET(Variables_Lu!$D$10,Basic_Setup!H86,0)</f>
        <v>Nutrition-specific</v>
      </c>
      <c r="I143" s="248">
        <f t="shared" si="35"/>
        <v>0</v>
      </c>
      <c r="J143" s="232">
        <f t="shared" si="36"/>
        <v>0</v>
      </c>
      <c r="K143" s="232">
        <f t="shared" si="36"/>
        <v>0</v>
      </c>
      <c r="L143" s="232">
        <f t="shared" si="36"/>
        <v>0</v>
      </c>
      <c r="M143" s="232">
        <f t="shared" si="36"/>
        <v>0</v>
      </c>
      <c r="N143" s="232">
        <f t="shared" si="36"/>
        <v>0</v>
      </c>
    </row>
    <row r="144" spans="6:14" ht="12.6" thickBot="1" x14ac:dyDescent="0.25">
      <c r="H144" s="152" t="s">
        <v>162</v>
      </c>
      <c r="I144" s="249">
        <f t="shared" si="35"/>
        <v>0</v>
      </c>
      <c r="J144" s="247">
        <f>SUM(J139:J143)</f>
        <v>0</v>
      </c>
      <c r="K144" s="247">
        <f>SUM(K139:K143)</f>
        <v>0</v>
      </c>
      <c r="L144" s="247">
        <f>SUM(L139:L143)</f>
        <v>0</v>
      </c>
      <c r="M144" s="247">
        <f>SUM(M139:M143)</f>
        <v>0</v>
      </c>
      <c r="N144" s="247">
        <f>SUM(N139:N143)</f>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248">
        <f t="shared" si="35"/>
        <v>0</v>
      </c>
      <c r="J145" s="220">
        <f t="shared" ref="J145:N149" si="37">J74*EXCHANGE_RATE</f>
        <v>0</v>
      </c>
      <c r="K145" s="220">
        <f t="shared" si="37"/>
        <v>0</v>
      </c>
      <c r="L145" s="220">
        <f t="shared" si="37"/>
        <v>0</v>
      </c>
      <c r="M145" s="220">
        <f t="shared" si="37"/>
        <v>0</v>
      </c>
      <c r="N145" s="220">
        <f t="shared" si="37"/>
        <v>0</v>
      </c>
    </row>
    <row r="146" spans="1:14" ht="12" x14ac:dyDescent="0.2">
      <c r="F146" s="444"/>
      <c r="G146" s="42" t="str">
        <f>STRAT10_IND2</f>
        <v>Objetivo estratégico 10 Indicador 2</v>
      </c>
      <c r="H146" s="268" t="str">
        <f ca="1">OFFSET(Variables_Lu!$D$10,Basic_Setup!H89,0)</f>
        <v>Nutrition-specific</v>
      </c>
      <c r="I146" s="248">
        <f t="shared" si="35"/>
        <v>0</v>
      </c>
      <c r="J146" s="220">
        <f t="shared" si="37"/>
        <v>0</v>
      </c>
      <c r="K146" s="220">
        <f t="shared" si="37"/>
        <v>0</v>
      </c>
      <c r="L146" s="220">
        <f t="shared" si="37"/>
        <v>0</v>
      </c>
      <c r="M146" s="220">
        <f t="shared" si="37"/>
        <v>0</v>
      </c>
      <c r="N146" s="220">
        <f t="shared" si="37"/>
        <v>0</v>
      </c>
    </row>
    <row r="147" spans="1:14" ht="12" x14ac:dyDescent="0.2">
      <c r="F147" s="444"/>
      <c r="G147" s="42" t="str">
        <f>STRAT10_IND3</f>
        <v>Objetivo estratégico 10 Indicador 3</v>
      </c>
      <c r="H147" s="268" t="str">
        <f ca="1">OFFSET(Variables_Lu!$D$10,Basic_Setup!H90,0)</f>
        <v>Nutrition-specific</v>
      </c>
      <c r="I147" s="248">
        <f t="shared" si="35"/>
        <v>0</v>
      </c>
      <c r="J147" s="220">
        <f t="shared" si="37"/>
        <v>0</v>
      </c>
      <c r="K147" s="220">
        <f t="shared" si="37"/>
        <v>0</v>
      </c>
      <c r="L147" s="220">
        <f t="shared" si="37"/>
        <v>0</v>
      </c>
      <c r="M147" s="220">
        <f t="shared" si="37"/>
        <v>0</v>
      </c>
      <c r="N147" s="220">
        <f t="shared" si="37"/>
        <v>0</v>
      </c>
    </row>
    <row r="148" spans="1:14" ht="12" x14ac:dyDescent="0.2">
      <c r="F148" s="444"/>
      <c r="G148" s="41" t="str">
        <f>STRAT10_IND4</f>
        <v>Objetivo estratégico 10 Indicador 4</v>
      </c>
      <c r="H148" s="268" t="str">
        <f ca="1">OFFSET(Variables_Lu!$D$10,Basic_Setup!H91,0)</f>
        <v>Nutrition-specific</v>
      </c>
      <c r="I148" s="248">
        <f t="shared" si="35"/>
        <v>0</v>
      </c>
      <c r="J148" s="220">
        <f t="shared" si="37"/>
        <v>0</v>
      </c>
      <c r="K148" s="220">
        <f t="shared" si="37"/>
        <v>0</v>
      </c>
      <c r="L148" s="220">
        <f t="shared" si="37"/>
        <v>0</v>
      </c>
      <c r="M148" s="220">
        <f t="shared" si="37"/>
        <v>0</v>
      </c>
      <c r="N148" s="220">
        <f t="shared" si="37"/>
        <v>0</v>
      </c>
    </row>
    <row r="149" spans="1:14" ht="12.6" thickBot="1" x14ac:dyDescent="0.25">
      <c r="F149" s="445"/>
      <c r="G149" s="275" t="str">
        <f>STRAT10_IND5</f>
        <v>Objetivo estratégico 10 Indicador 5</v>
      </c>
      <c r="H149" s="270" t="str">
        <f ca="1">OFFSET(Variables_Lu!$D$10,Basic_Setup!H92,0)</f>
        <v>Nutrition-specific</v>
      </c>
      <c r="I149" s="248">
        <f t="shared" si="35"/>
        <v>0</v>
      </c>
      <c r="J149" s="232">
        <f t="shared" si="37"/>
        <v>0</v>
      </c>
      <c r="K149" s="232">
        <f t="shared" si="37"/>
        <v>0</v>
      </c>
      <c r="L149" s="232">
        <f t="shared" si="37"/>
        <v>0</v>
      </c>
      <c r="M149" s="232">
        <f t="shared" si="37"/>
        <v>0</v>
      </c>
      <c r="N149" s="232">
        <f t="shared" si="37"/>
        <v>0</v>
      </c>
    </row>
    <row r="150" spans="1:14" ht="12" x14ac:dyDescent="0.2">
      <c r="H150" s="152" t="s">
        <v>163</v>
      </c>
      <c r="I150" s="249">
        <f t="shared" si="35"/>
        <v>0</v>
      </c>
      <c r="J150" s="247">
        <f>SUM(J145:J149)</f>
        <v>0</v>
      </c>
      <c r="K150" s="247">
        <f>SUM(K145:K149)</f>
        <v>0</v>
      </c>
      <c r="L150" s="247">
        <f>SUM(L145:L149)</f>
        <v>0</v>
      </c>
      <c r="M150" s="247">
        <f>SUM(M145:M149)</f>
        <v>0</v>
      </c>
      <c r="N150" s="247">
        <f>SUM(N145:N149)</f>
        <v>0</v>
      </c>
    </row>
    <row r="151" spans="1:14" x14ac:dyDescent="0.2">
      <c r="I151" s="231"/>
      <c r="J151" s="231"/>
      <c r="K151" s="231"/>
      <c r="L151" s="231"/>
      <c r="M151" s="231"/>
      <c r="N151" s="231"/>
    </row>
    <row r="152" spans="1:14" ht="12.6" thickBot="1" x14ac:dyDescent="0.25">
      <c r="H152" s="149" t="str">
        <f>"TOTAL - "&amp;$F$12</f>
        <v>TOTAL - [No está en uso]</v>
      </c>
      <c r="I152" s="222">
        <f t="shared" ref="I152:N152" si="38">I81*EXCHANGE_RATE</f>
        <v>0</v>
      </c>
      <c r="J152" s="222">
        <f t="shared" si="38"/>
        <v>0</v>
      </c>
      <c r="K152" s="222">
        <f t="shared" si="38"/>
        <v>0</v>
      </c>
      <c r="L152" s="222">
        <f t="shared" si="38"/>
        <v>0</v>
      </c>
      <c r="M152" s="222">
        <f t="shared" si="38"/>
        <v>0</v>
      </c>
      <c r="N152" s="222">
        <f t="shared" si="38"/>
        <v>0</v>
      </c>
    </row>
    <row r="153" spans="1:14" ht="12" x14ac:dyDescent="0.2">
      <c r="I153" s="149"/>
    </row>
    <row r="155" spans="1:14" x14ac:dyDescent="0.2">
      <c r="A155" s="39" t="s">
        <v>76</v>
      </c>
      <c r="B155" s="40" t="str">
        <f>"Summary of "&amp;Partner9&amp;" - by Result/Indicator Type"</f>
        <v>Summary of [No está en uso]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t="e">
        <f ca="1">I159/$I$162</f>
        <v>#DIV/0!</v>
      </c>
      <c r="I159" s="68">
        <f ca="1">SUM(J159:N159)</f>
        <v>0</v>
      </c>
      <c r="J159" s="325">
        <f ca="1">SUMIF($H$91:$H$149,Lu_Nutrition_Specific,J$91:J$149)</f>
        <v>0</v>
      </c>
      <c r="K159" s="325">
        <f ca="1">SUMIF($H$91:$H$149,Lu_Nutrition_Specific,K$91:K$149)</f>
        <v>0</v>
      </c>
      <c r="L159" s="325">
        <f ca="1">SUMIF($H$91:$H$149,Lu_Nutrition_Specific,L$91:L$149)</f>
        <v>0</v>
      </c>
      <c r="M159" s="325">
        <f ca="1">SUMIF($H$91:$H$149,Lu_Nutrition_Specific,M$91:M$149)</f>
        <v>0</v>
      </c>
      <c r="N159" s="325">
        <f ca="1">SUMIF($H$91:$H$149,Lu_Nutrition_Specific,N$91:N$149)</f>
        <v>0</v>
      </c>
    </row>
    <row r="160" spans="1:14" ht="12" x14ac:dyDescent="0.2">
      <c r="F160" s="38" t="str">
        <f>Lu_Nutrition_Sensitive</f>
        <v>Nutrition-sensitive</v>
      </c>
      <c r="G160" s="38"/>
      <c r="H160" s="289" t="e">
        <f t="shared" ref="H160:H161" ca="1" si="39">I160/$I$162</f>
        <v>#DIV/0!</v>
      </c>
      <c r="I160" s="69">
        <f t="shared" ref="I160:I161" ca="1" si="40">SUM(J160:N160)</f>
        <v>0</v>
      </c>
      <c r="J160" s="325">
        <f ca="1">SUMIF($H$91:$H$149,Lu_Nutrition_Sensitive,J$91:J$149)</f>
        <v>0</v>
      </c>
      <c r="K160" s="325">
        <f ca="1">SUMIF($H$91:$H$149,Lu_Nutrition_Sensitive,K$91:K$149)</f>
        <v>0</v>
      </c>
      <c r="L160" s="325">
        <f ca="1">SUMIF($H$91:$H$149,Lu_Nutrition_Sensitive,L$91:L$149)</f>
        <v>0</v>
      </c>
      <c r="M160" s="325">
        <f ca="1">SUMIF($H$91:$H$149,Lu_Nutrition_Sensitive,M$91:M$149)</f>
        <v>0</v>
      </c>
      <c r="N160" s="325">
        <f ca="1">SUMIF($H$91:$H$149,Lu_Nutrition_Sensitive,N$91:N$149)</f>
        <v>0</v>
      </c>
    </row>
    <row r="161" spans="6:14" ht="12" x14ac:dyDescent="0.2">
      <c r="F161" s="38" t="str">
        <f>Lu_Governance</f>
        <v>Governance</v>
      </c>
      <c r="G161" s="38"/>
      <c r="H161" s="289" t="e">
        <f t="shared" ca="1" si="39"/>
        <v>#DIV/0!</v>
      </c>
      <c r="I161" s="396">
        <f t="shared" ca="1" si="40"/>
        <v>0</v>
      </c>
      <c r="J161" s="325">
        <f ca="1">SUMIF($H$91:$H$149,Lu_Governance,J$91:J$149)</f>
        <v>0</v>
      </c>
      <c r="K161" s="325">
        <f ca="1">SUMIF($H$91:$H$149,Lu_Governance,K$91:K$149)</f>
        <v>0</v>
      </c>
      <c r="L161" s="325">
        <f ca="1">SUMIF($H$91:$H$149,Lu_Governance,L$91:L$149)</f>
        <v>0</v>
      </c>
      <c r="M161" s="325">
        <f ca="1">SUMIF($H$91:$H$149,Lu_Governance,M$91:M$149)</f>
        <v>0</v>
      </c>
      <c r="N161" s="325">
        <f ca="1">SUMIF($H$91:$H$149,Lu_Governance,N$91:N$149)</f>
        <v>0</v>
      </c>
    </row>
    <row r="162" spans="6:14" ht="12" x14ac:dyDescent="0.2">
      <c r="F162" s="324" t="str">
        <f>"TOTAL - "&amp;Summary_Govt_Contributions!$F$12&amp;" ("&amp;CURR_LCU_ABBR&amp;")"</f>
        <v>TOTAL - TODAS las contribuciones de las agencias gubernamentales (GOZ)</v>
      </c>
      <c r="G162" s="74"/>
      <c r="H162" s="291" t="e">
        <f ca="1">SUM(H159:H161)</f>
        <v>#DIV/0!</v>
      </c>
      <c r="I162" s="57">
        <f ca="1">SUM(J162:N162)</f>
        <v>0</v>
      </c>
      <c r="J162" s="55">
        <f ca="1">SUM(J159:J161)</f>
        <v>0</v>
      </c>
      <c r="K162" s="55">
        <f t="shared" ref="K162:N162" ca="1" si="41">SUM(K159:K161)</f>
        <v>0</v>
      </c>
      <c r="L162" s="55">
        <f t="shared" ca="1" si="41"/>
        <v>0</v>
      </c>
      <c r="M162" s="55">
        <f t="shared" ca="1" si="41"/>
        <v>0</v>
      </c>
      <c r="N162" s="55">
        <f t="shared" ca="1" si="41"/>
        <v>0</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t="e">
        <f ca="1">I166/$I$169</f>
        <v>#DIV/0!</v>
      </c>
      <c r="I166" s="404">
        <f ca="1">SUM(J166:N166)</f>
        <v>0</v>
      </c>
      <c r="J166" s="407">
        <f t="shared" ref="J166:N168" ca="1" si="42">J159/EXCHANGE_RATE</f>
        <v>0</v>
      </c>
      <c r="K166" s="407">
        <f t="shared" ca="1" si="42"/>
        <v>0</v>
      </c>
      <c r="L166" s="407">
        <f t="shared" ca="1" si="42"/>
        <v>0</v>
      </c>
      <c r="M166" s="407">
        <f t="shared" ca="1" si="42"/>
        <v>0</v>
      </c>
      <c r="N166" s="407">
        <f t="shared" ca="1" si="42"/>
        <v>0</v>
      </c>
    </row>
    <row r="167" spans="6:14" ht="12" x14ac:dyDescent="0.2">
      <c r="F167" t="str">
        <f>Lu_Nutrition_Sensitive</f>
        <v>Nutrition-sensitive</v>
      </c>
      <c r="H167" s="289" t="e">
        <f t="shared" ref="H167:H168" ca="1" si="43">I167/$I$169</f>
        <v>#DIV/0!</v>
      </c>
      <c r="I167" s="404">
        <f t="shared" ref="I167:I168" ca="1" si="44">SUM(J167:N167)</f>
        <v>0</v>
      </c>
      <c r="J167" s="407">
        <f t="shared" ca="1" si="42"/>
        <v>0</v>
      </c>
      <c r="K167" s="407">
        <f t="shared" ca="1" si="42"/>
        <v>0</v>
      </c>
      <c r="L167" s="407">
        <f t="shared" ca="1" si="42"/>
        <v>0</v>
      </c>
      <c r="M167" s="407">
        <f t="shared" ca="1" si="42"/>
        <v>0</v>
      </c>
      <c r="N167" s="407">
        <f t="shared" ca="1" si="42"/>
        <v>0</v>
      </c>
    </row>
    <row r="168" spans="6:14" ht="12" x14ac:dyDescent="0.2">
      <c r="F168" t="str">
        <f>Lu_Governance</f>
        <v>Governance</v>
      </c>
      <c r="H168" s="289" t="e">
        <f t="shared" ca="1" si="43"/>
        <v>#DIV/0!</v>
      </c>
      <c r="I168" s="404">
        <f t="shared" ca="1" si="44"/>
        <v>0</v>
      </c>
      <c r="J168" s="407">
        <f t="shared" ca="1" si="42"/>
        <v>0</v>
      </c>
      <c r="K168" s="407">
        <f t="shared" ca="1" si="42"/>
        <v>0</v>
      </c>
      <c r="L168" s="407">
        <f t="shared" ca="1" si="42"/>
        <v>0</v>
      </c>
      <c r="M168" s="407">
        <f t="shared" ca="1" si="42"/>
        <v>0</v>
      </c>
      <c r="N168" s="407">
        <f t="shared" ca="1" si="42"/>
        <v>0</v>
      </c>
    </row>
    <row r="169" spans="6:14" ht="12" x14ac:dyDescent="0.2">
      <c r="F169" s="324" t="str">
        <f>"TOTAL - "&amp;Summary_Govt_Contributions!$F$12&amp;" ("&amp;CURR_INT_ABBR&amp;")"</f>
        <v>TOTAL - TODAS las contribuciones de las agencias gubernamentales (USD)</v>
      </c>
      <c r="G169" s="74"/>
      <c r="H169" s="291" t="e">
        <f ca="1">SUM(H166:H168)</f>
        <v>#DIV/0!</v>
      </c>
      <c r="I169" s="295">
        <f ca="1">SUM(J169:N169)</f>
        <v>0</v>
      </c>
      <c r="J169" s="408">
        <f ca="1">SUM(J166:J168)</f>
        <v>0</v>
      </c>
      <c r="K169" s="408">
        <f t="shared" ref="K169:N169" ca="1" si="45">SUM(K166:K168)</f>
        <v>0</v>
      </c>
      <c r="L169" s="408">
        <f t="shared" ca="1" si="45"/>
        <v>0</v>
      </c>
      <c r="M169" s="408">
        <f t="shared" ca="1" si="45"/>
        <v>0</v>
      </c>
      <c r="N169" s="408">
        <f t="shared" ca="1" si="45"/>
        <v>0</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3 J32:N36 J26:N30 J44:N48 J50:N54 J56:N60 J62:N66 J68:N72 J74:N78 J38:N42 J103:N107 J97:N101 J91:N95 J109:N113 J115:N119 J121:N125 J127:N131 J133:N137 J139:N143 J145:N149" xr:uid="{00000000-0002-0000-1D00-000000000000}">
      <formula1>NOT(ISERROR(J20/1))</formula1>
    </dataValidation>
  </dataValidations>
  <hyperlinks>
    <hyperlink ref="A14" location="HL_Mod_Out" tooltip="Click to follow hyperlink." display="ð" xr:uid="{00000000-0004-0000-1D00-000000000000}"/>
    <hyperlink ref="B4" location="Partner8!HL_Sheet_Main_13" tooltip="Go to Previous Sheet" display="ç" xr:uid="{00000000-0004-0000-1D00-000001000000}"/>
    <hyperlink ref="C4" location="Partner10!HL_Sheet_Main_13" tooltip="Go to Next Sheet" display="è" xr:uid="{00000000-0004-0000-1D00-000002000000}"/>
    <hyperlink ref="A4" r:id="rId1" tooltip="Go to Top of Sheet" xr:uid="{00000000-0004-0000-1D00-000003000000}"/>
    <hyperlink ref="B3" location="HL_Home" tooltip="Go to Table of Contents" display="Go to Table of Contents" xr:uid="{00000000-0004-0000-1D00-000004000000}"/>
    <hyperlink ref="A155" location="HL_Mod_Out" tooltip="Click to follow hyperlink." display="ð" xr:uid="{00000000-0004-0000-1D00-000005000000}"/>
  </hyperlinks>
  <pageMargins left="0.4" right="0.4" top="0.6" bottom="1" header="0" footer="0.3"/>
  <pageSetup orientation="landscape" r:id="rId2"/>
  <headerFooter>
    <oddFooter>&amp;L&amp;F
&amp;A
Printed: &amp;T on &amp;D&amp;C&amp;",Bold"Sheet 2.u.
Page &amp;P of &amp;N</oddFooter>
  </headerFooter>
  <drawing r:id="rId3"/>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000"/>
  </sheetPr>
  <dimension ref="A1:N169"/>
  <sheetViews>
    <sheetView showGridLines="0" workbookViewId="0">
      <pane ySplit="12" topLeftCell="A13" activePane="bottomLeft" state="frozen"/>
      <selection pane="bottomLeft" activeCell="F19" sqref="F19:H19"/>
    </sheetView>
  </sheetViews>
  <sheetFormatPr defaultColWidth="11.75" defaultRowHeight="11.4" x14ac:dyDescent="0.2"/>
  <cols>
    <col min="1" max="5" width="3.75" customWidth="1"/>
    <col min="6" max="7" width="50.75" customWidth="1"/>
    <col min="8" max="8" width="20.625" customWidth="1"/>
    <col min="9" max="14" width="20.75" customWidth="1"/>
  </cols>
  <sheetData>
    <row r="1" spans="1:14" ht="13.8" x14ac:dyDescent="0.2">
      <c r="B1" s="143" t="str">
        <f ca="1">IF(ISERROR(RIGHT(CELL("filename",$A$1),LEN(CELL("filename",$A$1))-FIND("]",CELL("filename",$A$1)))),"This workbook never saved",RIGHT(CELL("filename",$A$1),LEN(CELL("filename",$A$1))-FIND("]",CELL("filename",$A$1))))&amp;" :Planned Contributions"</f>
        <v>Partner10 :Planned Contributions</v>
      </c>
    </row>
    <row r="2" spans="1:14" ht="13.2" x14ac:dyDescent="0.2">
      <c r="B2" s="5" t="str">
        <f>Model_Name</f>
        <v>Financial Gap Analysis Tool - País X (Datos de la muestra)</v>
      </c>
    </row>
    <row r="3" spans="1:14" x14ac:dyDescent="0.2">
      <c r="B3" s="425" t="s">
        <v>1</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s="38" customFormat="1" collapsed="1" x14ac:dyDescent="0.2"/>
    <row r="12" spans="1:14" s="38" customFormat="1" ht="24.6" x14ac:dyDescent="0.2">
      <c r="F12" s="198" t="str">
        <f>Partner10</f>
        <v>[No está en uso]</v>
      </c>
      <c r="G12" s="60">
        <v>1</v>
      </c>
    </row>
    <row r="13" spans="1:14" s="38" customFormat="1" x14ac:dyDescent="0.2">
      <c r="G13"/>
    </row>
    <row r="14" spans="1:14" s="38" customFormat="1" x14ac:dyDescent="0.2">
      <c r="A14" s="39" t="s">
        <v>76</v>
      </c>
      <c r="B14" s="40" t="str">
        <f>"Planned Annual Contributions by "&amp;Partner10&amp;" - by Strategic Objective and Result/Indicator"</f>
        <v>Planned Annual Contributions by [No está en uso] - by Strategic Objective and Result/Indicator</v>
      </c>
      <c r="C14" s="40"/>
      <c r="D14" s="40"/>
      <c r="E14" s="40"/>
      <c r="F14" s="40"/>
      <c r="G14" s="40"/>
      <c r="H14" s="40"/>
      <c r="I14" s="40"/>
      <c r="J14" s="40"/>
      <c r="K14" s="40"/>
      <c r="L14" s="40"/>
      <c r="M14" s="40"/>
      <c r="N14" s="40"/>
    </row>
    <row r="19" spans="6:14" s="38" customFormat="1" ht="12" x14ac:dyDescent="0.2">
      <c r="F19" s="416" t="s">
        <v>389</v>
      </c>
      <c r="G19" s="416" t="s">
        <v>399</v>
      </c>
      <c r="H19" s="416" t="s">
        <v>559</v>
      </c>
      <c r="I19" s="409" t="s">
        <v>106</v>
      </c>
      <c r="J19" s="54" t="str">
        <f>CURR_INT_ABBR</f>
        <v>USD</v>
      </c>
      <c r="K19" s="54" t="str">
        <f>CURR_INT_ABBR</f>
        <v>USD</v>
      </c>
      <c r="L19" s="54" t="str">
        <f>CURR_INT_ABBR</f>
        <v>USD</v>
      </c>
      <c r="M19" s="54" t="str">
        <f>CURR_INT_ABBR</f>
        <v>USD</v>
      </c>
      <c r="N19" s="54" t="str">
        <f>CURR_INT_ABBR</f>
        <v>USD</v>
      </c>
    </row>
    <row r="20" spans="6:14" s="38" customFormat="1" ht="22.8" x14ac:dyDescent="0.2">
      <c r="F20" s="447" t="str">
        <f>Strategy1</f>
        <v>Objetivo estratégico 1: Fortalecer la gobernanza de la nutrición</v>
      </c>
      <c r="G20" s="42" t="str">
        <f>STRAT1_IND1</f>
        <v>Se refuerza la coordinación multisectorial en materia de nutrición</v>
      </c>
      <c r="H20" s="260" t="str">
        <f ca="1">OFFSET(Variables_Lu!$D$10,Basic_Setup!H34,0)</f>
        <v>Governance</v>
      </c>
      <c r="I20" s="67">
        <f>SUM(J20:N20)</f>
        <v>0</v>
      </c>
      <c r="J20" s="61"/>
      <c r="K20" s="61"/>
      <c r="L20" s="61"/>
      <c r="M20" s="61"/>
      <c r="N20" s="61"/>
    </row>
    <row r="21" spans="6:14" s="38" customFormat="1" ht="34.200000000000003" x14ac:dyDescent="0.2">
      <c r="F21" s="447"/>
      <c r="G21" s="42" t="str">
        <f>STRAT1_IND2</f>
        <v>Está en funcionamiento el sistema multisectorial de información sobre nutrición para la adopción de decisiones eficaces.</v>
      </c>
      <c r="H21" s="260" t="str">
        <f ca="1">OFFSET(Variables_Lu!$D$10,Basic_Setup!H35,0)</f>
        <v>Governance</v>
      </c>
      <c r="I21" s="67">
        <f>SUM(J21:N21)</f>
        <v>0</v>
      </c>
      <c r="J21" s="61"/>
      <c r="K21" s="61"/>
      <c r="L21" s="61"/>
      <c r="M21" s="61"/>
      <c r="N21" s="61"/>
    </row>
    <row r="22" spans="6:14" s="38" customFormat="1" ht="22.8" x14ac:dyDescent="0.2">
      <c r="F22" s="447"/>
      <c r="G22" s="42" t="str">
        <f>STRAT1_IND3</f>
        <v>La investigación en nutrición se utiliza para aclarar que la toma de decisiones se mejora y se refuerza.</v>
      </c>
      <c r="H22" s="260" t="str">
        <f ca="1">OFFSET(Variables_Lu!$D$10,Basic_Setup!H36,0)</f>
        <v>Governance</v>
      </c>
      <c r="I22" s="67">
        <f t="shared" ref="I22" si="2">SUM(J22:N22)</f>
        <v>0</v>
      </c>
      <c r="J22" s="61"/>
      <c r="K22" s="61"/>
      <c r="L22" s="61"/>
      <c r="M22" s="61"/>
      <c r="N22" s="61"/>
    </row>
    <row r="23" spans="6:14" s="38" customFormat="1" ht="22.8" x14ac:dyDescent="0.2">
      <c r="F23" s="447"/>
      <c r="G23" s="41" t="str">
        <f>STRAT1_IND4</f>
        <v>El marco legislativo y reglamentario de la nutrición se ha fortalecido y está en funcionamiento.</v>
      </c>
      <c r="H23" s="260" t="str">
        <f ca="1">OFFSET(Variables_Lu!$D$10,Basic_Setup!H37,0)</f>
        <v>Governance</v>
      </c>
      <c r="I23" s="67">
        <f>SUM(J23:N23)</f>
        <v>0</v>
      </c>
      <c r="J23" s="61"/>
      <c r="K23" s="61"/>
      <c r="L23" s="61"/>
      <c r="M23" s="61"/>
      <c r="N23" s="61"/>
    </row>
    <row r="24" spans="6:14" s="38" customFormat="1" ht="12" x14ac:dyDescent="0.2">
      <c r="F24" s="448"/>
      <c r="G24" s="41" t="str">
        <f>STRAT1_IND5</f>
        <v>Objetivo estratégico 1 Indicador 5</v>
      </c>
      <c r="H24" s="260" t="str">
        <f ca="1">OFFSET(Variables_Lu!$D$10,Basic_Setup!H38,0)</f>
        <v>Governance</v>
      </c>
      <c r="I24" s="67">
        <f>SUM(J24:N24)</f>
        <v>0</v>
      </c>
      <c r="J24" s="61"/>
      <c r="K24" s="61"/>
      <c r="L24" s="61"/>
      <c r="M24" s="61"/>
      <c r="N24" s="61"/>
    </row>
    <row r="25" spans="6:14" s="38" customFormat="1" ht="12" x14ac:dyDescent="0.2">
      <c r="H25" s="152" t="s">
        <v>107</v>
      </c>
      <c r="I25" s="250">
        <f>SUM(I20:I24)</f>
        <v>0</v>
      </c>
      <c r="J25" s="64">
        <f>SUM(J20:J24)</f>
        <v>0</v>
      </c>
      <c r="K25" s="64">
        <f t="shared" ref="K25:M25" si="3">SUM(K20:K24)</f>
        <v>0</v>
      </c>
      <c r="L25" s="64">
        <f t="shared" si="3"/>
        <v>0</v>
      </c>
      <c r="M25" s="64">
        <f t="shared" si="3"/>
        <v>0</v>
      </c>
      <c r="N25" s="64">
        <f>SUM(N20:N24)</f>
        <v>0</v>
      </c>
    </row>
    <row r="26" spans="6:14" s="38" customFormat="1" ht="45.6" x14ac:dyDescent="0.2">
      <c r="F26" s="447" t="str">
        <f>Strategy2</f>
        <v>Objetivo estratégico 2: Fortalecer el acceso al tratamiento y a los servicios de salud y nutrición de calidad, así como al tratamiento de todas las formas de malnutrición</v>
      </c>
      <c r="G26" s="42" t="str">
        <f>STRAT2_IND1</f>
        <v>Se fortalece el acceso y la utilización sostenible de los servicios de salud y nutrición para los niños menores de 5 años, los adolescentes, las mujeres embarazadas y lactantes, y los demás grupos vulnerables</v>
      </c>
      <c r="H26" s="260" t="str">
        <f ca="1">OFFSET(Variables_Lu!$D$10,Basic_Setup!H40,0)</f>
        <v>Nutrition-specific</v>
      </c>
      <c r="I26" s="67">
        <f>SUM(J26:N26)</f>
        <v>0</v>
      </c>
      <c r="J26" s="61"/>
      <c r="K26" s="61"/>
      <c r="L26" s="61"/>
      <c r="M26" s="61"/>
      <c r="N26" s="61"/>
    </row>
    <row r="27" spans="6:14" s="38" customFormat="1" ht="45.6" x14ac:dyDescent="0.2">
      <c r="F27" s="447"/>
      <c r="G27" s="42" t="str">
        <f>STRAT2_IND2</f>
        <v xml:space="preserve">Se reduce la prevalencia de enfermedades relacionadas con la prevalencia de la malnutrición (paludismo, diarrea, neumonía, parásitos intestinales, VIH, TNM) en lactantes, adolescentes y mujeres en edad reproductiva. </v>
      </c>
      <c r="H27" s="260" t="str">
        <f ca="1">OFFSET(Variables_Lu!$D$10,Basic_Setup!H41,0)</f>
        <v>Nutrition-sensitive</v>
      </c>
      <c r="I27" s="67">
        <f t="shared" ref="I27:I30" si="4">SUM(J27:N27)</f>
        <v>0</v>
      </c>
      <c r="J27" s="61"/>
      <c r="K27" s="61"/>
      <c r="L27" s="61"/>
      <c r="M27" s="61"/>
      <c r="N27" s="61"/>
    </row>
    <row r="28" spans="6:14" s="38" customFormat="1" ht="22.8" x14ac:dyDescent="0.2">
      <c r="F28" s="447"/>
      <c r="G28" s="42" t="str">
        <f>STRAT2_IND3</f>
        <v>Se refuerzan las intervenciones comunitarias en materia de nutrición.</v>
      </c>
      <c r="H28" s="260" t="str">
        <f ca="1">OFFSET(Variables_Lu!$D$10,Basic_Setup!H42,0)</f>
        <v>Nutrition-specific</v>
      </c>
      <c r="I28" s="67">
        <f t="shared" si="4"/>
        <v>0</v>
      </c>
      <c r="J28" s="61"/>
      <c r="K28" s="61"/>
      <c r="L28" s="61"/>
      <c r="M28" s="61"/>
      <c r="N28" s="61"/>
    </row>
    <row r="29" spans="6:14" s="38" customFormat="1" ht="12" x14ac:dyDescent="0.2">
      <c r="F29" s="447"/>
      <c r="G29" s="41" t="str">
        <f>STRAT2_IND4</f>
        <v>Objetivo estratégico 2 Indicador 4</v>
      </c>
      <c r="H29" s="260" t="str">
        <f ca="1">OFFSET(Variables_Lu!$D$10,Basic_Setup!H43,0)</f>
        <v>Nutrition-specific</v>
      </c>
      <c r="I29" s="67">
        <f t="shared" si="4"/>
        <v>0</v>
      </c>
      <c r="J29" s="61"/>
      <c r="K29" s="61"/>
      <c r="L29" s="61"/>
      <c r="M29" s="61"/>
      <c r="N29" s="61"/>
    </row>
    <row r="30" spans="6:14" s="38" customFormat="1" ht="12" x14ac:dyDescent="0.2">
      <c r="F30" s="448"/>
      <c r="G30" s="41" t="str">
        <f>STRAT2_IND5</f>
        <v>Objetivo estratégico 2 Indicador 5</v>
      </c>
      <c r="H30" s="260" t="str">
        <f ca="1">OFFSET(Variables_Lu!$D$10,Basic_Setup!H44,0)</f>
        <v>Nutrition-specific</v>
      </c>
      <c r="I30" s="67">
        <f t="shared" si="4"/>
        <v>0</v>
      </c>
      <c r="J30" s="61"/>
      <c r="K30" s="61"/>
      <c r="L30" s="61"/>
      <c r="M30" s="61"/>
      <c r="N30" s="61"/>
    </row>
    <row r="31" spans="6:14" s="38" customFormat="1" ht="12" x14ac:dyDescent="0.2">
      <c r="H31" s="152" t="s">
        <v>108</v>
      </c>
      <c r="I31" s="250">
        <f t="shared" ref="I31" si="5">SUM(I26:I30)</f>
        <v>0</v>
      </c>
      <c r="J31" s="64">
        <f>SUM(J26:J30)</f>
        <v>0</v>
      </c>
      <c r="K31" s="64">
        <f t="shared" ref="K31:N31" si="6">SUM(K26:K30)</f>
        <v>0</v>
      </c>
      <c r="L31" s="64">
        <f t="shared" si="6"/>
        <v>0</v>
      </c>
      <c r="M31" s="64">
        <f t="shared" si="6"/>
        <v>0</v>
      </c>
      <c r="N31" s="64">
        <f t="shared" si="6"/>
        <v>0</v>
      </c>
    </row>
    <row r="32" spans="6:14" s="38" customFormat="1" ht="22.8" x14ac:dyDescent="0.2">
      <c r="F32" s="447" t="str">
        <f>Strategy3</f>
        <v>Objetivo estratégico 3: Aumentar la disponibilidad y el acceso a alimentos nutritivos de alto valor, seguros y diversificados</v>
      </c>
      <c r="G32" s="42" t="str">
        <f>STRAT3_IND1</f>
        <v xml:space="preserve">Aumenta la disponibilidad y el acceso a alimentos de alto valor nutritivo en los hogares. </v>
      </c>
      <c r="H32" s="260" t="str">
        <f ca="1">OFFSET(Variables_Lu!$D$10,Basic_Setup!H46,0)</f>
        <v>Nutrition-specific</v>
      </c>
      <c r="I32" s="67">
        <f>SUM(J32:N32)</f>
        <v>0</v>
      </c>
      <c r="J32" s="61"/>
      <c r="K32" s="61"/>
      <c r="L32" s="61"/>
      <c r="M32" s="61"/>
      <c r="N32" s="61"/>
    </row>
    <row r="33" spans="6:14" s="38" customFormat="1" ht="22.8" x14ac:dyDescent="0.2">
      <c r="F33" s="447"/>
      <c r="G33" s="42" t="str">
        <f>STRAT3_IND2</f>
        <v xml:space="preserve"> La seguridad alimentaria está garantizada para toda la nación.</v>
      </c>
      <c r="H33" s="260" t="str">
        <f ca="1">OFFSET(Variables_Lu!$D$10,Basic_Setup!H47,0)</f>
        <v>Nutrition-sensitive</v>
      </c>
      <c r="I33" s="67">
        <f t="shared" ref="I33:I36" si="7">SUM(J33:N33)</f>
        <v>0</v>
      </c>
      <c r="J33" s="61"/>
      <c r="K33" s="61"/>
      <c r="L33" s="61"/>
      <c r="M33" s="61"/>
      <c r="N33" s="61"/>
    </row>
    <row r="34" spans="6:14" s="38" customFormat="1" ht="12" x14ac:dyDescent="0.2">
      <c r="F34" s="447"/>
      <c r="G34" s="42" t="str">
        <f>STRAT3_IND3</f>
        <v>Objetivo estratégico 3 Indicador 3</v>
      </c>
      <c r="H34" s="260" t="str">
        <f ca="1">OFFSET(Variables_Lu!$D$10,Basic_Setup!H48,0)</f>
        <v>Nutrition-specific</v>
      </c>
      <c r="I34" s="67">
        <f t="shared" si="7"/>
        <v>0</v>
      </c>
      <c r="J34" s="61"/>
      <c r="K34" s="61"/>
      <c r="L34" s="61"/>
      <c r="M34" s="61"/>
      <c r="N34" s="61"/>
    </row>
    <row r="35" spans="6:14" s="38" customFormat="1" ht="12" x14ac:dyDescent="0.2">
      <c r="F35" s="447"/>
      <c r="G35" s="41" t="str">
        <f>STRAT3_IND4</f>
        <v>Objetivo estratégico 3 Indicador 4</v>
      </c>
      <c r="H35" s="260" t="str">
        <f ca="1">OFFSET(Variables_Lu!$D$10,Basic_Setup!H49,0)</f>
        <v>Nutrition-specific</v>
      </c>
      <c r="I35" s="67">
        <f t="shared" si="7"/>
        <v>0</v>
      </c>
      <c r="J35" s="61"/>
      <c r="K35" s="61"/>
      <c r="L35" s="61"/>
      <c r="M35" s="61"/>
      <c r="N35" s="61"/>
    </row>
    <row r="36" spans="6:14" s="38" customFormat="1" ht="12" x14ac:dyDescent="0.2">
      <c r="F36" s="448"/>
      <c r="G36" s="41" t="str">
        <f>STRAT3_IND5</f>
        <v>Objetivo estratégico 3 Indicador 5</v>
      </c>
      <c r="H36" s="260" t="str">
        <f ca="1">OFFSET(Variables_Lu!$D$10,Basic_Setup!H50,0)</f>
        <v>Nutrition-specific</v>
      </c>
      <c r="I36" s="67">
        <f t="shared" si="7"/>
        <v>0</v>
      </c>
      <c r="J36" s="61"/>
      <c r="K36" s="61"/>
      <c r="L36" s="61"/>
      <c r="M36" s="61"/>
      <c r="N36" s="61"/>
    </row>
    <row r="37" spans="6:14" ht="12" x14ac:dyDescent="0.2">
      <c r="H37" s="152" t="s">
        <v>109</v>
      </c>
      <c r="I37" s="250">
        <f>SUM(I32:I36)</f>
        <v>0</v>
      </c>
      <c r="J37" s="64">
        <f>SUM(J32:J36)</f>
        <v>0</v>
      </c>
      <c r="K37" s="64">
        <f t="shared" ref="K37:N37" si="8">SUM(K32:K36)</f>
        <v>0</v>
      </c>
      <c r="L37" s="64">
        <f t="shared" si="8"/>
        <v>0</v>
      </c>
      <c r="M37" s="64">
        <f t="shared" si="8"/>
        <v>0</v>
      </c>
      <c r="N37" s="64">
        <f t="shared" si="8"/>
        <v>0</v>
      </c>
    </row>
    <row r="38" spans="6:14" ht="34.200000000000003" x14ac:dyDescent="0.2">
      <c r="F38" s="447" t="str">
        <f>Strategy4</f>
        <v>Objetivo estratégico 4: Fortalecer la protección social, la resiliencia de la respuesta a las emergencias y los desastres naturales.</v>
      </c>
      <c r="G38" s="42" t="str">
        <f>STRAT4_IND1</f>
        <v xml:space="preserve">Se garantiza la protección social de los niños menores de 5 años, los adolescentes, FE/FA y otros grupos vulnerables. </v>
      </c>
      <c r="H38" s="260" t="str">
        <f ca="1">OFFSET(Variables_Lu!$D$10,Basic_Setup!H52,0)</f>
        <v>Nutrition-sensitive</v>
      </c>
      <c r="I38" s="67">
        <f>SUM(J38:N38)</f>
        <v>0</v>
      </c>
      <c r="J38" s="61"/>
      <c r="K38" s="61"/>
      <c r="L38" s="61"/>
      <c r="M38" s="61"/>
      <c r="N38" s="61"/>
    </row>
    <row r="39" spans="6:14" ht="34.200000000000003" x14ac:dyDescent="0.2">
      <c r="F39" s="447"/>
      <c r="G39" s="42" t="str">
        <f>STRAT4_IND2</f>
        <v xml:space="preserve">Se fortalece la capacidad de resiliencia y el estado nutricional de las poblaciones vulnerables, incluidos los niños de las zonas desfavorecidas.  </v>
      </c>
      <c r="H39" s="260" t="str">
        <f ca="1">OFFSET(Variables_Lu!$D$10,Basic_Setup!H53,0)</f>
        <v>Nutrition-specific</v>
      </c>
      <c r="I39" s="67">
        <f t="shared" ref="I39:I42" si="9">SUM(J39:N39)</f>
        <v>0</v>
      </c>
      <c r="J39" s="61"/>
      <c r="K39" s="61"/>
      <c r="L39" s="61"/>
      <c r="M39" s="61"/>
      <c r="N39" s="61"/>
    </row>
    <row r="40" spans="6:14" ht="34.200000000000003" x14ac:dyDescent="0.2">
      <c r="F40" s="447"/>
      <c r="G40" s="42" t="str">
        <f>STRAT4_IND3</f>
        <v xml:space="preserve"> Se introducen eficazmente intervenciones para emergencias y catástrofes naturales integrales de la nutrición.</v>
      </c>
      <c r="H40" s="260" t="str">
        <f ca="1">OFFSET(Variables_Lu!$D$10,Basic_Setup!H54,0)</f>
        <v>Nutrition-specific</v>
      </c>
      <c r="I40" s="67">
        <f>SUM(J40:N40)</f>
        <v>0</v>
      </c>
      <c r="J40" s="61"/>
      <c r="K40" s="61"/>
      <c r="L40" s="61"/>
      <c r="M40" s="61"/>
      <c r="N40" s="61"/>
    </row>
    <row r="41" spans="6:14" ht="12" x14ac:dyDescent="0.2">
      <c r="F41" s="447"/>
      <c r="G41" s="41" t="str">
        <f>STRAT4_IND4</f>
        <v>Objetivo estratégico 4 Indicador 4</v>
      </c>
      <c r="H41" s="260" t="str">
        <f ca="1">OFFSET(Variables_Lu!$D$10,Basic_Setup!H55,0)</f>
        <v>Nutrition-specific</v>
      </c>
      <c r="I41" s="67">
        <f>SUM(J41:N41)</f>
        <v>0</v>
      </c>
      <c r="J41" s="61"/>
      <c r="K41" s="61"/>
      <c r="L41" s="61"/>
      <c r="M41" s="61"/>
      <c r="N41" s="61"/>
    </row>
    <row r="42" spans="6:14" ht="12" x14ac:dyDescent="0.2">
      <c r="F42" s="448"/>
      <c r="G42" s="41" t="str">
        <f>STRAT4_IND5</f>
        <v>Objetivo estratégico 4 Indicador 5</v>
      </c>
      <c r="H42" s="260" t="str">
        <f ca="1">OFFSET(Variables_Lu!$D$10,Basic_Setup!H56,0)</f>
        <v>Nutrition-specific</v>
      </c>
      <c r="I42" s="67">
        <f t="shared" si="9"/>
        <v>0</v>
      </c>
      <c r="J42" s="61"/>
      <c r="K42" s="61"/>
      <c r="L42" s="61"/>
      <c r="M42" s="61"/>
      <c r="N42" s="61"/>
    </row>
    <row r="43" spans="6:14" ht="12" x14ac:dyDescent="0.2">
      <c r="H43" s="152" t="s">
        <v>110</v>
      </c>
      <c r="I43" s="250">
        <f>SUM(I38:I42)</f>
        <v>0</v>
      </c>
      <c r="J43" s="64">
        <f>SUM(J38:J42)</f>
        <v>0</v>
      </c>
      <c r="K43" s="64">
        <f t="shared" ref="K43:N43" si="10">SUM(K38:K42)</f>
        <v>0</v>
      </c>
      <c r="L43" s="64">
        <f t="shared" si="10"/>
        <v>0</v>
      </c>
      <c r="M43" s="64">
        <f t="shared" si="10"/>
        <v>0</v>
      </c>
      <c r="N43" s="64">
        <f t="shared" si="10"/>
        <v>0</v>
      </c>
    </row>
    <row r="44" spans="6:14" ht="34.200000000000003" x14ac:dyDescent="0.2">
      <c r="F44" s="447" t="str">
        <f>Strategy5</f>
        <v xml:space="preserve">Objetivo estratégico 5: Promoción de prácticas favorables a una nutrición óptima, de higiene y saneamiento básico. </v>
      </c>
      <c r="G44" s="42" t="str">
        <f>STRAT5_IND1</f>
        <v>Se mejoran las prácticas nutricionales favorables para los niños menores de 5 años, los adolescentes, las mujeres embarazadas y lactantes, y otros grupos vulnerables.</v>
      </c>
      <c r="H44" s="260" t="str">
        <f ca="1">OFFSET(Variables_Lu!$D$10,Basic_Setup!H58,0)</f>
        <v>Nutrition-specific</v>
      </c>
      <c r="I44" s="67">
        <f>SUM(J44:N44)</f>
        <v>0</v>
      </c>
      <c r="J44" s="61"/>
      <c r="K44" s="61"/>
      <c r="L44" s="61"/>
      <c r="M44" s="61"/>
      <c r="N44" s="61"/>
    </row>
    <row r="45" spans="6:14" ht="22.8" x14ac:dyDescent="0.2">
      <c r="F45" s="447"/>
      <c r="G45" s="42" t="str">
        <f>STRAT5_IND2</f>
        <v>Se promueven dietas saludables y estilos de vida saludables para las personas.</v>
      </c>
      <c r="H45" s="260" t="str">
        <f ca="1">OFFSET(Variables_Lu!$D$10,Basic_Setup!H59,0)</f>
        <v>Nutrition-specific</v>
      </c>
      <c r="I45" s="67">
        <f t="shared" ref="I45:I48" si="11">SUM(J45:N45)</f>
        <v>0</v>
      </c>
      <c r="J45" s="61"/>
      <c r="K45" s="61"/>
      <c r="L45" s="61"/>
      <c r="M45" s="61"/>
      <c r="N45" s="61"/>
    </row>
    <row r="46" spans="6:14" ht="22.8" x14ac:dyDescent="0.2">
      <c r="F46" s="447"/>
      <c r="G46" s="42" t="str">
        <f>STRAT5_IND3</f>
        <v>Se promueven las buenas prácticas WASH a nivel comunitario y doméstico</v>
      </c>
      <c r="H46" s="260" t="str">
        <f ca="1">OFFSET(Variables_Lu!$D$10,Basic_Setup!H60,0)</f>
        <v>Nutrition-sensitive</v>
      </c>
      <c r="I46" s="67">
        <f t="shared" si="11"/>
        <v>0</v>
      </c>
      <c r="J46" s="61"/>
      <c r="K46" s="61"/>
      <c r="L46" s="61"/>
      <c r="M46" s="61"/>
      <c r="N46" s="61"/>
    </row>
    <row r="47" spans="6:14" ht="12" x14ac:dyDescent="0.2">
      <c r="F47" s="447"/>
      <c r="G47" s="41" t="str">
        <f>STRAT5_IND4</f>
        <v>Objetivo estratégico 5 Indicador 4</v>
      </c>
      <c r="H47" s="260" t="str">
        <f ca="1">OFFSET(Variables_Lu!$D$10,Basic_Setup!H61,0)</f>
        <v>Nutrition-specific</v>
      </c>
      <c r="I47" s="67">
        <f t="shared" si="11"/>
        <v>0</v>
      </c>
      <c r="J47" s="61"/>
      <c r="K47" s="61"/>
      <c r="L47" s="61"/>
      <c r="M47" s="61"/>
      <c r="N47" s="61"/>
    </row>
    <row r="48" spans="6:14" ht="12" x14ac:dyDescent="0.2">
      <c r="F48" s="448"/>
      <c r="G48" s="41" t="str">
        <f>STRAT5_IND5</f>
        <v>Objetivo estratégico 5 Indicador 5</v>
      </c>
      <c r="H48" s="260" t="str">
        <f ca="1">OFFSET(Variables_Lu!$D$10,Basic_Setup!H62,0)</f>
        <v>Nutrition-specific</v>
      </c>
      <c r="I48" s="67">
        <f t="shared" si="11"/>
        <v>0</v>
      </c>
      <c r="J48" s="61"/>
      <c r="K48" s="61"/>
      <c r="L48" s="61"/>
      <c r="M48" s="61"/>
      <c r="N48" s="61"/>
    </row>
    <row r="49" spans="6:14" ht="12" x14ac:dyDescent="0.2">
      <c r="H49" s="152" t="s">
        <v>111</v>
      </c>
      <c r="I49" s="250">
        <f>SUM(I44:I48)</f>
        <v>0</v>
      </c>
      <c r="J49" s="64">
        <f>SUM(J44:J48)</f>
        <v>0</v>
      </c>
      <c r="K49" s="64">
        <f t="shared" ref="K49:N49" si="12">SUM(K44:K48)</f>
        <v>0</v>
      </c>
      <c r="L49" s="64">
        <f t="shared" si="12"/>
        <v>0</v>
      </c>
      <c r="M49" s="64">
        <f t="shared" si="12"/>
        <v>0</v>
      </c>
      <c r="N49" s="64">
        <f t="shared" si="12"/>
        <v>0</v>
      </c>
    </row>
    <row r="50" spans="6:14" ht="12" x14ac:dyDescent="0.2">
      <c r="F50" s="447" t="str">
        <f>Strategy6</f>
        <v>Objetivo estratégico 6: [No está en uso]</v>
      </c>
      <c r="G50" s="42" t="str">
        <f>STRAT6_IND1</f>
        <v>Objetivo estratégico 6 Indicador 1</v>
      </c>
      <c r="H50" s="260" t="str">
        <f ca="1">OFFSET(Variables_Lu!$D$10,Basic_Setup!H64,0)</f>
        <v>Nutrition-specific</v>
      </c>
      <c r="I50" s="67">
        <f>SUM(J50:N50)</f>
        <v>0</v>
      </c>
      <c r="J50" s="61"/>
      <c r="K50" s="61"/>
      <c r="L50" s="61"/>
      <c r="M50" s="61"/>
      <c r="N50" s="61"/>
    </row>
    <row r="51" spans="6:14" ht="12" x14ac:dyDescent="0.2">
      <c r="F51" s="447"/>
      <c r="G51" s="42" t="str">
        <f>STRAT6_IND2</f>
        <v>Objetivo estratégico 6 Indicador 2</v>
      </c>
      <c r="H51" s="260" t="str">
        <f ca="1">OFFSET(Variables_Lu!$D$10,Basic_Setup!H65,0)</f>
        <v>Nutrition-specific</v>
      </c>
      <c r="I51" s="67">
        <f>SUM(J51:N51)</f>
        <v>0</v>
      </c>
      <c r="J51" s="61"/>
      <c r="K51" s="61"/>
      <c r="L51" s="61"/>
      <c r="M51" s="61"/>
      <c r="N51" s="61"/>
    </row>
    <row r="52" spans="6:14" ht="12" x14ac:dyDescent="0.2">
      <c r="F52" s="447"/>
      <c r="G52" s="42" t="str">
        <f>STRAT6_IND3</f>
        <v>Objetivo estratégico 6 Indicador 3</v>
      </c>
      <c r="H52" s="260" t="str">
        <f ca="1">OFFSET(Variables_Lu!$D$10,Basic_Setup!H66,0)</f>
        <v>Nutrition-specific</v>
      </c>
      <c r="I52" s="67">
        <f>SUM(J52:N52)</f>
        <v>0</v>
      </c>
      <c r="J52" s="61"/>
      <c r="K52" s="61"/>
      <c r="L52" s="61"/>
      <c r="M52" s="61"/>
      <c r="N52" s="61"/>
    </row>
    <row r="53" spans="6:14" ht="12" x14ac:dyDescent="0.2">
      <c r="F53" s="447"/>
      <c r="G53" s="41" t="str">
        <f>STRAT6_IND4</f>
        <v>Objetivo estratégico 6 Indicador 4</v>
      </c>
      <c r="H53" s="260" t="str">
        <f ca="1">OFFSET(Variables_Lu!$D$10,Basic_Setup!H67,0)</f>
        <v>Nutrition-specific</v>
      </c>
      <c r="I53" s="67">
        <f>SUM(J53:N53)</f>
        <v>0</v>
      </c>
      <c r="J53" s="61"/>
      <c r="K53" s="61"/>
      <c r="L53" s="61"/>
      <c r="M53" s="61"/>
      <c r="N53" s="61"/>
    </row>
    <row r="54" spans="6:14" ht="12" x14ac:dyDescent="0.2">
      <c r="F54" s="448"/>
      <c r="G54" s="41" t="str">
        <f>STRAT6_IND5</f>
        <v>Objetivo estratégico 6 Indicador 5</v>
      </c>
      <c r="H54" s="260" t="str">
        <f ca="1">OFFSET(Variables_Lu!$D$10,Basic_Setup!H68,0)</f>
        <v>Nutrition-specific</v>
      </c>
      <c r="I54" s="67">
        <f>SUM(J54:N54)</f>
        <v>0</v>
      </c>
      <c r="J54" s="61"/>
      <c r="K54" s="61"/>
      <c r="L54" s="61"/>
      <c r="M54" s="61"/>
      <c r="N54" s="61"/>
    </row>
    <row r="55" spans="6:14" ht="12" x14ac:dyDescent="0.2">
      <c r="H55" s="152" t="s">
        <v>159</v>
      </c>
      <c r="I55" s="250">
        <f t="shared" ref="I55" si="13">SUM(I50:I54)</f>
        <v>0</v>
      </c>
      <c r="J55" s="64">
        <f t="shared" ref="J55:N55" si="14">SUM(J50:J54)</f>
        <v>0</v>
      </c>
      <c r="K55" s="64">
        <f t="shared" si="14"/>
        <v>0</v>
      </c>
      <c r="L55" s="64">
        <f t="shared" si="14"/>
        <v>0</v>
      </c>
      <c r="M55" s="64">
        <f t="shared" si="14"/>
        <v>0</v>
      </c>
      <c r="N55" s="64">
        <f t="shared" si="14"/>
        <v>0</v>
      </c>
    </row>
    <row r="56" spans="6:14" ht="12" x14ac:dyDescent="0.2">
      <c r="F56" s="447" t="str">
        <f>Strategy7</f>
        <v>Objetivo estratégico 7: [No está en uso]</v>
      </c>
      <c r="G56" s="42" t="str">
        <f>STRAT7_IND1</f>
        <v>Objetivo estratégico 7 Indicador 1</v>
      </c>
      <c r="H56" s="260" t="str">
        <f ca="1">OFFSET(Variables_Lu!$D$10,Basic_Setup!H70,0)</f>
        <v>Nutrition-specific</v>
      </c>
      <c r="I56" s="67">
        <f>SUM(J56:N56)</f>
        <v>0</v>
      </c>
      <c r="J56" s="61"/>
      <c r="K56" s="61"/>
      <c r="L56" s="61"/>
      <c r="M56" s="61"/>
      <c r="N56" s="61"/>
    </row>
    <row r="57" spans="6:14" ht="12" x14ac:dyDescent="0.2">
      <c r="F57" s="447"/>
      <c r="G57" s="42" t="str">
        <f>STRAT7_IND2</f>
        <v>Objetivo estratégico 7 Indicador 2</v>
      </c>
      <c r="H57" s="260" t="str">
        <f ca="1">OFFSET(Variables_Lu!$D$10,Basic_Setup!H71,0)</f>
        <v>Nutrition-specific</v>
      </c>
      <c r="I57" s="67">
        <f>SUM(J57:N57)</f>
        <v>0</v>
      </c>
      <c r="J57" s="61"/>
      <c r="K57" s="61"/>
      <c r="L57" s="61"/>
      <c r="M57" s="61"/>
      <c r="N57" s="61"/>
    </row>
    <row r="58" spans="6:14" ht="12" x14ac:dyDescent="0.2">
      <c r="F58" s="447"/>
      <c r="G58" s="42" t="str">
        <f>STRAT7_IND3</f>
        <v>Objetivo estratégico 7 Indicador 3</v>
      </c>
      <c r="H58" s="260" t="str">
        <f ca="1">OFFSET(Variables_Lu!$D$10,Basic_Setup!H72,0)</f>
        <v>Nutrition-specific</v>
      </c>
      <c r="I58" s="67">
        <f>SUM(J58:N58)</f>
        <v>0</v>
      </c>
      <c r="J58" s="61"/>
      <c r="K58" s="61"/>
      <c r="L58" s="61"/>
      <c r="M58" s="61"/>
      <c r="N58" s="61"/>
    </row>
    <row r="59" spans="6:14" ht="12" x14ac:dyDescent="0.2">
      <c r="F59" s="447"/>
      <c r="G59" s="41" t="str">
        <f>STRAT7_IND4</f>
        <v>Objetivo estratégico 7 Indicador 4</v>
      </c>
      <c r="H59" s="260" t="str">
        <f ca="1">OFFSET(Variables_Lu!$D$10,Basic_Setup!H73,0)</f>
        <v>Nutrition-specific</v>
      </c>
      <c r="I59" s="67">
        <f>SUM(J59:N59)</f>
        <v>0</v>
      </c>
      <c r="J59" s="61"/>
      <c r="K59" s="61"/>
      <c r="L59" s="61"/>
      <c r="M59" s="61"/>
      <c r="N59" s="61"/>
    </row>
    <row r="60" spans="6:14" ht="12" x14ac:dyDescent="0.2">
      <c r="F60" s="448"/>
      <c r="G60" s="41" t="str">
        <f>STRAT7_IND5</f>
        <v>Objetivo estratégico 7 Indicador 5</v>
      </c>
      <c r="H60" s="260" t="str">
        <f ca="1">OFFSET(Variables_Lu!$D$10,Basic_Setup!H74,0)</f>
        <v>Nutrition-specific</v>
      </c>
      <c r="I60" s="67">
        <f>SUM(J60:N60)</f>
        <v>0</v>
      </c>
      <c r="J60" s="61"/>
      <c r="K60" s="61"/>
      <c r="L60" s="61"/>
      <c r="M60" s="61"/>
      <c r="N60" s="61"/>
    </row>
    <row r="61" spans="6:14" ht="12" x14ac:dyDescent="0.2">
      <c r="H61" s="152" t="s">
        <v>160</v>
      </c>
      <c r="I61" s="250">
        <f t="shared" ref="I61" si="15">SUM(I56:I60)</f>
        <v>0</v>
      </c>
      <c r="J61" s="64">
        <f t="shared" ref="J61:N61" si="16">SUM(J56:J60)</f>
        <v>0</v>
      </c>
      <c r="K61" s="64">
        <f t="shared" si="16"/>
        <v>0</v>
      </c>
      <c r="L61" s="64">
        <f t="shared" si="16"/>
        <v>0</v>
      </c>
      <c r="M61" s="64">
        <f t="shared" si="16"/>
        <v>0</v>
      </c>
      <c r="N61" s="64">
        <f t="shared" si="16"/>
        <v>0</v>
      </c>
    </row>
    <row r="62" spans="6:14" ht="12" x14ac:dyDescent="0.2">
      <c r="F62" s="447" t="str">
        <f>Strategy8</f>
        <v>Objetivo estratégico 8: [No está en uso]</v>
      </c>
      <c r="G62" s="42" t="str">
        <f>STRAT8_IND1</f>
        <v>Objetivo estratégico 8 Indicador 1</v>
      </c>
      <c r="H62" s="260" t="str">
        <f ca="1">OFFSET(Variables_Lu!$D$10,Basic_Setup!H76,0)</f>
        <v>Nutrition-specific</v>
      </c>
      <c r="I62" s="67">
        <f>SUM(J62:N62)</f>
        <v>0</v>
      </c>
      <c r="J62" s="61"/>
      <c r="K62" s="61"/>
      <c r="L62" s="61"/>
      <c r="M62" s="61"/>
      <c r="N62" s="61"/>
    </row>
    <row r="63" spans="6:14" ht="12" x14ac:dyDescent="0.2">
      <c r="F63" s="447"/>
      <c r="G63" s="42" t="str">
        <f>STRAT8_IND2</f>
        <v>Objetivo estratégico 8 Indicador 2</v>
      </c>
      <c r="H63" s="260" t="str">
        <f ca="1">OFFSET(Variables_Lu!$D$10,Basic_Setup!H77,0)</f>
        <v>Nutrition-specific</v>
      </c>
      <c r="I63" s="67">
        <f>SUM(J63:N63)</f>
        <v>0</v>
      </c>
      <c r="J63" s="61"/>
      <c r="K63" s="61"/>
      <c r="L63" s="61"/>
      <c r="M63" s="61"/>
      <c r="N63" s="61"/>
    </row>
    <row r="64" spans="6:14" ht="12" x14ac:dyDescent="0.2">
      <c r="F64" s="447"/>
      <c r="G64" s="42" t="str">
        <f>STRAT8_IND3</f>
        <v>Objetivo estratégico 8 Indicador 3</v>
      </c>
      <c r="H64" s="260" t="str">
        <f ca="1">OFFSET(Variables_Lu!$D$10,Basic_Setup!H78,0)</f>
        <v>Nutrition-specific</v>
      </c>
      <c r="I64" s="67">
        <f>SUM(J64:N64)</f>
        <v>0</v>
      </c>
      <c r="J64" s="61"/>
      <c r="K64" s="61"/>
      <c r="L64" s="61"/>
      <c r="M64" s="61"/>
      <c r="N64" s="61"/>
    </row>
    <row r="65" spans="6:14" ht="12" x14ac:dyDescent="0.2">
      <c r="F65" s="447"/>
      <c r="G65" s="41" t="str">
        <f>STRAT8_IND4</f>
        <v>Objetivo estratégico 8 Indicador 4</v>
      </c>
      <c r="H65" s="260" t="str">
        <f ca="1">OFFSET(Variables_Lu!$D$10,Basic_Setup!H79,0)</f>
        <v>Nutrition-specific</v>
      </c>
      <c r="I65" s="67">
        <f>SUM(J65:N65)</f>
        <v>0</v>
      </c>
      <c r="J65" s="61"/>
      <c r="K65" s="61"/>
      <c r="L65" s="61"/>
      <c r="M65" s="61"/>
      <c r="N65" s="61"/>
    </row>
    <row r="66" spans="6:14" ht="12" x14ac:dyDescent="0.2">
      <c r="F66" s="448"/>
      <c r="G66" s="41" t="str">
        <f>STRAT8_IND5</f>
        <v>Objetivo estratégico 8 Indicador 5</v>
      </c>
      <c r="H66" s="260" t="str">
        <f ca="1">OFFSET(Variables_Lu!$D$10,Basic_Setup!H80,0)</f>
        <v>Nutrition-specific</v>
      </c>
      <c r="I66" s="67">
        <f>SUM(J66:N66)</f>
        <v>0</v>
      </c>
      <c r="J66" s="61"/>
      <c r="K66" s="61"/>
      <c r="L66" s="61"/>
      <c r="M66" s="61"/>
      <c r="N66" s="61"/>
    </row>
    <row r="67" spans="6:14" ht="12" x14ac:dyDescent="0.2">
      <c r="H67" s="152" t="s">
        <v>161</v>
      </c>
      <c r="I67" s="250">
        <f t="shared" ref="I67" si="17">SUM(I62:I66)</f>
        <v>0</v>
      </c>
      <c r="J67" s="64">
        <f t="shared" ref="J67:N67" si="18">SUM(J62:J66)</f>
        <v>0</v>
      </c>
      <c r="K67" s="64">
        <f t="shared" si="18"/>
        <v>0</v>
      </c>
      <c r="L67" s="64">
        <f t="shared" si="18"/>
        <v>0</v>
      </c>
      <c r="M67" s="64">
        <f t="shared" si="18"/>
        <v>0</v>
      </c>
      <c r="N67" s="64">
        <f t="shared" si="18"/>
        <v>0</v>
      </c>
    </row>
    <row r="68" spans="6:14" ht="12" x14ac:dyDescent="0.2">
      <c r="F68" s="447" t="str">
        <f>Strategy9</f>
        <v>Objetivo estratégico 9: [No está en uso]</v>
      </c>
      <c r="G68" s="42" t="str">
        <f>STRAT9_IND1</f>
        <v>Objetivo estratégico 9 Indicador 1</v>
      </c>
      <c r="H68" s="260" t="str">
        <f ca="1">OFFSET(Variables_Lu!$D$10,Basic_Setup!H82,0)</f>
        <v>Nutrition-specific</v>
      </c>
      <c r="I68" s="67">
        <f>SUM(J68:N68)</f>
        <v>0</v>
      </c>
      <c r="J68" s="61"/>
      <c r="K68" s="61"/>
      <c r="L68" s="61"/>
      <c r="M68" s="61"/>
      <c r="N68" s="61"/>
    </row>
    <row r="69" spans="6:14" ht="12" x14ac:dyDescent="0.2">
      <c r="F69" s="447"/>
      <c r="G69" s="42" t="str">
        <f>STRAT9_IND2</f>
        <v>Objetivo estratégico 9 Indicador 2</v>
      </c>
      <c r="H69" s="260" t="str">
        <f ca="1">OFFSET(Variables_Lu!$D$10,Basic_Setup!H83,0)</f>
        <v>Nutrition-specific</v>
      </c>
      <c r="I69" s="67">
        <f>SUM(J69:N69)</f>
        <v>0</v>
      </c>
      <c r="J69" s="61"/>
      <c r="K69" s="61"/>
      <c r="L69" s="61"/>
      <c r="M69" s="61"/>
      <c r="N69" s="61"/>
    </row>
    <row r="70" spans="6:14" ht="12" x14ac:dyDescent="0.2">
      <c r="F70" s="447"/>
      <c r="G70" s="42" t="str">
        <f>STRAT9_IND3</f>
        <v>Objetivo estratégico 9 Indicador 3</v>
      </c>
      <c r="H70" s="260" t="str">
        <f ca="1">OFFSET(Variables_Lu!$D$10,Basic_Setup!H84,0)</f>
        <v>Nutrition-specific</v>
      </c>
      <c r="I70" s="67">
        <f>SUM(J70:N70)</f>
        <v>0</v>
      </c>
      <c r="J70" s="61"/>
      <c r="K70" s="61"/>
      <c r="L70" s="61"/>
      <c r="M70" s="61"/>
      <c r="N70" s="61"/>
    </row>
    <row r="71" spans="6:14" ht="12" x14ac:dyDescent="0.2">
      <c r="F71" s="447"/>
      <c r="G71" s="41" t="str">
        <f>STRAT9_IND4</f>
        <v>Objetivo estratégico 9 Indicador 4</v>
      </c>
      <c r="H71" s="260" t="str">
        <f ca="1">OFFSET(Variables_Lu!$D$10,Basic_Setup!H85,0)</f>
        <v>Nutrition-specific</v>
      </c>
      <c r="I71" s="67">
        <f>SUM(J71:N71)</f>
        <v>0</v>
      </c>
      <c r="J71" s="61"/>
      <c r="K71" s="61"/>
      <c r="L71" s="61"/>
      <c r="M71" s="61"/>
      <c r="N71" s="61"/>
    </row>
    <row r="72" spans="6:14" ht="12" x14ac:dyDescent="0.2">
      <c r="F72" s="448"/>
      <c r="G72" s="41" t="str">
        <f>STRAT9_IND5</f>
        <v>Objetivo estratégico 9 Indicador 5</v>
      </c>
      <c r="H72" s="260" t="str">
        <f ca="1">OFFSET(Variables_Lu!$D$10,Basic_Setup!H86,0)</f>
        <v>Nutrition-specific</v>
      </c>
      <c r="I72" s="67">
        <f>SUM(J72:N72)</f>
        <v>0</v>
      </c>
      <c r="J72" s="61"/>
      <c r="K72" s="61"/>
      <c r="L72" s="61"/>
      <c r="M72" s="61"/>
      <c r="N72" s="61"/>
    </row>
    <row r="73" spans="6:14" ht="12" x14ac:dyDescent="0.2">
      <c r="H73" s="152" t="s">
        <v>162</v>
      </c>
      <c r="I73" s="250">
        <f t="shared" ref="I73" si="19">SUM(I68:I72)</f>
        <v>0</v>
      </c>
      <c r="J73" s="64">
        <f t="shared" ref="J73:N73" si="20">SUM(J68:J72)</f>
        <v>0</v>
      </c>
      <c r="K73" s="64">
        <f t="shared" si="20"/>
        <v>0</v>
      </c>
      <c r="L73" s="64">
        <f t="shared" si="20"/>
        <v>0</v>
      </c>
      <c r="M73" s="64">
        <f t="shared" si="20"/>
        <v>0</v>
      </c>
      <c r="N73" s="64">
        <f t="shared" si="20"/>
        <v>0</v>
      </c>
    </row>
    <row r="74" spans="6:14" ht="12" x14ac:dyDescent="0.2">
      <c r="F74" s="447" t="str">
        <f>Strategy10</f>
        <v>Objetivo estratégico 10: [No está en uso]</v>
      </c>
      <c r="G74" s="42" t="str">
        <f>STRAT10_IND1</f>
        <v>Objetivo estratégico 10 Indicador 1</v>
      </c>
      <c r="H74" s="260" t="str">
        <f ca="1">OFFSET(Variables_Lu!$D$10,Basic_Setup!H88,0)</f>
        <v>Nutrition-specific</v>
      </c>
      <c r="I74" s="67">
        <f>SUM(J74:N74)</f>
        <v>0</v>
      </c>
      <c r="J74" s="61"/>
      <c r="K74" s="61"/>
      <c r="L74" s="61"/>
      <c r="M74" s="61"/>
      <c r="N74" s="61"/>
    </row>
    <row r="75" spans="6:14" ht="12" x14ac:dyDescent="0.2">
      <c r="F75" s="447"/>
      <c r="G75" s="42" t="str">
        <f>STRAT10_IND2</f>
        <v>Objetivo estratégico 10 Indicador 2</v>
      </c>
      <c r="H75" s="260" t="str">
        <f ca="1">OFFSET(Variables_Lu!$D$10,Basic_Setup!H89,0)</f>
        <v>Nutrition-specific</v>
      </c>
      <c r="I75" s="67">
        <f>SUM(J75:N75)</f>
        <v>0</v>
      </c>
      <c r="J75" s="61"/>
      <c r="K75" s="61"/>
      <c r="L75" s="61"/>
      <c r="M75" s="61"/>
      <c r="N75" s="61"/>
    </row>
    <row r="76" spans="6:14" ht="12" x14ac:dyDescent="0.2">
      <c r="F76" s="447"/>
      <c r="G76" s="42" t="str">
        <f>STRAT10_IND3</f>
        <v>Objetivo estratégico 10 Indicador 3</v>
      </c>
      <c r="H76" s="260" t="str">
        <f ca="1">OFFSET(Variables_Lu!$D$10,Basic_Setup!H90,0)</f>
        <v>Nutrition-specific</v>
      </c>
      <c r="I76" s="67">
        <f>SUM(J76:N76)</f>
        <v>0</v>
      </c>
      <c r="J76" s="61"/>
      <c r="K76" s="61"/>
      <c r="L76" s="61"/>
      <c r="M76" s="61"/>
      <c r="N76" s="61"/>
    </row>
    <row r="77" spans="6:14" ht="11.25" customHeight="1" x14ac:dyDescent="0.2">
      <c r="F77" s="447"/>
      <c r="G77" s="41" t="str">
        <f>STRAT10_IND4</f>
        <v>Objetivo estratégico 10 Indicador 4</v>
      </c>
      <c r="H77" s="260" t="str">
        <f ca="1">OFFSET(Variables_Lu!$D$10,Basic_Setup!H91,0)</f>
        <v>Nutrition-specific</v>
      </c>
      <c r="I77" s="67">
        <f>SUM(J77:N77)</f>
        <v>0</v>
      </c>
      <c r="J77" s="61"/>
      <c r="K77" s="61"/>
      <c r="L77" s="61"/>
      <c r="M77" s="61"/>
      <c r="N77" s="61"/>
    </row>
    <row r="78" spans="6:14" ht="11.25" customHeight="1" x14ac:dyDescent="0.2">
      <c r="F78" s="448"/>
      <c r="G78" s="41" t="str">
        <f>STRAT10_IND5</f>
        <v>Objetivo estratégico 10 Indicador 5</v>
      </c>
      <c r="H78" s="260" t="str">
        <f ca="1">OFFSET(Variables_Lu!$D$10,Basic_Setup!H92,0)</f>
        <v>Nutrition-specific</v>
      </c>
      <c r="I78" s="67">
        <f>SUM(J78:N78)</f>
        <v>0</v>
      </c>
      <c r="J78" s="61"/>
      <c r="K78" s="61"/>
      <c r="L78" s="61"/>
      <c r="M78" s="61"/>
      <c r="N78" s="61"/>
    </row>
    <row r="79" spans="6:14" ht="11.25" customHeight="1" x14ac:dyDescent="0.2">
      <c r="H79" s="152" t="s">
        <v>163</v>
      </c>
      <c r="I79" s="250">
        <f>SUM(I74:I78)</f>
        <v>0</v>
      </c>
      <c r="J79" s="64">
        <f>SUM(J74:J78)</f>
        <v>0</v>
      </c>
      <c r="K79" s="64">
        <f t="shared" ref="K79:N79" si="21">SUM(K74:K78)</f>
        <v>0</v>
      </c>
      <c r="L79" s="64">
        <f t="shared" si="21"/>
        <v>0</v>
      </c>
      <c r="M79" s="64">
        <f t="shared" si="21"/>
        <v>0</v>
      </c>
      <c r="N79" s="64">
        <f t="shared" si="21"/>
        <v>0</v>
      </c>
    </row>
    <row r="80" spans="6:14" ht="11.25" customHeight="1" x14ac:dyDescent="0.2"/>
    <row r="81" spans="6:14" ht="12.6" thickBot="1" x14ac:dyDescent="0.25">
      <c r="H81" s="149" t="str">
        <f>"TOTAL - "&amp;$F$12</f>
        <v>TOTAL - [No está en uso]</v>
      </c>
      <c r="I81" s="65">
        <f t="shared" ref="I81:N81" si="22">SUM(I25,I31,I37,I43,I49,I55,I61,I67,I73,I79)</f>
        <v>0</v>
      </c>
      <c r="J81" s="65">
        <f t="shared" si="22"/>
        <v>0</v>
      </c>
      <c r="K81" s="65">
        <f t="shared" si="22"/>
        <v>0</v>
      </c>
      <c r="L81" s="65">
        <f t="shared" si="22"/>
        <v>0</v>
      </c>
      <c r="M81" s="65">
        <f t="shared" si="22"/>
        <v>0</v>
      </c>
      <c r="N81" s="65">
        <f t="shared" si="22"/>
        <v>0</v>
      </c>
    </row>
    <row r="82" spans="6:14" ht="12" x14ac:dyDescent="0.2">
      <c r="I82" s="149"/>
    </row>
    <row r="83" spans="6:14" ht="12" x14ac:dyDescent="0.2">
      <c r="F83" s="44" t="s">
        <v>171</v>
      </c>
    </row>
    <row r="84" spans="6:14" x14ac:dyDescent="0.2">
      <c r="F84" s="49" t="s">
        <v>174</v>
      </c>
    </row>
    <row r="85" spans="6:14" x14ac:dyDescent="0.2">
      <c r="F85" s="49" t="s">
        <v>175</v>
      </c>
    </row>
    <row r="86" spans="6:14" x14ac:dyDescent="0.2">
      <c r="F86" s="49"/>
    </row>
    <row r="87" spans="6:14" x14ac:dyDescent="0.2">
      <c r="F87" s="49"/>
    </row>
    <row r="90" spans="6:14" ht="12.6" thickBot="1" x14ac:dyDescent="0.25">
      <c r="F90" s="1" t="s">
        <v>411</v>
      </c>
      <c r="G90" s="1" t="s">
        <v>412</v>
      </c>
      <c r="H90" s="406" t="s">
        <v>472</v>
      </c>
      <c r="I90" s="409" t="s">
        <v>106</v>
      </c>
      <c r="J90" s="54" t="str">
        <f>CURR_LCU_ABBR</f>
        <v>GOZ</v>
      </c>
      <c r="K90" s="54" t="str">
        <f>CURR_LCU_ABBR</f>
        <v>GOZ</v>
      </c>
      <c r="L90" s="54" t="str">
        <f>CURR_LCU_ABBR</f>
        <v>GOZ</v>
      </c>
      <c r="M90" s="54" t="str">
        <f>CURR_LCU_ABBR</f>
        <v>GOZ</v>
      </c>
      <c r="N90" s="54" t="str">
        <f>CURR_LCU_ABBR</f>
        <v>GOZ</v>
      </c>
    </row>
    <row r="91" spans="6:14" ht="12" customHeight="1" x14ac:dyDescent="0.2">
      <c r="F91" s="443" t="str">
        <f>Strategy1</f>
        <v>Objetivo estratégico 1: Fortalecer la gobernanza de la nutrición</v>
      </c>
      <c r="G91" s="274" t="str">
        <f>STRAT1_IND1</f>
        <v>Se refuerza la coordinación multisectorial en materia de nutrición</v>
      </c>
      <c r="H91" s="272" t="str">
        <f ca="1">OFFSET(Variables_Lu!$D$10,Basic_Setup!H34,0)</f>
        <v>Governance</v>
      </c>
      <c r="I91" s="248">
        <f t="shared" ref="I91:N101" si="23">I20*EXCHANGE_RATE</f>
        <v>0</v>
      </c>
      <c r="J91" s="220">
        <f t="shared" si="23"/>
        <v>0</v>
      </c>
      <c r="K91" s="220">
        <f t="shared" si="23"/>
        <v>0</v>
      </c>
      <c r="L91" s="220">
        <f t="shared" si="23"/>
        <v>0</v>
      </c>
      <c r="M91" s="220">
        <f t="shared" si="23"/>
        <v>0</v>
      </c>
      <c r="N91" s="220">
        <f t="shared" si="23"/>
        <v>0</v>
      </c>
    </row>
    <row r="92" spans="6:14" ht="34.200000000000003" x14ac:dyDescent="0.2">
      <c r="F92" s="444"/>
      <c r="G92" s="42" t="str">
        <f>STRAT1_IND2</f>
        <v>Está en funcionamiento el sistema multisectorial de información sobre nutrición para la adopción de decisiones eficaces.</v>
      </c>
      <c r="H92" s="268" t="str">
        <f ca="1">OFFSET(Variables_Lu!$D$10,Basic_Setup!H35,0)</f>
        <v>Governance</v>
      </c>
      <c r="I92" s="248">
        <f t="shared" si="23"/>
        <v>0</v>
      </c>
      <c r="J92" s="220">
        <f t="shared" si="23"/>
        <v>0</v>
      </c>
      <c r="K92" s="220">
        <f t="shared" si="23"/>
        <v>0</v>
      </c>
      <c r="L92" s="220">
        <f t="shared" si="23"/>
        <v>0</v>
      </c>
      <c r="M92" s="220">
        <f t="shared" si="23"/>
        <v>0</v>
      </c>
      <c r="N92" s="220">
        <f t="shared" si="23"/>
        <v>0</v>
      </c>
    </row>
    <row r="93" spans="6:14" ht="22.8" x14ac:dyDescent="0.2">
      <c r="F93" s="444"/>
      <c r="G93" s="42" t="str">
        <f>STRAT1_IND3</f>
        <v>La investigación en nutrición se utiliza para aclarar que la toma de decisiones se mejora y se refuerza.</v>
      </c>
      <c r="H93" s="268" t="str">
        <f ca="1">OFFSET(Variables_Lu!$D$10,Basic_Setup!H36,0)</f>
        <v>Governance</v>
      </c>
      <c r="I93" s="248">
        <f t="shared" si="23"/>
        <v>0</v>
      </c>
      <c r="J93" s="220">
        <f t="shared" si="23"/>
        <v>0</v>
      </c>
      <c r="K93" s="220">
        <f t="shared" si="23"/>
        <v>0</v>
      </c>
      <c r="L93" s="220">
        <f t="shared" si="23"/>
        <v>0</v>
      </c>
      <c r="M93" s="220">
        <f t="shared" si="23"/>
        <v>0</v>
      </c>
      <c r="N93" s="220">
        <f t="shared" si="23"/>
        <v>0</v>
      </c>
    </row>
    <row r="94" spans="6:14" ht="22.8" x14ac:dyDescent="0.2">
      <c r="F94" s="444"/>
      <c r="G94" s="41" t="str">
        <f>STRAT1_IND4</f>
        <v>El marco legislativo y reglamentario de la nutrición se ha fortalecido y está en funcionamiento.</v>
      </c>
      <c r="H94" s="268" t="str">
        <f ca="1">OFFSET(Variables_Lu!$D$10,Basic_Setup!H37,0)</f>
        <v>Governance</v>
      </c>
      <c r="I94" s="248">
        <f t="shared" si="23"/>
        <v>0</v>
      </c>
      <c r="J94" s="220">
        <f t="shared" si="23"/>
        <v>0</v>
      </c>
      <c r="K94" s="220">
        <f t="shared" si="23"/>
        <v>0</v>
      </c>
      <c r="L94" s="220">
        <f t="shared" si="23"/>
        <v>0</v>
      </c>
      <c r="M94" s="220">
        <f t="shared" si="23"/>
        <v>0</v>
      </c>
      <c r="N94" s="220">
        <f t="shared" si="23"/>
        <v>0</v>
      </c>
    </row>
    <row r="95" spans="6:14" ht="12.6" thickBot="1" x14ac:dyDescent="0.25">
      <c r="F95" s="445"/>
      <c r="G95" s="275" t="str">
        <f>STRAT1_IND5</f>
        <v>Objetivo estratégico 1 Indicador 5</v>
      </c>
      <c r="H95" s="270" t="str">
        <f ca="1">OFFSET(Variables_Lu!$D$10,Basic_Setup!H38,0)</f>
        <v>Governance</v>
      </c>
      <c r="I95" s="248">
        <f t="shared" si="23"/>
        <v>0</v>
      </c>
      <c r="J95" s="232">
        <f t="shared" si="23"/>
        <v>0</v>
      </c>
      <c r="K95" s="232">
        <f t="shared" si="23"/>
        <v>0</v>
      </c>
      <c r="L95" s="232">
        <f t="shared" si="23"/>
        <v>0</v>
      </c>
      <c r="M95" s="232">
        <f t="shared" si="23"/>
        <v>0</v>
      </c>
      <c r="N95" s="232">
        <f t="shared" si="23"/>
        <v>0</v>
      </c>
    </row>
    <row r="96" spans="6:14" ht="12.6" thickBot="1" x14ac:dyDescent="0.25">
      <c r="F96" s="38"/>
      <c r="G96" s="38"/>
      <c r="H96" s="152" t="s">
        <v>107</v>
      </c>
      <c r="I96" s="249">
        <f t="shared" si="23"/>
        <v>0</v>
      </c>
      <c r="J96" s="221">
        <f t="shared" si="23"/>
        <v>0</v>
      </c>
      <c r="K96" s="221">
        <f t="shared" si="23"/>
        <v>0</v>
      </c>
      <c r="L96" s="221">
        <f t="shared" si="23"/>
        <v>0</v>
      </c>
      <c r="M96" s="221">
        <f t="shared" si="23"/>
        <v>0</v>
      </c>
      <c r="N96" s="221">
        <f t="shared" si="23"/>
        <v>0</v>
      </c>
    </row>
    <row r="97" spans="6:14" ht="45.6" x14ac:dyDescent="0.2">
      <c r="F97" s="443" t="str">
        <f>Strategy2</f>
        <v>Objetivo estratégico 2: Fortalecer el acceso al tratamiento y a los servicios de salud y nutrición de calidad, así como al tratamiento de todas las formas de malnutrición</v>
      </c>
      <c r="G97" s="274" t="str">
        <f>STRAT2_IND1</f>
        <v>Se fortalece el acceso y la utilización sostenible de los servicios de salud y nutrición para los niños menores de 5 años, los adolescentes, las mujeres embarazadas y lactantes, y los demás grupos vulnerables</v>
      </c>
      <c r="H97" s="272" t="str">
        <f ca="1">OFFSET(Variables_Lu!$D$10,Basic_Setup!H40,0)</f>
        <v>Nutrition-specific</v>
      </c>
      <c r="I97" s="248">
        <f t="shared" si="23"/>
        <v>0</v>
      </c>
      <c r="J97" s="220">
        <f t="shared" si="23"/>
        <v>0</v>
      </c>
      <c r="K97" s="220">
        <f t="shared" si="23"/>
        <v>0</v>
      </c>
      <c r="L97" s="220">
        <f t="shared" si="23"/>
        <v>0</v>
      </c>
      <c r="M97" s="220">
        <f t="shared" si="23"/>
        <v>0</v>
      </c>
      <c r="N97" s="220">
        <f t="shared" si="23"/>
        <v>0</v>
      </c>
    </row>
    <row r="98" spans="6:14" ht="45.6" x14ac:dyDescent="0.2">
      <c r="F98" s="444"/>
      <c r="G98" s="42" t="str">
        <f>STRAT2_IND2</f>
        <v xml:space="preserve">Se reduce la prevalencia de enfermedades relacionadas con la prevalencia de la malnutrición (paludismo, diarrea, neumonía, parásitos intestinales, VIH, TNM) en lactantes, adolescentes y mujeres en edad reproductiva. </v>
      </c>
      <c r="H98" s="268" t="str">
        <f ca="1">OFFSET(Variables_Lu!$D$10,Basic_Setup!H41,0)</f>
        <v>Nutrition-sensitive</v>
      </c>
      <c r="I98" s="248">
        <f t="shared" si="23"/>
        <v>0</v>
      </c>
      <c r="J98" s="220">
        <f t="shared" si="23"/>
        <v>0</v>
      </c>
      <c r="K98" s="220">
        <f t="shared" si="23"/>
        <v>0</v>
      </c>
      <c r="L98" s="220">
        <f t="shared" si="23"/>
        <v>0</v>
      </c>
      <c r="M98" s="220">
        <f t="shared" si="23"/>
        <v>0</v>
      </c>
      <c r="N98" s="220">
        <f t="shared" si="23"/>
        <v>0</v>
      </c>
    </row>
    <row r="99" spans="6:14" ht="22.8" x14ac:dyDescent="0.2">
      <c r="F99" s="444"/>
      <c r="G99" s="42" t="str">
        <f>STRAT2_IND3</f>
        <v>Se refuerzan las intervenciones comunitarias en materia de nutrición.</v>
      </c>
      <c r="H99" s="268" t="str">
        <f ca="1">OFFSET(Variables_Lu!$D$10,Basic_Setup!H42,0)</f>
        <v>Nutrition-specific</v>
      </c>
      <c r="I99" s="248">
        <f t="shared" si="23"/>
        <v>0</v>
      </c>
      <c r="J99" s="220">
        <f t="shared" si="23"/>
        <v>0</v>
      </c>
      <c r="K99" s="220">
        <f t="shared" si="23"/>
        <v>0</v>
      </c>
      <c r="L99" s="220">
        <f t="shared" si="23"/>
        <v>0</v>
      </c>
      <c r="M99" s="220">
        <f t="shared" si="23"/>
        <v>0</v>
      </c>
      <c r="N99" s="220">
        <f t="shared" si="23"/>
        <v>0</v>
      </c>
    </row>
    <row r="100" spans="6:14" ht="12" x14ac:dyDescent="0.2">
      <c r="F100" s="444"/>
      <c r="G100" s="41" t="str">
        <f>STRAT2_IND4</f>
        <v>Objetivo estratégico 2 Indicador 4</v>
      </c>
      <c r="H100" s="268" t="str">
        <f ca="1">OFFSET(Variables_Lu!$D$10,Basic_Setup!H43,0)</f>
        <v>Nutrition-specific</v>
      </c>
      <c r="I100" s="248">
        <f t="shared" si="23"/>
        <v>0</v>
      </c>
      <c r="J100" s="220">
        <f t="shared" si="23"/>
        <v>0</v>
      </c>
      <c r="K100" s="220">
        <f t="shared" si="23"/>
        <v>0</v>
      </c>
      <c r="L100" s="220">
        <f t="shared" si="23"/>
        <v>0</v>
      </c>
      <c r="M100" s="220">
        <f t="shared" si="23"/>
        <v>0</v>
      </c>
      <c r="N100" s="220">
        <f t="shared" si="23"/>
        <v>0</v>
      </c>
    </row>
    <row r="101" spans="6:14" ht="12.6" thickBot="1" x14ac:dyDescent="0.25">
      <c r="F101" s="445"/>
      <c r="G101" s="275" t="str">
        <f>STRAT2_IND5</f>
        <v>Objetivo estratégico 2 Indicador 5</v>
      </c>
      <c r="H101" s="270" t="str">
        <f ca="1">OFFSET(Variables_Lu!$D$10,Basic_Setup!H44,0)</f>
        <v>Nutrition-specific</v>
      </c>
      <c r="I101" s="248">
        <f t="shared" si="23"/>
        <v>0</v>
      </c>
      <c r="J101" s="232">
        <f t="shared" si="23"/>
        <v>0</v>
      </c>
      <c r="K101" s="232">
        <f t="shared" si="23"/>
        <v>0</v>
      </c>
      <c r="L101" s="232">
        <f t="shared" si="23"/>
        <v>0</v>
      </c>
      <c r="M101" s="232">
        <f t="shared" si="23"/>
        <v>0</v>
      </c>
      <c r="N101" s="232">
        <f t="shared" si="23"/>
        <v>0</v>
      </c>
    </row>
    <row r="102" spans="6:14" ht="12.6" thickBot="1" x14ac:dyDescent="0.25">
      <c r="F102" s="38"/>
      <c r="G102" s="38"/>
      <c r="H102" s="152" t="s">
        <v>108</v>
      </c>
      <c r="I102" s="249">
        <f t="shared" ref="I102:I133" si="24">I31*EXCHANGE_RATE</f>
        <v>0</v>
      </c>
      <c r="J102" s="247">
        <f>SUM(J97:J101)</f>
        <v>0</v>
      </c>
      <c r="K102" s="247">
        <f>SUM(K97:K101)</f>
        <v>0</v>
      </c>
      <c r="L102" s="247">
        <f>SUM(L97:L101)</f>
        <v>0</v>
      </c>
      <c r="M102" s="247">
        <f>SUM(M97:M101)</f>
        <v>0</v>
      </c>
      <c r="N102" s="247">
        <f>SUM(N97:N101)</f>
        <v>0</v>
      </c>
    </row>
    <row r="103" spans="6:14" ht="22.95" customHeight="1" x14ac:dyDescent="0.2">
      <c r="F103" s="443" t="str">
        <f>Strategy3</f>
        <v>Objetivo estratégico 3: Aumentar la disponibilidad y el acceso a alimentos nutritivos de alto valor, seguros y diversificados</v>
      </c>
      <c r="G103" s="274" t="str">
        <f>STRAT3_IND1</f>
        <v xml:space="preserve">Aumenta la disponibilidad y el acceso a alimentos de alto valor nutritivo en los hogares. </v>
      </c>
      <c r="H103" s="272" t="str">
        <f ca="1">OFFSET(Variables_Lu!$D$10,Basic_Setup!H46,0)</f>
        <v>Nutrition-specific</v>
      </c>
      <c r="I103" s="248">
        <f t="shared" si="24"/>
        <v>0</v>
      </c>
      <c r="J103" s="220">
        <f t="shared" ref="J103:N107" si="25">J32*EXCHANGE_RATE</f>
        <v>0</v>
      </c>
      <c r="K103" s="220">
        <f t="shared" si="25"/>
        <v>0</v>
      </c>
      <c r="L103" s="220">
        <f t="shared" si="25"/>
        <v>0</v>
      </c>
      <c r="M103" s="220">
        <f t="shared" si="25"/>
        <v>0</v>
      </c>
      <c r="N103" s="220">
        <f t="shared" si="25"/>
        <v>0</v>
      </c>
    </row>
    <row r="104" spans="6:14" ht="22.8" x14ac:dyDescent="0.2">
      <c r="F104" s="444"/>
      <c r="G104" s="42" t="str">
        <f>STRAT3_IND2</f>
        <v xml:space="preserve"> La seguridad alimentaria está garantizada para toda la nación.</v>
      </c>
      <c r="H104" s="268" t="str">
        <f ca="1">OFFSET(Variables_Lu!$D$10,Basic_Setup!H47,0)</f>
        <v>Nutrition-sensitive</v>
      </c>
      <c r="I104" s="248">
        <f t="shared" si="24"/>
        <v>0</v>
      </c>
      <c r="J104" s="220">
        <f t="shared" si="25"/>
        <v>0</v>
      </c>
      <c r="K104" s="220">
        <f t="shared" si="25"/>
        <v>0</v>
      </c>
      <c r="L104" s="220">
        <f t="shared" si="25"/>
        <v>0</v>
      </c>
      <c r="M104" s="220">
        <f t="shared" si="25"/>
        <v>0</v>
      </c>
      <c r="N104" s="220">
        <f t="shared" si="25"/>
        <v>0</v>
      </c>
    </row>
    <row r="105" spans="6:14" ht="12" x14ac:dyDescent="0.2">
      <c r="F105" s="444"/>
      <c r="G105" s="42" t="str">
        <f>STRAT3_IND3</f>
        <v>Objetivo estratégico 3 Indicador 3</v>
      </c>
      <c r="H105" s="268" t="str">
        <f ca="1">OFFSET(Variables_Lu!$D$10,Basic_Setup!H48,0)</f>
        <v>Nutrition-specific</v>
      </c>
      <c r="I105" s="248">
        <f t="shared" si="24"/>
        <v>0</v>
      </c>
      <c r="J105" s="220">
        <f t="shared" si="25"/>
        <v>0</v>
      </c>
      <c r="K105" s="220">
        <f t="shared" si="25"/>
        <v>0</v>
      </c>
      <c r="L105" s="220">
        <f t="shared" si="25"/>
        <v>0</v>
      </c>
      <c r="M105" s="220">
        <f t="shared" si="25"/>
        <v>0</v>
      </c>
      <c r="N105" s="220">
        <f t="shared" si="25"/>
        <v>0</v>
      </c>
    </row>
    <row r="106" spans="6:14" ht="12" x14ac:dyDescent="0.2">
      <c r="F106" s="444"/>
      <c r="G106" s="41" t="str">
        <f>STRAT3_IND4</f>
        <v>Objetivo estratégico 3 Indicador 4</v>
      </c>
      <c r="H106" s="268" t="str">
        <f ca="1">OFFSET(Variables_Lu!$D$10,Basic_Setup!H49,0)</f>
        <v>Nutrition-specific</v>
      </c>
      <c r="I106" s="248">
        <f t="shared" si="24"/>
        <v>0</v>
      </c>
      <c r="J106" s="220">
        <f t="shared" si="25"/>
        <v>0</v>
      </c>
      <c r="K106" s="220">
        <f t="shared" si="25"/>
        <v>0</v>
      </c>
      <c r="L106" s="220">
        <f t="shared" si="25"/>
        <v>0</v>
      </c>
      <c r="M106" s="220">
        <f t="shared" si="25"/>
        <v>0</v>
      </c>
      <c r="N106" s="220">
        <f t="shared" si="25"/>
        <v>0</v>
      </c>
    </row>
    <row r="107" spans="6:14" ht="12.6" thickBot="1" x14ac:dyDescent="0.25">
      <c r="F107" s="445"/>
      <c r="G107" s="275" t="str">
        <f>STRAT3_IND5</f>
        <v>Objetivo estratégico 3 Indicador 5</v>
      </c>
      <c r="H107" s="270" t="str">
        <f ca="1">OFFSET(Variables_Lu!$D$10,Basic_Setup!H50,0)</f>
        <v>Nutrition-specific</v>
      </c>
      <c r="I107" s="248">
        <f t="shared" si="24"/>
        <v>0</v>
      </c>
      <c r="J107" s="232">
        <f t="shared" si="25"/>
        <v>0</v>
      </c>
      <c r="K107" s="232">
        <f t="shared" si="25"/>
        <v>0</v>
      </c>
      <c r="L107" s="232">
        <f t="shared" si="25"/>
        <v>0</v>
      </c>
      <c r="M107" s="232">
        <f t="shared" si="25"/>
        <v>0</v>
      </c>
      <c r="N107" s="232">
        <f t="shared" si="25"/>
        <v>0</v>
      </c>
    </row>
    <row r="108" spans="6:14" ht="12.6" thickBot="1" x14ac:dyDescent="0.25">
      <c r="H108" s="152" t="s">
        <v>109</v>
      </c>
      <c r="I108" s="249">
        <f t="shared" si="24"/>
        <v>0</v>
      </c>
      <c r="J108" s="247">
        <f>SUM(J103:J107)</f>
        <v>0</v>
      </c>
      <c r="K108" s="247">
        <f t="shared" ref="K108:N108" si="26">SUM(K103:K107)</f>
        <v>0</v>
      </c>
      <c r="L108" s="247">
        <f t="shared" si="26"/>
        <v>0</v>
      </c>
      <c r="M108" s="247">
        <f t="shared" si="26"/>
        <v>0</v>
      </c>
      <c r="N108" s="247">
        <f t="shared" si="26"/>
        <v>0</v>
      </c>
    </row>
    <row r="109" spans="6:14" ht="22.95" customHeight="1" x14ac:dyDescent="0.2">
      <c r="F109" s="443" t="str">
        <f>Strategy4</f>
        <v>Objetivo estratégico 4: Fortalecer la protección social, la resiliencia de la respuesta a las emergencias y los desastres naturales.</v>
      </c>
      <c r="G109" s="274" t="str">
        <f>STRAT4_IND1</f>
        <v xml:space="preserve">Se garantiza la protección social de los niños menores de 5 años, los adolescentes, FE/FA y otros grupos vulnerables. </v>
      </c>
      <c r="H109" s="272" t="str">
        <f ca="1">OFFSET(Variables_Lu!$D$10,Basic_Setup!H52,0)</f>
        <v>Nutrition-sensitive</v>
      </c>
      <c r="I109" s="248">
        <f t="shared" si="24"/>
        <v>0</v>
      </c>
      <c r="J109" s="220">
        <f t="shared" ref="J109:N113" si="27">J38*EXCHANGE_RATE</f>
        <v>0</v>
      </c>
      <c r="K109" s="220">
        <f t="shared" si="27"/>
        <v>0</v>
      </c>
      <c r="L109" s="220">
        <f t="shared" si="27"/>
        <v>0</v>
      </c>
      <c r="M109" s="220">
        <f t="shared" si="27"/>
        <v>0</v>
      </c>
      <c r="N109" s="220">
        <f t="shared" si="27"/>
        <v>0</v>
      </c>
    </row>
    <row r="110" spans="6:14" ht="34.200000000000003" x14ac:dyDescent="0.2">
      <c r="F110" s="444"/>
      <c r="G110" s="42" t="str">
        <f>STRAT4_IND2</f>
        <v xml:space="preserve">Se fortalece la capacidad de resiliencia y el estado nutricional de las poblaciones vulnerables, incluidos los niños de las zonas desfavorecidas.  </v>
      </c>
      <c r="H110" s="268" t="str">
        <f ca="1">OFFSET(Variables_Lu!$D$10,Basic_Setup!H53,0)</f>
        <v>Nutrition-specific</v>
      </c>
      <c r="I110" s="248">
        <f t="shared" si="24"/>
        <v>0</v>
      </c>
      <c r="J110" s="220">
        <f t="shared" si="27"/>
        <v>0</v>
      </c>
      <c r="K110" s="220">
        <f t="shared" si="27"/>
        <v>0</v>
      </c>
      <c r="L110" s="220">
        <f t="shared" si="27"/>
        <v>0</v>
      </c>
      <c r="M110" s="220">
        <f t="shared" si="27"/>
        <v>0</v>
      </c>
      <c r="N110" s="220">
        <f t="shared" si="27"/>
        <v>0</v>
      </c>
    </row>
    <row r="111" spans="6:14" ht="34.200000000000003" x14ac:dyDescent="0.2">
      <c r="F111" s="444"/>
      <c r="G111" s="42" t="str">
        <f>STRAT4_IND3</f>
        <v xml:space="preserve"> Se introducen eficazmente intervenciones para emergencias y catástrofes naturales integrales de la nutrición.</v>
      </c>
      <c r="H111" s="268" t="str">
        <f ca="1">OFFSET(Variables_Lu!$D$10,Basic_Setup!H54,0)</f>
        <v>Nutrition-specific</v>
      </c>
      <c r="I111" s="248">
        <f t="shared" si="24"/>
        <v>0</v>
      </c>
      <c r="J111" s="220">
        <f t="shared" si="27"/>
        <v>0</v>
      </c>
      <c r="K111" s="220">
        <f t="shared" si="27"/>
        <v>0</v>
      </c>
      <c r="L111" s="220">
        <f t="shared" si="27"/>
        <v>0</v>
      </c>
      <c r="M111" s="220">
        <f t="shared" si="27"/>
        <v>0</v>
      </c>
      <c r="N111" s="220">
        <f t="shared" si="27"/>
        <v>0</v>
      </c>
    </row>
    <row r="112" spans="6:14" ht="12" x14ac:dyDescent="0.2">
      <c r="F112" s="444"/>
      <c r="G112" s="41" t="str">
        <f>STRAT4_IND4</f>
        <v>Objetivo estratégico 4 Indicador 4</v>
      </c>
      <c r="H112" s="268" t="str">
        <f ca="1">OFFSET(Variables_Lu!$D$10,Basic_Setup!H55,0)</f>
        <v>Nutrition-specific</v>
      </c>
      <c r="I112" s="248">
        <f t="shared" si="24"/>
        <v>0</v>
      </c>
      <c r="J112" s="220">
        <f t="shared" si="27"/>
        <v>0</v>
      </c>
      <c r="K112" s="220">
        <f t="shared" si="27"/>
        <v>0</v>
      </c>
      <c r="L112" s="220">
        <f t="shared" si="27"/>
        <v>0</v>
      </c>
      <c r="M112" s="220">
        <f t="shared" si="27"/>
        <v>0</v>
      </c>
      <c r="N112" s="220">
        <f t="shared" si="27"/>
        <v>0</v>
      </c>
    </row>
    <row r="113" spans="6:14" ht="12.6" thickBot="1" x14ac:dyDescent="0.25">
      <c r="F113" s="445"/>
      <c r="G113" s="275" t="str">
        <f>STRAT4_IND5</f>
        <v>Objetivo estratégico 4 Indicador 5</v>
      </c>
      <c r="H113" s="270" t="str">
        <f ca="1">OFFSET(Variables_Lu!$D$10,Basic_Setup!H56,0)</f>
        <v>Nutrition-specific</v>
      </c>
      <c r="I113" s="248">
        <f t="shared" si="24"/>
        <v>0</v>
      </c>
      <c r="J113" s="232">
        <f t="shared" si="27"/>
        <v>0</v>
      </c>
      <c r="K113" s="232">
        <f t="shared" si="27"/>
        <v>0</v>
      </c>
      <c r="L113" s="232">
        <f t="shared" si="27"/>
        <v>0</v>
      </c>
      <c r="M113" s="232">
        <f t="shared" si="27"/>
        <v>0</v>
      </c>
      <c r="N113" s="232">
        <f t="shared" si="27"/>
        <v>0</v>
      </c>
    </row>
    <row r="114" spans="6:14" ht="12.6" thickBot="1" x14ac:dyDescent="0.25">
      <c r="H114" s="152" t="s">
        <v>110</v>
      </c>
      <c r="I114" s="249">
        <f t="shared" si="24"/>
        <v>0</v>
      </c>
      <c r="J114" s="247">
        <f>SUM(J109:J113)</f>
        <v>0</v>
      </c>
      <c r="K114" s="247">
        <f t="shared" ref="K114:N114" si="28">SUM(K109:K113)</f>
        <v>0</v>
      </c>
      <c r="L114" s="247">
        <f t="shared" si="28"/>
        <v>0</v>
      </c>
      <c r="M114" s="247">
        <f t="shared" si="28"/>
        <v>0</v>
      </c>
      <c r="N114" s="247">
        <f t="shared" si="28"/>
        <v>0</v>
      </c>
    </row>
    <row r="115" spans="6:14" ht="34.200000000000003" customHeight="1" x14ac:dyDescent="0.2">
      <c r="F115" s="443" t="str">
        <f>Strategy5</f>
        <v xml:space="preserve">Objetivo estratégico 5: Promoción de prácticas favorables a una nutrición óptima, de higiene y saneamiento básico. </v>
      </c>
      <c r="G115" s="274" t="str">
        <f>STRAT5_IND1</f>
        <v>Se mejoran las prácticas nutricionales favorables para los niños menores de 5 años, los adolescentes, las mujeres embarazadas y lactantes, y otros grupos vulnerables.</v>
      </c>
      <c r="H115" s="272" t="str">
        <f ca="1">OFFSET(Variables_Lu!$D$10,Basic_Setup!H58,0)</f>
        <v>Nutrition-specific</v>
      </c>
      <c r="I115" s="248">
        <f t="shared" si="24"/>
        <v>0</v>
      </c>
      <c r="J115" s="220">
        <f t="shared" ref="J115:N119" si="29">J44*EXCHANGE_RATE</f>
        <v>0</v>
      </c>
      <c r="K115" s="220">
        <f t="shared" si="29"/>
        <v>0</v>
      </c>
      <c r="L115" s="220">
        <f t="shared" si="29"/>
        <v>0</v>
      </c>
      <c r="M115" s="220">
        <f t="shared" si="29"/>
        <v>0</v>
      </c>
      <c r="N115" s="220">
        <f t="shared" si="29"/>
        <v>0</v>
      </c>
    </row>
    <row r="116" spans="6:14" ht="22.8" x14ac:dyDescent="0.2">
      <c r="F116" s="444"/>
      <c r="G116" s="42" t="str">
        <f>STRAT5_IND2</f>
        <v>Se promueven dietas saludables y estilos de vida saludables para las personas.</v>
      </c>
      <c r="H116" s="268" t="str">
        <f ca="1">OFFSET(Variables_Lu!$D$10,Basic_Setup!H59,0)</f>
        <v>Nutrition-specific</v>
      </c>
      <c r="I116" s="248">
        <f t="shared" si="24"/>
        <v>0</v>
      </c>
      <c r="J116" s="220">
        <f t="shared" si="29"/>
        <v>0</v>
      </c>
      <c r="K116" s="220">
        <f t="shared" si="29"/>
        <v>0</v>
      </c>
      <c r="L116" s="220">
        <f t="shared" si="29"/>
        <v>0</v>
      </c>
      <c r="M116" s="220">
        <f t="shared" si="29"/>
        <v>0</v>
      </c>
      <c r="N116" s="220">
        <f t="shared" si="29"/>
        <v>0</v>
      </c>
    </row>
    <row r="117" spans="6:14" ht="22.8" x14ac:dyDescent="0.2">
      <c r="F117" s="444"/>
      <c r="G117" s="42" t="str">
        <f>STRAT5_IND3</f>
        <v>Se promueven las buenas prácticas WASH a nivel comunitario y doméstico</v>
      </c>
      <c r="H117" s="268" t="str">
        <f ca="1">OFFSET(Variables_Lu!$D$10,Basic_Setup!H60,0)</f>
        <v>Nutrition-sensitive</v>
      </c>
      <c r="I117" s="248">
        <f t="shared" si="24"/>
        <v>0</v>
      </c>
      <c r="J117" s="220">
        <f t="shared" si="29"/>
        <v>0</v>
      </c>
      <c r="K117" s="220">
        <f t="shared" si="29"/>
        <v>0</v>
      </c>
      <c r="L117" s="220">
        <f t="shared" si="29"/>
        <v>0</v>
      </c>
      <c r="M117" s="220">
        <f t="shared" si="29"/>
        <v>0</v>
      </c>
      <c r="N117" s="220">
        <f t="shared" si="29"/>
        <v>0</v>
      </c>
    </row>
    <row r="118" spans="6:14" ht="12" x14ac:dyDescent="0.2">
      <c r="F118" s="444"/>
      <c r="G118" s="41" t="str">
        <f>STRAT5_IND4</f>
        <v>Objetivo estratégico 5 Indicador 4</v>
      </c>
      <c r="H118" s="268" t="str">
        <f ca="1">OFFSET(Variables_Lu!$D$10,Basic_Setup!H61,0)</f>
        <v>Nutrition-specific</v>
      </c>
      <c r="I118" s="248">
        <f t="shared" si="24"/>
        <v>0</v>
      </c>
      <c r="J118" s="220">
        <f t="shared" si="29"/>
        <v>0</v>
      </c>
      <c r="K118" s="220">
        <f t="shared" si="29"/>
        <v>0</v>
      </c>
      <c r="L118" s="220">
        <f t="shared" si="29"/>
        <v>0</v>
      </c>
      <c r="M118" s="220">
        <f t="shared" si="29"/>
        <v>0</v>
      </c>
      <c r="N118" s="220">
        <f t="shared" si="29"/>
        <v>0</v>
      </c>
    </row>
    <row r="119" spans="6:14" ht="12.6" thickBot="1" x14ac:dyDescent="0.25">
      <c r="F119" s="445"/>
      <c r="G119" s="275" t="str">
        <f>STRAT5_IND5</f>
        <v>Objetivo estratégico 5 Indicador 5</v>
      </c>
      <c r="H119" s="270" t="str">
        <f ca="1">OFFSET(Variables_Lu!$D$10,Basic_Setup!H62,0)</f>
        <v>Nutrition-specific</v>
      </c>
      <c r="I119" s="248">
        <f t="shared" si="24"/>
        <v>0</v>
      </c>
      <c r="J119" s="232">
        <f t="shared" si="29"/>
        <v>0</v>
      </c>
      <c r="K119" s="232">
        <f t="shared" si="29"/>
        <v>0</v>
      </c>
      <c r="L119" s="232">
        <f t="shared" si="29"/>
        <v>0</v>
      </c>
      <c r="M119" s="232">
        <f t="shared" si="29"/>
        <v>0</v>
      </c>
      <c r="N119" s="232">
        <f t="shared" si="29"/>
        <v>0</v>
      </c>
    </row>
    <row r="120" spans="6:14" ht="12.6" thickBot="1" x14ac:dyDescent="0.25">
      <c r="H120" s="152" t="s">
        <v>111</v>
      </c>
      <c r="I120" s="249">
        <f t="shared" si="24"/>
        <v>0</v>
      </c>
      <c r="J120" s="247">
        <f>SUM(J115:J119)</f>
        <v>0</v>
      </c>
      <c r="K120" s="247">
        <f t="shared" ref="K120:N120" si="30">SUM(K115:K119)</f>
        <v>0</v>
      </c>
      <c r="L120" s="247">
        <f t="shared" si="30"/>
        <v>0</v>
      </c>
      <c r="M120" s="247">
        <f t="shared" si="30"/>
        <v>0</v>
      </c>
      <c r="N120" s="247">
        <f t="shared" si="30"/>
        <v>0</v>
      </c>
    </row>
    <row r="121" spans="6:14" ht="12" x14ac:dyDescent="0.2">
      <c r="F121" s="443" t="str">
        <f>Strategy6</f>
        <v>Objetivo estratégico 6: [No está en uso]</v>
      </c>
      <c r="G121" s="274" t="str">
        <f>STRAT6_IND1</f>
        <v>Objetivo estratégico 6 Indicador 1</v>
      </c>
      <c r="H121" s="272" t="str">
        <f ca="1">OFFSET(Variables_Lu!$D$10,Basic_Setup!H64,0)</f>
        <v>Nutrition-specific</v>
      </c>
      <c r="I121" s="248">
        <f t="shared" si="24"/>
        <v>0</v>
      </c>
      <c r="J121" s="220">
        <f t="shared" ref="J121:N125" si="31">J50*EXCHANGE_RATE</f>
        <v>0</v>
      </c>
      <c r="K121" s="220">
        <f t="shared" si="31"/>
        <v>0</v>
      </c>
      <c r="L121" s="220">
        <f t="shared" si="31"/>
        <v>0</v>
      </c>
      <c r="M121" s="220">
        <f t="shared" si="31"/>
        <v>0</v>
      </c>
      <c r="N121" s="220">
        <f t="shared" si="31"/>
        <v>0</v>
      </c>
    </row>
    <row r="122" spans="6:14" ht="12" x14ac:dyDescent="0.2">
      <c r="F122" s="444"/>
      <c r="G122" s="42" t="str">
        <f>STRAT6_IND2</f>
        <v>Objetivo estratégico 6 Indicador 2</v>
      </c>
      <c r="H122" s="268" t="str">
        <f ca="1">OFFSET(Variables_Lu!$D$10,Basic_Setup!H65,0)</f>
        <v>Nutrition-specific</v>
      </c>
      <c r="I122" s="248">
        <f t="shared" si="24"/>
        <v>0</v>
      </c>
      <c r="J122" s="220">
        <f t="shared" si="31"/>
        <v>0</v>
      </c>
      <c r="K122" s="220">
        <f t="shared" si="31"/>
        <v>0</v>
      </c>
      <c r="L122" s="220">
        <f t="shared" si="31"/>
        <v>0</v>
      </c>
      <c r="M122" s="220">
        <f t="shared" si="31"/>
        <v>0</v>
      </c>
      <c r="N122" s="220">
        <f t="shared" si="31"/>
        <v>0</v>
      </c>
    </row>
    <row r="123" spans="6:14" ht="12" x14ac:dyDescent="0.2">
      <c r="F123" s="444"/>
      <c r="G123" s="42" t="str">
        <f>STRAT6_IND3</f>
        <v>Objetivo estratégico 6 Indicador 3</v>
      </c>
      <c r="H123" s="268" t="str">
        <f ca="1">OFFSET(Variables_Lu!$D$10,Basic_Setup!H66,0)</f>
        <v>Nutrition-specific</v>
      </c>
      <c r="I123" s="248">
        <f t="shared" si="24"/>
        <v>0</v>
      </c>
      <c r="J123" s="220">
        <f t="shared" si="31"/>
        <v>0</v>
      </c>
      <c r="K123" s="220">
        <f t="shared" si="31"/>
        <v>0</v>
      </c>
      <c r="L123" s="220">
        <f t="shared" si="31"/>
        <v>0</v>
      </c>
      <c r="M123" s="220">
        <f t="shared" si="31"/>
        <v>0</v>
      </c>
      <c r="N123" s="220">
        <f t="shared" si="31"/>
        <v>0</v>
      </c>
    </row>
    <row r="124" spans="6:14" ht="12" x14ac:dyDescent="0.2">
      <c r="F124" s="444"/>
      <c r="G124" s="41" t="str">
        <f>STRAT6_IND4</f>
        <v>Objetivo estratégico 6 Indicador 4</v>
      </c>
      <c r="H124" s="268" t="str">
        <f ca="1">OFFSET(Variables_Lu!$D$10,Basic_Setup!H67,0)</f>
        <v>Nutrition-specific</v>
      </c>
      <c r="I124" s="248">
        <f t="shared" si="24"/>
        <v>0</v>
      </c>
      <c r="J124" s="220">
        <f t="shared" si="31"/>
        <v>0</v>
      </c>
      <c r="K124" s="220">
        <f t="shared" si="31"/>
        <v>0</v>
      </c>
      <c r="L124" s="220">
        <f t="shared" si="31"/>
        <v>0</v>
      </c>
      <c r="M124" s="220">
        <f t="shared" si="31"/>
        <v>0</v>
      </c>
      <c r="N124" s="220">
        <f t="shared" si="31"/>
        <v>0</v>
      </c>
    </row>
    <row r="125" spans="6:14" ht="12.6" thickBot="1" x14ac:dyDescent="0.25">
      <c r="F125" s="445"/>
      <c r="G125" s="275" t="str">
        <f>STRAT6_IND5</f>
        <v>Objetivo estratégico 6 Indicador 5</v>
      </c>
      <c r="H125" s="270" t="str">
        <f ca="1">OFFSET(Variables_Lu!$D$10,Basic_Setup!H68,0)</f>
        <v>Nutrition-specific</v>
      </c>
      <c r="I125" s="248">
        <f t="shared" si="24"/>
        <v>0</v>
      </c>
      <c r="J125" s="232">
        <f t="shared" si="31"/>
        <v>0</v>
      </c>
      <c r="K125" s="232">
        <f t="shared" si="31"/>
        <v>0</v>
      </c>
      <c r="L125" s="232">
        <f t="shared" si="31"/>
        <v>0</v>
      </c>
      <c r="M125" s="232">
        <f t="shared" si="31"/>
        <v>0</v>
      </c>
      <c r="N125" s="232">
        <f t="shared" si="31"/>
        <v>0</v>
      </c>
    </row>
    <row r="126" spans="6:14" ht="12.6" thickBot="1" x14ac:dyDescent="0.25">
      <c r="H126" s="152" t="s">
        <v>159</v>
      </c>
      <c r="I126" s="249">
        <f t="shared" si="24"/>
        <v>0</v>
      </c>
      <c r="J126" s="247">
        <f>SUM(J121:J125)</f>
        <v>0</v>
      </c>
      <c r="K126" s="247">
        <f>SUM(K121:K125)</f>
        <v>0</v>
      </c>
      <c r="L126" s="247">
        <f>SUM(L121:L125)</f>
        <v>0</v>
      </c>
      <c r="M126" s="247">
        <f>SUM(M121:M125)</f>
        <v>0</v>
      </c>
      <c r="N126" s="247">
        <f>SUM(N121:N125)</f>
        <v>0</v>
      </c>
    </row>
    <row r="127" spans="6:14" ht="12" x14ac:dyDescent="0.2">
      <c r="F127" s="443" t="str">
        <f>Strategy7</f>
        <v>Objetivo estratégico 7: [No está en uso]</v>
      </c>
      <c r="G127" s="274" t="str">
        <f>STRAT7_IND1</f>
        <v>Objetivo estratégico 7 Indicador 1</v>
      </c>
      <c r="H127" s="272" t="str">
        <f ca="1">OFFSET(Variables_Lu!$D$10,Basic_Setup!H70,0)</f>
        <v>Nutrition-specific</v>
      </c>
      <c r="I127" s="248">
        <f t="shared" si="24"/>
        <v>0</v>
      </c>
      <c r="J127" s="220">
        <f t="shared" ref="J127:N131" si="32">J56*EXCHANGE_RATE</f>
        <v>0</v>
      </c>
      <c r="K127" s="220">
        <f t="shared" si="32"/>
        <v>0</v>
      </c>
      <c r="L127" s="220">
        <f t="shared" si="32"/>
        <v>0</v>
      </c>
      <c r="M127" s="220">
        <f t="shared" si="32"/>
        <v>0</v>
      </c>
      <c r="N127" s="220">
        <f t="shared" si="32"/>
        <v>0</v>
      </c>
    </row>
    <row r="128" spans="6:14" ht="12" x14ac:dyDescent="0.2">
      <c r="F128" s="444"/>
      <c r="G128" s="42" t="str">
        <f>STRAT7_IND2</f>
        <v>Objetivo estratégico 7 Indicador 2</v>
      </c>
      <c r="H128" s="268" t="str">
        <f ca="1">OFFSET(Variables_Lu!$D$10,Basic_Setup!H71,0)</f>
        <v>Nutrition-specific</v>
      </c>
      <c r="I128" s="248">
        <f t="shared" si="24"/>
        <v>0</v>
      </c>
      <c r="J128" s="220">
        <f t="shared" si="32"/>
        <v>0</v>
      </c>
      <c r="K128" s="220">
        <f t="shared" si="32"/>
        <v>0</v>
      </c>
      <c r="L128" s="220">
        <f t="shared" si="32"/>
        <v>0</v>
      </c>
      <c r="M128" s="220">
        <f t="shared" si="32"/>
        <v>0</v>
      </c>
      <c r="N128" s="220">
        <f t="shared" si="32"/>
        <v>0</v>
      </c>
    </row>
    <row r="129" spans="6:14" ht="12" x14ac:dyDescent="0.2">
      <c r="F129" s="444"/>
      <c r="G129" s="42" t="str">
        <f>STRAT7_IND3</f>
        <v>Objetivo estratégico 7 Indicador 3</v>
      </c>
      <c r="H129" s="268" t="str">
        <f ca="1">OFFSET(Variables_Lu!$D$10,Basic_Setup!H72,0)</f>
        <v>Nutrition-specific</v>
      </c>
      <c r="I129" s="248">
        <f t="shared" si="24"/>
        <v>0</v>
      </c>
      <c r="J129" s="220">
        <f t="shared" si="32"/>
        <v>0</v>
      </c>
      <c r="K129" s="220">
        <f t="shared" si="32"/>
        <v>0</v>
      </c>
      <c r="L129" s="220">
        <f t="shared" si="32"/>
        <v>0</v>
      </c>
      <c r="M129" s="220">
        <f t="shared" si="32"/>
        <v>0</v>
      </c>
      <c r="N129" s="220">
        <f t="shared" si="32"/>
        <v>0</v>
      </c>
    </row>
    <row r="130" spans="6:14" ht="12" x14ac:dyDescent="0.2">
      <c r="F130" s="444"/>
      <c r="G130" s="41" t="str">
        <f>STRAT7_IND4</f>
        <v>Objetivo estratégico 7 Indicador 4</v>
      </c>
      <c r="H130" s="268" t="str">
        <f ca="1">OFFSET(Variables_Lu!$D$10,Basic_Setup!H73,0)</f>
        <v>Nutrition-specific</v>
      </c>
      <c r="I130" s="248">
        <f t="shared" si="24"/>
        <v>0</v>
      </c>
      <c r="J130" s="220">
        <f t="shared" si="32"/>
        <v>0</v>
      </c>
      <c r="K130" s="220">
        <f t="shared" si="32"/>
        <v>0</v>
      </c>
      <c r="L130" s="220">
        <f t="shared" si="32"/>
        <v>0</v>
      </c>
      <c r="M130" s="220">
        <f t="shared" si="32"/>
        <v>0</v>
      </c>
      <c r="N130" s="220">
        <f t="shared" si="32"/>
        <v>0</v>
      </c>
    </row>
    <row r="131" spans="6:14" ht="12.6" thickBot="1" x14ac:dyDescent="0.25">
      <c r="F131" s="445"/>
      <c r="G131" s="275" t="str">
        <f>STRAT7_IND5</f>
        <v>Objetivo estratégico 7 Indicador 5</v>
      </c>
      <c r="H131" s="270" t="str">
        <f ca="1">OFFSET(Variables_Lu!$D$10,Basic_Setup!H74,0)</f>
        <v>Nutrition-specific</v>
      </c>
      <c r="I131" s="248">
        <f t="shared" si="24"/>
        <v>0</v>
      </c>
      <c r="J131" s="232">
        <f t="shared" si="32"/>
        <v>0</v>
      </c>
      <c r="K131" s="232">
        <f t="shared" si="32"/>
        <v>0</v>
      </c>
      <c r="L131" s="232">
        <f t="shared" si="32"/>
        <v>0</v>
      </c>
      <c r="M131" s="232">
        <f t="shared" si="32"/>
        <v>0</v>
      </c>
      <c r="N131" s="232">
        <f t="shared" si="32"/>
        <v>0</v>
      </c>
    </row>
    <row r="132" spans="6:14" ht="12.6" thickBot="1" x14ac:dyDescent="0.25">
      <c r="H132" s="152" t="s">
        <v>160</v>
      </c>
      <c r="I132" s="249">
        <f t="shared" si="24"/>
        <v>0</v>
      </c>
      <c r="J132" s="247">
        <f>SUM(J127:J131)</f>
        <v>0</v>
      </c>
      <c r="K132" s="247">
        <f>SUM(K127:K131)</f>
        <v>0</v>
      </c>
      <c r="L132" s="247">
        <f>SUM(L127:L131)</f>
        <v>0</v>
      </c>
      <c r="M132" s="247">
        <f>SUM(M127:M131)</f>
        <v>0</v>
      </c>
      <c r="N132" s="247">
        <f>SUM(N127:N131)</f>
        <v>0</v>
      </c>
    </row>
    <row r="133" spans="6:14" ht="12" x14ac:dyDescent="0.2">
      <c r="F133" s="443" t="str">
        <f>Strategy8</f>
        <v>Objetivo estratégico 8: [No está en uso]</v>
      </c>
      <c r="G133" s="274" t="str">
        <f>STRAT8_IND1</f>
        <v>Objetivo estratégico 8 Indicador 1</v>
      </c>
      <c r="H133" s="272" t="str">
        <f ca="1">OFFSET(Variables_Lu!$D$10,Basic_Setup!H76,0)</f>
        <v>Nutrition-specific</v>
      </c>
      <c r="I133" s="248">
        <f t="shared" si="24"/>
        <v>0</v>
      </c>
      <c r="J133" s="220">
        <f t="shared" ref="J133:N137" si="33">J62*EXCHANGE_RATE</f>
        <v>0</v>
      </c>
      <c r="K133" s="220">
        <f t="shared" si="33"/>
        <v>0</v>
      </c>
      <c r="L133" s="220">
        <f t="shared" si="33"/>
        <v>0</v>
      </c>
      <c r="M133" s="220">
        <f t="shared" si="33"/>
        <v>0</v>
      </c>
      <c r="N133" s="220">
        <f t="shared" si="33"/>
        <v>0</v>
      </c>
    </row>
    <row r="134" spans="6:14" ht="12" x14ac:dyDescent="0.2">
      <c r="F134" s="444"/>
      <c r="G134" s="42" t="str">
        <f>STRAT8_IND2</f>
        <v>Objetivo estratégico 8 Indicador 2</v>
      </c>
      <c r="H134" s="268" t="str">
        <f ca="1">OFFSET(Variables_Lu!$D$10,Basic_Setup!H77,0)</f>
        <v>Nutrition-specific</v>
      </c>
      <c r="I134" s="248">
        <f t="shared" ref="I134:I150" si="34">I63*EXCHANGE_RATE</f>
        <v>0</v>
      </c>
      <c r="J134" s="220">
        <f t="shared" si="33"/>
        <v>0</v>
      </c>
      <c r="K134" s="220">
        <f t="shared" si="33"/>
        <v>0</v>
      </c>
      <c r="L134" s="220">
        <f t="shared" si="33"/>
        <v>0</v>
      </c>
      <c r="M134" s="220">
        <f t="shared" si="33"/>
        <v>0</v>
      </c>
      <c r="N134" s="220">
        <f t="shared" si="33"/>
        <v>0</v>
      </c>
    </row>
    <row r="135" spans="6:14" ht="12" x14ac:dyDescent="0.2">
      <c r="F135" s="444"/>
      <c r="G135" s="42" t="str">
        <f>STRAT8_IND3</f>
        <v>Objetivo estratégico 8 Indicador 3</v>
      </c>
      <c r="H135" s="268" t="str">
        <f ca="1">OFFSET(Variables_Lu!$D$10,Basic_Setup!H78,0)</f>
        <v>Nutrition-specific</v>
      </c>
      <c r="I135" s="248">
        <f t="shared" si="34"/>
        <v>0</v>
      </c>
      <c r="J135" s="220">
        <f t="shared" si="33"/>
        <v>0</v>
      </c>
      <c r="K135" s="220">
        <f t="shared" si="33"/>
        <v>0</v>
      </c>
      <c r="L135" s="220">
        <f t="shared" si="33"/>
        <v>0</v>
      </c>
      <c r="M135" s="220">
        <f t="shared" si="33"/>
        <v>0</v>
      </c>
      <c r="N135" s="220">
        <f t="shared" si="33"/>
        <v>0</v>
      </c>
    </row>
    <row r="136" spans="6:14" ht="12" x14ac:dyDescent="0.2">
      <c r="F136" s="444"/>
      <c r="G136" s="41" t="str">
        <f>STRAT8_IND4</f>
        <v>Objetivo estratégico 8 Indicador 4</v>
      </c>
      <c r="H136" s="268" t="str">
        <f ca="1">OFFSET(Variables_Lu!$D$10,Basic_Setup!H79,0)</f>
        <v>Nutrition-specific</v>
      </c>
      <c r="I136" s="248">
        <f t="shared" si="34"/>
        <v>0</v>
      </c>
      <c r="J136" s="220">
        <f t="shared" si="33"/>
        <v>0</v>
      </c>
      <c r="K136" s="220">
        <f t="shared" si="33"/>
        <v>0</v>
      </c>
      <c r="L136" s="220">
        <f t="shared" si="33"/>
        <v>0</v>
      </c>
      <c r="M136" s="220">
        <f t="shared" si="33"/>
        <v>0</v>
      </c>
      <c r="N136" s="220">
        <f t="shared" si="33"/>
        <v>0</v>
      </c>
    </row>
    <row r="137" spans="6:14" ht="12.6" thickBot="1" x14ac:dyDescent="0.25">
      <c r="F137" s="445"/>
      <c r="G137" s="275" t="str">
        <f>STRAT8_IND5</f>
        <v>Objetivo estratégico 8 Indicador 5</v>
      </c>
      <c r="H137" s="270" t="str">
        <f ca="1">OFFSET(Variables_Lu!$D$10,Basic_Setup!H80,0)</f>
        <v>Nutrition-specific</v>
      </c>
      <c r="I137" s="248">
        <f t="shared" si="34"/>
        <v>0</v>
      </c>
      <c r="J137" s="232">
        <f t="shared" si="33"/>
        <v>0</v>
      </c>
      <c r="K137" s="232">
        <f t="shared" si="33"/>
        <v>0</v>
      </c>
      <c r="L137" s="232">
        <f t="shared" si="33"/>
        <v>0</v>
      </c>
      <c r="M137" s="232">
        <f t="shared" si="33"/>
        <v>0</v>
      </c>
      <c r="N137" s="232">
        <f t="shared" si="33"/>
        <v>0</v>
      </c>
    </row>
    <row r="138" spans="6:14" ht="12.6" thickBot="1" x14ac:dyDescent="0.25">
      <c r="H138" s="152" t="s">
        <v>161</v>
      </c>
      <c r="I138" s="249">
        <f t="shared" si="34"/>
        <v>0</v>
      </c>
      <c r="J138" s="247">
        <f>SUM(J133:J137)</f>
        <v>0</v>
      </c>
      <c r="K138" s="247">
        <f>SUM(K133:K137)</f>
        <v>0</v>
      </c>
      <c r="L138" s="247">
        <f>SUM(L133:L137)</f>
        <v>0</v>
      </c>
      <c r="M138" s="247">
        <f>SUM(M133:M137)</f>
        <v>0</v>
      </c>
      <c r="N138" s="247">
        <f>SUM(N133:N137)</f>
        <v>0</v>
      </c>
    </row>
    <row r="139" spans="6:14" ht="12" x14ac:dyDescent="0.2">
      <c r="F139" s="443" t="str">
        <f>Strategy9</f>
        <v>Objetivo estratégico 9: [No está en uso]</v>
      </c>
      <c r="G139" s="274" t="str">
        <f>STRAT9_IND1</f>
        <v>Objetivo estratégico 9 Indicador 1</v>
      </c>
      <c r="H139" s="272" t="str">
        <f ca="1">OFFSET(Variables_Lu!$D$10,Basic_Setup!H82,0)</f>
        <v>Nutrition-specific</v>
      </c>
      <c r="I139" s="248">
        <f t="shared" si="34"/>
        <v>0</v>
      </c>
      <c r="J139" s="220">
        <f t="shared" ref="J139:N143" si="35">J68*EXCHANGE_RATE</f>
        <v>0</v>
      </c>
      <c r="K139" s="220">
        <f t="shared" si="35"/>
        <v>0</v>
      </c>
      <c r="L139" s="220">
        <f t="shared" si="35"/>
        <v>0</v>
      </c>
      <c r="M139" s="220">
        <f t="shared" si="35"/>
        <v>0</v>
      </c>
      <c r="N139" s="220">
        <f t="shared" si="35"/>
        <v>0</v>
      </c>
    </row>
    <row r="140" spans="6:14" ht="12" x14ac:dyDescent="0.2">
      <c r="F140" s="444"/>
      <c r="G140" s="42" t="str">
        <f>STRAT9_IND2</f>
        <v>Objetivo estratégico 9 Indicador 2</v>
      </c>
      <c r="H140" s="268" t="str">
        <f ca="1">OFFSET(Variables_Lu!$D$10,Basic_Setup!H83,0)</f>
        <v>Nutrition-specific</v>
      </c>
      <c r="I140" s="248">
        <f t="shared" si="34"/>
        <v>0</v>
      </c>
      <c r="J140" s="220">
        <f t="shared" si="35"/>
        <v>0</v>
      </c>
      <c r="K140" s="220">
        <f t="shared" si="35"/>
        <v>0</v>
      </c>
      <c r="L140" s="220">
        <f t="shared" si="35"/>
        <v>0</v>
      </c>
      <c r="M140" s="220">
        <f t="shared" si="35"/>
        <v>0</v>
      </c>
      <c r="N140" s="220">
        <f t="shared" si="35"/>
        <v>0</v>
      </c>
    </row>
    <row r="141" spans="6:14" ht="12" x14ac:dyDescent="0.2">
      <c r="F141" s="444"/>
      <c r="G141" s="42" t="str">
        <f>STRAT9_IND3</f>
        <v>Objetivo estratégico 9 Indicador 3</v>
      </c>
      <c r="H141" s="268" t="str">
        <f ca="1">OFFSET(Variables_Lu!$D$10,Basic_Setup!H84,0)</f>
        <v>Nutrition-specific</v>
      </c>
      <c r="I141" s="248">
        <f t="shared" si="34"/>
        <v>0</v>
      </c>
      <c r="J141" s="220">
        <f t="shared" si="35"/>
        <v>0</v>
      </c>
      <c r="K141" s="220">
        <f t="shared" si="35"/>
        <v>0</v>
      </c>
      <c r="L141" s="220">
        <f t="shared" si="35"/>
        <v>0</v>
      </c>
      <c r="M141" s="220">
        <f t="shared" si="35"/>
        <v>0</v>
      </c>
      <c r="N141" s="220">
        <f t="shared" si="35"/>
        <v>0</v>
      </c>
    </row>
    <row r="142" spans="6:14" ht="12" x14ac:dyDescent="0.2">
      <c r="F142" s="444"/>
      <c r="G142" s="41" t="str">
        <f>STRAT9_IND4</f>
        <v>Objetivo estratégico 9 Indicador 4</v>
      </c>
      <c r="H142" s="268" t="str">
        <f ca="1">OFFSET(Variables_Lu!$D$10,Basic_Setup!H85,0)</f>
        <v>Nutrition-specific</v>
      </c>
      <c r="I142" s="248">
        <f t="shared" si="34"/>
        <v>0</v>
      </c>
      <c r="J142" s="220">
        <f t="shared" si="35"/>
        <v>0</v>
      </c>
      <c r="K142" s="220">
        <f t="shared" si="35"/>
        <v>0</v>
      </c>
      <c r="L142" s="220">
        <f t="shared" si="35"/>
        <v>0</v>
      </c>
      <c r="M142" s="220">
        <f t="shared" si="35"/>
        <v>0</v>
      </c>
      <c r="N142" s="220">
        <f t="shared" si="35"/>
        <v>0</v>
      </c>
    </row>
    <row r="143" spans="6:14" ht="12.6" thickBot="1" x14ac:dyDescent="0.25">
      <c r="F143" s="445"/>
      <c r="G143" s="275" t="str">
        <f>STRAT9_IND5</f>
        <v>Objetivo estratégico 9 Indicador 5</v>
      </c>
      <c r="H143" s="270" t="str">
        <f ca="1">OFFSET(Variables_Lu!$D$10,Basic_Setup!H86,0)</f>
        <v>Nutrition-specific</v>
      </c>
      <c r="I143" s="248">
        <f t="shared" si="34"/>
        <v>0</v>
      </c>
      <c r="J143" s="232">
        <f t="shared" si="35"/>
        <v>0</v>
      </c>
      <c r="K143" s="232">
        <f t="shared" si="35"/>
        <v>0</v>
      </c>
      <c r="L143" s="232">
        <f t="shared" si="35"/>
        <v>0</v>
      </c>
      <c r="M143" s="232">
        <f t="shared" si="35"/>
        <v>0</v>
      </c>
      <c r="N143" s="232">
        <f t="shared" si="35"/>
        <v>0</v>
      </c>
    </row>
    <row r="144" spans="6:14" ht="12.6" thickBot="1" x14ac:dyDescent="0.25">
      <c r="H144" s="152" t="s">
        <v>162</v>
      </c>
      <c r="I144" s="249">
        <f t="shared" si="34"/>
        <v>0</v>
      </c>
      <c r="J144" s="247">
        <f>SUM(J139:J143)</f>
        <v>0</v>
      </c>
      <c r="K144" s="247">
        <f>SUM(K139:K143)</f>
        <v>0</v>
      </c>
      <c r="L144" s="247">
        <f>SUM(L139:L143)</f>
        <v>0</v>
      </c>
      <c r="M144" s="247">
        <f>SUM(M139:M143)</f>
        <v>0</v>
      </c>
      <c r="N144" s="247">
        <f>SUM(N139:N143)</f>
        <v>0</v>
      </c>
    </row>
    <row r="145" spans="1:14" ht="12" x14ac:dyDescent="0.2">
      <c r="F145" s="443" t="str">
        <f>Strategy10</f>
        <v>Objetivo estratégico 10: [No está en uso]</v>
      </c>
      <c r="G145" s="274" t="str">
        <f>STRAT10_IND1</f>
        <v>Objetivo estratégico 10 Indicador 1</v>
      </c>
      <c r="H145" s="272" t="str">
        <f ca="1">OFFSET(Variables_Lu!$D$10,Basic_Setup!H88,0)</f>
        <v>Nutrition-specific</v>
      </c>
      <c r="I145" s="248">
        <f t="shared" si="34"/>
        <v>0</v>
      </c>
      <c r="J145" s="220">
        <f t="shared" ref="J145:N149" si="36">J74*EXCHANGE_RATE</f>
        <v>0</v>
      </c>
      <c r="K145" s="220">
        <f t="shared" si="36"/>
        <v>0</v>
      </c>
      <c r="L145" s="220">
        <f t="shared" si="36"/>
        <v>0</v>
      </c>
      <c r="M145" s="220">
        <f t="shared" si="36"/>
        <v>0</v>
      </c>
      <c r="N145" s="220">
        <f t="shared" si="36"/>
        <v>0</v>
      </c>
    </row>
    <row r="146" spans="1:14" ht="12" x14ac:dyDescent="0.2">
      <c r="F146" s="444"/>
      <c r="G146" s="42" t="str">
        <f>STRAT10_IND2</f>
        <v>Objetivo estratégico 10 Indicador 2</v>
      </c>
      <c r="H146" s="268" t="str">
        <f ca="1">OFFSET(Variables_Lu!$D$10,Basic_Setup!H89,0)</f>
        <v>Nutrition-specific</v>
      </c>
      <c r="I146" s="248">
        <f t="shared" si="34"/>
        <v>0</v>
      </c>
      <c r="J146" s="220">
        <f t="shared" si="36"/>
        <v>0</v>
      </c>
      <c r="K146" s="220">
        <f t="shared" si="36"/>
        <v>0</v>
      </c>
      <c r="L146" s="220">
        <f t="shared" si="36"/>
        <v>0</v>
      </c>
      <c r="M146" s="220">
        <f t="shared" si="36"/>
        <v>0</v>
      </c>
      <c r="N146" s="220">
        <f t="shared" si="36"/>
        <v>0</v>
      </c>
    </row>
    <row r="147" spans="1:14" ht="12" x14ac:dyDescent="0.2">
      <c r="F147" s="444"/>
      <c r="G147" s="42" t="str">
        <f>STRAT10_IND3</f>
        <v>Objetivo estratégico 10 Indicador 3</v>
      </c>
      <c r="H147" s="268" t="str">
        <f ca="1">OFFSET(Variables_Lu!$D$10,Basic_Setup!H90,0)</f>
        <v>Nutrition-specific</v>
      </c>
      <c r="I147" s="248">
        <f t="shared" si="34"/>
        <v>0</v>
      </c>
      <c r="J147" s="220">
        <f t="shared" si="36"/>
        <v>0</v>
      </c>
      <c r="K147" s="220">
        <f t="shared" si="36"/>
        <v>0</v>
      </c>
      <c r="L147" s="220">
        <f t="shared" si="36"/>
        <v>0</v>
      </c>
      <c r="M147" s="220">
        <f t="shared" si="36"/>
        <v>0</v>
      </c>
      <c r="N147" s="220">
        <f t="shared" si="36"/>
        <v>0</v>
      </c>
    </row>
    <row r="148" spans="1:14" ht="12" x14ac:dyDescent="0.2">
      <c r="F148" s="444"/>
      <c r="G148" s="41" t="str">
        <f>STRAT10_IND4</f>
        <v>Objetivo estratégico 10 Indicador 4</v>
      </c>
      <c r="H148" s="268" t="str">
        <f ca="1">OFFSET(Variables_Lu!$D$10,Basic_Setup!H91,0)</f>
        <v>Nutrition-specific</v>
      </c>
      <c r="I148" s="248">
        <f t="shared" si="34"/>
        <v>0</v>
      </c>
      <c r="J148" s="220">
        <f t="shared" si="36"/>
        <v>0</v>
      </c>
      <c r="K148" s="220">
        <f t="shared" si="36"/>
        <v>0</v>
      </c>
      <c r="L148" s="220">
        <f t="shared" si="36"/>
        <v>0</v>
      </c>
      <c r="M148" s="220">
        <f t="shared" si="36"/>
        <v>0</v>
      </c>
      <c r="N148" s="220">
        <f t="shared" si="36"/>
        <v>0</v>
      </c>
    </row>
    <row r="149" spans="1:14" ht="12.6" thickBot="1" x14ac:dyDescent="0.25">
      <c r="F149" s="445"/>
      <c r="G149" s="275" t="str">
        <f>STRAT10_IND5</f>
        <v>Objetivo estratégico 10 Indicador 5</v>
      </c>
      <c r="H149" s="270" t="str">
        <f ca="1">OFFSET(Variables_Lu!$D$10,Basic_Setup!H92,0)</f>
        <v>Nutrition-specific</v>
      </c>
      <c r="I149" s="248">
        <f t="shared" si="34"/>
        <v>0</v>
      </c>
      <c r="J149" s="232">
        <f t="shared" si="36"/>
        <v>0</v>
      </c>
      <c r="K149" s="232">
        <f t="shared" si="36"/>
        <v>0</v>
      </c>
      <c r="L149" s="232">
        <f t="shared" si="36"/>
        <v>0</v>
      </c>
      <c r="M149" s="232">
        <f t="shared" si="36"/>
        <v>0</v>
      </c>
      <c r="N149" s="232">
        <f t="shared" si="36"/>
        <v>0</v>
      </c>
    </row>
    <row r="150" spans="1:14" ht="12" x14ac:dyDescent="0.2">
      <c r="H150" s="152" t="s">
        <v>163</v>
      </c>
      <c r="I150" s="249">
        <f t="shared" si="34"/>
        <v>0</v>
      </c>
      <c r="J150" s="247">
        <f>SUM(J145:J149)</f>
        <v>0</v>
      </c>
      <c r="K150" s="247">
        <f>SUM(K145:K149)</f>
        <v>0</v>
      </c>
      <c r="L150" s="247">
        <f>SUM(L145:L149)</f>
        <v>0</v>
      </c>
      <c r="M150" s="247">
        <f>SUM(M145:M149)</f>
        <v>0</v>
      </c>
      <c r="N150" s="247">
        <f>SUM(N145:N149)</f>
        <v>0</v>
      </c>
    </row>
    <row r="151" spans="1:14" x14ac:dyDescent="0.2">
      <c r="I151" s="231"/>
      <c r="J151" s="231"/>
      <c r="K151" s="231"/>
      <c r="L151" s="231"/>
      <c r="M151" s="231"/>
      <c r="N151" s="231"/>
    </row>
    <row r="152" spans="1:14" ht="12.6" thickBot="1" x14ac:dyDescent="0.25">
      <c r="H152" s="149" t="str">
        <f>"TOTAL - "&amp;$F$12</f>
        <v>TOTAL - [No está en uso]</v>
      </c>
      <c r="I152" s="222">
        <f t="shared" ref="I152:N152" si="37">I81*EXCHANGE_RATE</f>
        <v>0</v>
      </c>
      <c r="J152" s="222">
        <f t="shared" si="37"/>
        <v>0</v>
      </c>
      <c r="K152" s="222">
        <f t="shared" si="37"/>
        <v>0</v>
      </c>
      <c r="L152" s="222">
        <f t="shared" si="37"/>
        <v>0</v>
      </c>
      <c r="M152" s="222">
        <f t="shared" si="37"/>
        <v>0</v>
      </c>
      <c r="N152" s="222">
        <f t="shared" si="37"/>
        <v>0</v>
      </c>
    </row>
    <row r="153" spans="1:14" ht="12" x14ac:dyDescent="0.2">
      <c r="I153" s="149"/>
    </row>
    <row r="155" spans="1:14" x14ac:dyDescent="0.2">
      <c r="A155" s="39" t="s">
        <v>76</v>
      </c>
      <c r="B155" s="40" t="str">
        <f>"Summary of "&amp;Partner10&amp;" - by Result/Indicator Type"</f>
        <v>Summary of [No está en uso] - by Result/Indicator Type</v>
      </c>
      <c r="C155" s="40"/>
      <c r="D155" s="40"/>
      <c r="E155" s="40"/>
      <c r="F155" s="40"/>
      <c r="G155" s="40"/>
      <c r="H155" s="40"/>
      <c r="I155" s="40"/>
      <c r="J155" s="40"/>
      <c r="K155" s="40"/>
      <c r="L155" s="40"/>
      <c r="M155" s="40"/>
      <c r="N155" s="40"/>
    </row>
    <row r="157" spans="1:14" ht="12" x14ac:dyDescent="0.2">
      <c r="F157" s="148" t="str">
        <f>"Contributions - "&amp;CURR_LCU_ABBR</f>
        <v>Contributions - GOZ</v>
      </c>
    </row>
    <row r="158" spans="1:14" ht="12" x14ac:dyDescent="0.2">
      <c r="H158" s="136" t="s">
        <v>138</v>
      </c>
      <c r="I158" s="145" t="s">
        <v>106</v>
      </c>
      <c r="J158" s="56" t="str">
        <f>CURR_LCU_ABBR</f>
        <v>GOZ</v>
      </c>
      <c r="K158" s="56" t="str">
        <f>CURR_LCU_ABBR</f>
        <v>GOZ</v>
      </c>
      <c r="L158" s="56" t="str">
        <f>CURR_LCU_ABBR</f>
        <v>GOZ</v>
      </c>
      <c r="M158" s="56" t="str">
        <f>CURR_LCU_ABBR</f>
        <v>GOZ</v>
      </c>
      <c r="N158" s="56" t="str">
        <f>CURR_LCU_ABBR</f>
        <v>GOZ</v>
      </c>
    </row>
    <row r="159" spans="1:14" ht="12" x14ac:dyDescent="0.2">
      <c r="F159" s="38" t="str">
        <f>Lu_Nutrition_Specific</f>
        <v>Nutrition-specific</v>
      </c>
      <c r="G159" s="38"/>
      <c r="H159" s="289" t="e">
        <f ca="1">I159/$I$162</f>
        <v>#DIV/0!</v>
      </c>
      <c r="I159" s="68">
        <f ca="1">SUM(J159:N159)</f>
        <v>0</v>
      </c>
      <c r="J159" s="325">
        <f ca="1">SUMIF($H$91:$H$149,Lu_Nutrition_Specific,J$91:J$149)</f>
        <v>0</v>
      </c>
      <c r="K159" s="325">
        <f ca="1">SUMIF($H$91:$H$149,Lu_Nutrition_Specific,K$91:K$149)</f>
        <v>0</v>
      </c>
      <c r="L159" s="325">
        <f ca="1">SUMIF($H$91:$H$149,Lu_Nutrition_Specific,L$91:L$149)</f>
        <v>0</v>
      </c>
      <c r="M159" s="325">
        <f ca="1">SUMIF($H$91:$H$149,Lu_Nutrition_Specific,M$91:M$149)</f>
        <v>0</v>
      </c>
      <c r="N159" s="325">
        <f ca="1">SUMIF($H$91:$H$149,Lu_Nutrition_Specific,N$91:N$149)</f>
        <v>0</v>
      </c>
    </row>
    <row r="160" spans="1:14" ht="12" x14ac:dyDescent="0.2">
      <c r="F160" s="38" t="str">
        <f>Lu_Nutrition_Sensitive</f>
        <v>Nutrition-sensitive</v>
      </c>
      <c r="G160" s="38"/>
      <c r="H160" s="289" t="e">
        <f t="shared" ref="H160:H161" ca="1" si="38">I160/$I$162</f>
        <v>#DIV/0!</v>
      </c>
      <c r="I160" s="69">
        <f t="shared" ref="I160:I161" ca="1" si="39">SUM(J160:N160)</f>
        <v>0</v>
      </c>
      <c r="J160" s="325">
        <f ca="1">SUMIF($H$91:$H$149,Lu_Nutrition_Sensitive,J$91:J$149)</f>
        <v>0</v>
      </c>
      <c r="K160" s="325">
        <f ca="1">SUMIF($H$91:$H$149,Lu_Nutrition_Sensitive,K$91:K$149)</f>
        <v>0</v>
      </c>
      <c r="L160" s="325">
        <f ca="1">SUMIF($H$91:$H$149,Lu_Nutrition_Sensitive,L$91:L$149)</f>
        <v>0</v>
      </c>
      <c r="M160" s="325">
        <f ca="1">SUMIF($H$91:$H$149,Lu_Nutrition_Sensitive,M$91:M$149)</f>
        <v>0</v>
      </c>
      <c r="N160" s="325">
        <f ca="1">SUMIF($H$91:$H$149,Lu_Nutrition_Sensitive,N$91:N$149)</f>
        <v>0</v>
      </c>
    </row>
    <row r="161" spans="6:14" ht="12" x14ac:dyDescent="0.2">
      <c r="F161" s="38" t="str">
        <f>Lu_Governance</f>
        <v>Governance</v>
      </c>
      <c r="G161" s="38"/>
      <c r="H161" s="289" t="e">
        <f t="shared" ca="1" si="38"/>
        <v>#DIV/0!</v>
      </c>
      <c r="I161" s="396">
        <f t="shared" ca="1" si="39"/>
        <v>0</v>
      </c>
      <c r="J161" s="325">
        <f ca="1">SUMIF($H$91:$H$149,Lu_Governance,J$91:J$149)</f>
        <v>0</v>
      </c>
      <c r="K161" s="325">
        <f ca="1">SUMIF($H$91:$H$149,Lu_Governance,K$91:K$149)</f>
        <v>0</v>
      </c>
      <c r="L161" s="325">
        <f ca="1">SUMIF($H$91:$H$149,Lu_Governance,L$91:L$149)</f>
        <v>0</v>
      </c>
      <c r="M161" s="325">
        <f ca="1">SUMIF($H$91:$H$149,Lu_Governance,M$91:M$149)</f>
        <v>0</v>
      </c>
      <c r="N161" s="325">
        <f ca="1">SUMIF($H$91:$H$149,Lu_Governance,N$91:N$149)</f>
        <v>0</v>
      </c>
    </row>
    <row r="162" spans="6:14" ht="12" x14ac:dyDescent="0.2">
      <c r="F162" s="324" t="str">
        <f>"TOTAL - "&amp;Summary_Govt_Contributions!$F$12&amp;" ("&amp;CURR_LCU_ABBR&amp;")"</f>
        <v>TOTAL - TODAS las contribuciones de las agencias gubernamentales (GOZ)</v>
      </c>
      <c r="G162" s="74"/>
      <c r="H162" s="291" t="e">
        <f ca="1">SUM(H159:H161)</f>
        <v>#DIV/0!</v>
      </c>
      <c r="I162" s="57">
        <f ca="1">SUM(J162:N162)</f>
        <v>0</v>
      </c>
      <c r="J162" s="55">
        <f ca="1">SUM(J159:J161)</f>
        <v>0</v>
      </c>
      <c r="K162" s="55">
        <f t="shared" ref="K162:N162" ca="1" si="40">SUM(K159:K161)</f>
        <v>0</v>
      </c>
      <c r="L162" s="55">
        <f t="shared" ca="1" si="40"/>
        <v>0</v>
      </c>
      <c r="M162" s="55">
        <f t="shared" ca="1" si="40"/>
        <v>0</v>
      </c>
      <c r="N162" s="55">
        <f t="shared" ca="1" si="40"/>
        <v>0</v>
      </c>
    </row>
    <row r="164" spans="6:14" ht="12" x14ac:dyDescent="0.2">
      <c r="F164" s="148" t="str">
        <f>"Contributions - "&amp;CURR_INT_ABBR</f>
        <v>Contributions - USD</v>
      </c>
    </row>
    <row r="165" spans="6:14" ht="12" x14ac:dyDescent="0.2">
      <c r="F165" s="148"/>
      <c r="H165" s="136" t="s">
        <v>138</v>
      </c>
      <c r="I165" s="145" t="s">
        <v>106</v>
      </c>
      <c r="J165" s="56" t="str">
        <f>CURR_INT_ABBR</f>
        <v>USD</v>
      </c>
      <c r="K165" s="56" t="str">
        <f>CURR_INT_ABBR</f>
        <v>USD</v>
      </c>
      <c r="L165" s="56" t="str">
        <f>CURR_INT_ABBR</f>
        <v>USD</v>
      </c>
      <c r="M165" s="56" t="str">
        <f>CURR_INT_ABBR</f>
        <v>USD</v>
      </c>
      <c r="N165" s="56" t="str">
        <f>CURR_INT_ABBR</f>
        <v>USD</v>
      </c>
    </row>
    <row r="166" spans="6:14" ht="12" x14ac:dyDescent="0.2">
      <c r="F166" t="str">
        <f>Lu_Nutrition_Specific</f>
        <v>Nutrition-specific</v>
      </c>
      <c r="H166" s="289" t="e">
        <f ca="1">I166/$I$169</f>
        <v>#DIV/0!</v>
      </c>
      <c r="I166" s="404">
        <f ca="1">SUM(J166:N166)</f>
        <v>0</v>
      </c>
      <c r="J166" s="407">
        <f t="shared" ref="J166:N168" ca="1" si="41">J159/EXCHANGE_RATE</f>
        <v>0</v>
      </c>
      <c r="K166" s="407">
        <f t="shared" ca="1" si="41"/>
        <v>0</v>
      </c>
      <c r="L166" s="407">
        <f t="shared" ca="1" si="41"/>
        <v>0</v>
      </c>
      <c r="M166" s="407">
        <f t="shared" ca="1" si="41"/>
        <v>0</v>
      </c>
      <c r="N166" s="407">
        <f t="shared" ca="1" si="41"/>
        <v>0</v>
      </c>
    </row>
    <row r="167" spans="6:14" ht="12" x14ac:dyDescent="0.2">
      <c r="F167" t="str">
        <f>Lu_Nutrition_Sensitive</f>
        <v>Nutrition-sensitive</v>
      </c>
      <c r="H167" s="289" t="e">
        <f t="shared" ref="H167:H168" ca="1" si="42">I167/$I$169</f>
        <v>#DIV/0!</v>
      </c>
      <c r="I167" s="404">
        <f t="shared" ref="I167:I168" ca="1" si="43">SUM(J167:N167)</f>
        <v>0</v>
      </c>
      <c r="J167" s="407">
        <f t="shared" ca="1" si="41"/>
        <v>0</v>
      </c>
      <c r="K167" s="407">
        <f t="shared" ca="1" si="41"/>
        <v>0</v>
      </c>
      <c r="L167" s="407">
        <f t="shared" ca="1" si="41"/>
        <v>0</v>
      </c>
      <c r="M167" s="407">
        <f t="shared" ca="1" si="41"/>
        <v>0</v>
      </c>
      <c r="N167" s="407">
        <f t="shared" ca="1" si="41"/>
        <v>0</v>
      </c>
    </row>
    <row r="168" spans="6:14" ht="12" x14ac:dyDescent="0.2">
      <c r="F168" t="str">
        <f>Lu_Governance</f>
        <v>Governance</v>
      </c>
      <c r="H168" s="289" t="e">
        <f t="shared" ca="1" si="42"/>
        <v>#DIV/0!</v>
      </c>
      <c r="I168" s="404">
        <f t="shared" ca="1" si="43"/>
        <v>0</v>
      </c>
      <c r="J168" s="407">
        <f t="shared" ca="1" si="41"/>
        <v>0</v>
      </c>
      <c r="K168" s="407">
        <f t="shared" ca="1" si="41"/>
        <v>0</v>
      </c>
      <c r="L168" s="407">
        <f t="shared" ca="1" si="41"/>
        <v>0</v>
      </c>
      <c r="M168" s="407">
        <f t="shared" ca="1" si="41"/>
        <v>0</v>
      </c>
      <c r="N168" s="407">
        <f t="shared" ca="1" si="41"/>
        <v>0</v>
      </c>
    </row>
    <row r="169" spans="6:14" ht="12" x14ac:dyDescent="0.2">
      <c r="F169" s="324" t="str">
        <f>"TOTAL - "&amp;Summary_Govt_Contributions!$F$12&amp;" ("&amp;CURR_INT_ABBR&amp;")"</f>
        <v>TOTAL - TODAS las contribuciones de las agencias gubernamentales (USD)</v>
      </c>
      <c r="G169" s="74"/>
      <c r="H169" s="291" t="e">
        <f ca="1">SUM(H166:H168)</f>
        <v>#DIV/0!</v>
      </c>
      <c r="I169" s="295">
        <f ca="1">SUM(J169:N169)</f>
        <v>0</v>
      </c>
      <c r="J169" s="408">
        <f ca="1">SUM(J166:J168)</f>
        <v>0</v>
      </c>
      <c r="K169" s="408">
        <f t="shared" ref="K169:N169" ca="1" si="44">SUM(K166:K168)</f>
        <v>0</v>
      </c>
      <c r="L169" s="408">
        <f t="shared" ca="1" si="44"/>
        <v>0</v>
      </c>
      <c r="M169" s="408">
        <f t="shared" ca="1" si="44"/>
        <v>0</v>
      </c>
      <c r="N169" s="408">
        <f t="shared" ca="1" si="44"/>
        <v>0</v>
      </c>
    </row>
  </sheetData>
  <mergeCells count="21">
    <mergeCell ref="F91:F95"/>
    <mergeCell ref="B3:F3"/>
    <mergeCell ref="F20:F24"/>
    <mergeCell ref="F26:F30"/>
    <mergeCell ref="F32:F36"/>
    <mergeCell ref="F38:F42"/>
    <mergeCell ref="F44:F48"/>
    <mergeCell ref="F50:F54"/>
    <mergeCell ref="F56:F60"/>
    <mergeCell ref="F62:F66"/>
    <mergeCell ref="F68:F72"/>
    <mergeCell ref="F74:F78"/>
    <mergeCell ref="F133:F137"/>
    <mergeCell ref="F139:F143"/>
    <mergeCell ref="F145:F149"/>
    <mergeCell ref="F97:F101"/>
    <mergeCell ref="F103:F107"/>
    <mergeCell ref="F109:F113"/>
    <mergeCell ref="F115:F119"/>
    <mergeCell ref="F121:F125"/>
    <mergeCell ref="F127:F131"/>
  </mergeCells>
  <dataValidations count="1">
    <dataValidation type="custom" showErrorMessage="1" errorTitle="Invalid Assumption" error="Assumption must be a number." sqref="J20:N23 J32:N36 J26:N30 J44:N48 J50:N54 J56:N60 J62:N66 J68:N72 J74:N78 J38:N42 J103:N107 J97:N101 J91:N95 J109:N113 J115:N119 J121:N125 J127:N131 J133:N137 J139:N143 J145:N149" xr:uid="{00000000-0002-0000-1E00-000000000000}">
      <formula1>NOT(ISERROR(J20/1))</formula1>
    </dataValidation>
  </dataValidations>
  <hyperlinks>
    <hyperlink ref="A14" location="HL_Mod_Out" tooltip="Click to follow hyperlink." display="ð" xr:uid="{00000000-0004-0000-1E00-000000000000}"/>
    <hyperlink ref="B4" location="Partner9!HL_Sheet_Main_13" tooltip="Go to Previous Sheet" display="ç" xr:uid="{00000000-0004-0000-1E00-000001000000}"/>
    <hyperlink ref="C4" location="HL_Sheet_Main_3" tooltip="Go to Next Sheet" display="è" xr:uid="{00000000-0004-0000-1E00-000002000000}"/>
    <hyperlink ref="A4" r:id="rId1" tooltip="Go to Top of Sheet" xr:uid="{00000000-0004-0000-1E00-000003000000}"/>
    <hyperlink ref="B3" location="HL_Home" tooltip="Go to Table of Contents" display="Go to Table of Contents" xr:uid="{00000000-0004-0000-1E00-000004000000}"/>
    <hyperlink ref="A155" location="HL_Mod_Out" tooltip="Click to follow hyperlink." display="ð" xr:uid="{00000000-0004-0000-1E00-000005000000}"/>
  </hyperlinks>
  <pageMargins left="0.4" right="0.4" top="0.6" bottom="1" header="0" footer="0.3"/>
  <pageSetup orientation="landscape" r:id="rId2"/>
  <headerFooter>
    <oddFooter>&amp;L&amp;F
&amp;A
Printed: &amp;T on &amp;D&amp;C&amp;",Bold"Sheet 2.v.
Page &amp;P of &amp;N</oddFooter>
  </headerFooter>
  <drawing r:id="rId3"/>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2">
    <tabColor rgb="FFC00000"/>
    <pageSetUpPr fitToPage="1"/>
  </sheetPr>
  <dimension ref="C9:G45"/>
  <sheetViews>
    <sheetView showGridLines="0" topLeftCell="A16" workbookViewId="0">
      <selection activeCell="E31" sqref="E31"/>
    </sheetView>
  </sheetViews>
  <sheetFormatPr defaultColWidth="11.75" defaultRowHeight="11.4" x14ac:dyDescent="0.2"/>
  <cols>
    <col min="3" max="6" width="3.75" customWidth="1"/>
  </cols>
  <sheetData>
    <row r="9" spans="3:7" ht="13.8" x14ac:dyDescent="0.2">
      <c r="C9" s="2" t="s">
        <v>353</v>
      </c>
    </row>
    <row r="10" spans="3:7" ht="13.2" x14ac:dyDescent="0.2">
      <c r="C10" s="9" t="s">
        <v>24</v>
      </c>
    </row>
    <row r="11" spans="3:7" ht="13.2" x14ac:dyDescent="0.2">
      <c r="C11" s="5" t="str">
        <f>Model_Name</f>
        <v>Financial Gap Analysis Tool - País X (Datos de la muestra)</v>
      </c>
    </row>
    <row r="12" spans="3:7" x14ac:dyDescent="0.2">
      <c r="C12" s="425" t="s">
        <v>524</v>
      </c>
      <c r="D12" s="425"/>
      <c r="E12" s="425"/>
      <c r="F12" s="425"/>
      <c r="G12" s="425"/>
    </row>
    <row r="13" spans="3:7" x14ac:dyDescent="0.2">
      <c r="C13" s="7" t="s">
        <v>2</v>
      </c>
      <c r="D13" s="8" t="s">
        <v>3</v>
      </c>
    </row>
    <row r="17" spans="3:5" ht="12" x14ac:dyDescent="0.2">
      <c r="C17" s="3" t="s">
        <v>525</v>
      </c>
    </row>
    <row r="18" spans="3:5" x14ac:dyDescent="0.2">
      <c r="C18" s="4"/>
    </row>
    <row r="19" spans="3:5" ht="12" x14ac:dyDescent="0.2">
      <c r="C19" s="4"/>
      <c r="D19" s="230" t="s">
        <v>414</v>
      </c>
    </row>
    <row r="20" spans="3:5" ht="12" x14ac:dyDescent="0.2">
      <c r="C20" s="4"/>
      <c r="D20" s="230"/>
      <c r="E20" s="100" t="str">
        <f>Summary_Govt_Contributions!B14</f>
        <v>Resumen - Contribuciones anuales planificadas del gobierno (todos los objetivos estratégicos), por agencia</v>
      </c>
    </row>
    <row r="21" spans="3:5" ht="12" x14ac:dyDescent="0.2">
      <c r="C21" s="4"/>
      <c r="D21" s="230"/>
      <c r="E21" s="100" t="str">
        <f>Summary_Govt_Contributions!B46</f>
        <v>Resumen - Contribuciones anuales planificadas del gobierno (todos los organismos), por objetivo estratégico</v>
      </c>
    </row>
    <row r="22" spans="3:5" x14ac:dyDescent="0.2">
      <c r="C22" s="4"/>
      <c r="E22" s="100" t="str">
        <f>HL_Mod_Out</f>
        <v>Resumen - Contribuciones anuales planificadas de los socios (todos los objetivos estratégicos), por socio</v>
      </c>
    </row>
    <row r="23" spans="3:5" x14ac:dyDescent="0.2">
      <c r="E23" s="100" t="str">
        <f>Summary_Partner_Contributions!B96</f>
        <v>Resumen - Contribuciones anuales previstas de los socios (todos los socios), por objetivo estratégico y resultado/indicador</v>
      </c>
    </row>
    <row r="25" spans="3:5" ht="12" x14ac:dyDescent="0.2">
      <c r="D25" s="230" t="s">
        <v>417</v>
      </c>
    </row>
    <row r="26" spans="3:5" x14ac:dyDescent="0.2">
      <c r="E26" s="100" t="str">
        <f>Summary_Available_Funds!B14</f>
        <v>Resumen - Fondos anuales disponibles planificados, por objetivo estratégico</v>
      </c>
    </row>
    <row r="27" spans="3:5" x14ac:dyDescent="0.2">
      <c r="E27" s="100" t="str">
        <f>Summary_Available_Funds!B46</f>
        <v>Resumen - Fondos anuales disponibles planificados, por resultado/tipo de indicador</v>
      </c>
    </row>
    <row r="28" spans="3:5" x14ac:dyDescent="0.2">
      <c r="E28" s="100" t="str">
        <f>HL_Mod_Out_A</f>
        <v>Resumen - Total de fondos anuales disponibles, por objetivo estratégico y resultado/indicador</v>
      </c>
    </row>
    <row r="30" spans="3:5" ht="12" x14ac:dyDescent="0.2">
      <c r="D30" s="230" t="s">
        <v>512</v>
      </c>
    </row>
    <row r="31" spans="3:5" ht="12" x14ac:dyDescent="0.2">
      <c r="D31" s="230"/>
      <c r="E31" s="100" t="str">
        <f>HL_Mod_Out_Sum_A</f>
        <v>Resumen: Brechas financieras anuales entre las necesidades financieras y los fondos disponibles</v>
      </c>
    </row>
    <row r="32" spans="3:5" ht="12" x14ac:dyDescent="0.2">
      <c r="D32" s="230"/>
      <c r="E32" s="100" t="str">
        <f>Summary_Financial_Gaps!B32</f>
        <v>Brechas financieras anuales entre las necesidades financieras y los fondos disponibles, por objetivo estratégico</v>
      </c>
    </row>
    <row r="33" spans="4:5" ht="12" x14ac:dyDescent="0.2">
      <c r="D33" s="230"/>
      <c r="E33" s="100" t="str">
        <f>Summary_Financial_Gaps!B69</f>
        <v>Resumen - Brecha financiera anual total, por resultado/tipo de indicador</v>
      </c>
    </row>
    <row r="34" spans="4:5" ht="12" x14ac:dyDescent="0.2">
      <c r="D34" s="230"/>
      <c r="E34" s="100" t="str">
        <f>Summary_Financial_Gaps!B87</f>
        <v>Resumen - Brecha financiera anual total, por objetivo estratégico y resultado/indicador</v>
      </c>
    </row>
    <row r="36" spans="4:5" ht="12" x14ac:dyDescent="0.2">
      <c r="D36" s="230" t="s">
        <v>418</v>
      </c>
    </row>
    <row r="37" spans="4:5" x14ac:dyDescent="0.2">
      <c r="E37" s="100" t="str">
        <f>Financial_Gap_Details!B6</f>
        <v>Detailed Report of Financial Requirements, Financing Available (by Contributor), and Financial Gap (2019 - 2023)</v>
      </c>
    </row>
    <row r="38" spans="4:5" x14ac:dyDescent="0.2">
      <c r="E38" s="100" t="str">
        <f>HL_Mod_Out_Sum</f>
        <v>Detailed Report of Financial Requirements, Financing Available (by Contributor), and Financial Gap -2019</v>
      </c>
    </row>
    <row r="39" spans="4:5" x14ac:dyDescent="0.2">
      <c r="E39" s="100" t="str">
        <f>Financial_Gap_Details!B316</f>
        <v>Detailed Report of Financial Requirements, Financing Available (by Contributor), and Financial Gap -2020</v>
      </c>
    </row>
    <row r="40" spans="4:5" x14ac:dyDescent="0.2">
      <c r="E40" s="100" t="str">
        <f>Financial_Gap_Details!B471</f>
        <v>Detailed Report of Financial Requirements, Financing Available (by Contributor), and Financial Gap -2021</v>
      </c>
    </row>
    <row r="41" spans="4:5" x14ac:dyDescent="0.2">
      <c r="E41" s="100" t="str">
        <f>Financial_Gap_Details!B626</f>
        <v>Detailed Report of Financial Requirements, Financing Available (by Contributor), and Financial Gap -2022</v>
      </c>
    </row>
    <row r="42" spans="4:5" x14ac:dyDescent="0.2">
      <c r="E42" s="100" t="str">
        <f>Financial_Gap_Details!B781</f>
        <v>Detailed Report of Financial Requirements, Financing Available (by Contributor), and Financial Gap -2023</v>
      </c>
    </row>
    <row r="45" spans="4:5" ht="9.75" customHeight="1" x14ac:dyDescent="0.2"/>
  </sheetData>
  <sheetProtection algorithmName="SHA-512" hashValue="rUsTQnDpaw1j9toHrmvro+7spKcZTK9UuRH5k0wfpyhlMupHgun7+deq0GfxUY6IMdkoEK7W4nGt0pEDuelzTg==" saltValue="8W32GuNpyRV+3iSNtFoHdw==" spinCount="100000" sheet="1" objects="1" scenarios="1"/>
  <mergeCells count="1">
    <mergeCell ref="C12:G12"/>
  </mergeCells>
  <hyperlinks>
    <hyperlink ref="C13" location="Partner10!HL_Sheet_Main_13" tooltip="Go to Previous Sheet" display="ç" xr:uid="{00000000-0004-0000-1F00-000000000000}"/>
    <hyperlink ref="E22" location="Summary_Partner_Contributions!B14" display="Summary - Annual Planned Partner Contributions (All Strategic Objectives)- by Partner" xr:uid="{00000000-0004-0000-1F00-000001000000}"/>
    <hyperlink ref="E23" location="Summary_Partner_Contributions!B46" display="Summary_Partner_Contributions!B46" xr:uid="{00000000-0004-0000-1F00-000002000000}"/>
    <hyperlink ref="E27" location="Summary_Available_Funds!B78" display="Summary: Annual Available Funds from all Patners and Government, by Strategic Objective" xr:uid="{00000000-0004-0000-1F00-000003000000}"/>
    <hyperlink ref="E26" location="Summary_Available_Funds!B14" display="Summary_Available_Funds!B14" xr:uid="{00000000-0004-0000-1F00-000004000000}"/>
    <hyperlink ref="E42" location="Financial_Gap_Details!B781" display="Financial_Gap_Details!B781" xr:uid="{00000000-0004-0000-1F00-000005000000}"/>
    <hyperlink ref="E41" location="Financial_Gap_Details!B626" display="Financial_Gap_Details!B626" xr:uid="{00000000-0004-0000-1F00-000006000000}"/>
    <hyperlink ref="E40" location="Financial_Gap_Details!B471" display="Financial_Gap_Details!B471" xr:uid="{00000000-0004-0000-1F00-000007000000}"/>
    <hyperlink ref="E39" location="Financial_Gap_Details!B316" display="Financial_Gap_Details!B316" xr:uid="{00000000-0004-0000-1F00-000008000000}"/>
    <hyperlink ref="E38" location="HL_Mod_Out_Sum" display="HL_Mod_Out_Sum" xr:uid="{00000000-0004-0000-1F00-000009000000}"/>
    <hyperlink ref="E37" location="Financial_Gap_Details!B6" display="Financial_Gap_Details!B6" xr:uid="{00000000-0004-0000-1F00-00000A000000}"/>
    <hyperlink ref="D13" location="Summary_Govt_Contributions!HL_Sheet_Main_14" tooltip="Go to Next Sheet" display="è" xr:uid="{00000000-0004-0000-1F00-00000B000000}"/>
    <hyperlink ref="C12" location="HL_Home" tooltip="Go to Table of Contents" display="Ir al índice" xr:uid="{00000000-0004-0000-1F00-00000C000000}"/>
    <hyperlink ref="E20" location="Summary_Govt_Contributions!B14" display="Summary_Govt_Contributions!B14" xr:uid="{00000000-0004-0000-1F00-00000D000000}"/>
    <hyperlink ref="E21" location="Summary_Govt_Contributions!B46" display="Summary_Govt_Contributions!B46" xr:uid="{00000000-0004-0000-1F00-00000E000000}"/>
    <hyperlink ref="E28" location="Summary_Available_Funds!B64" display="Summary_Available_Funds!B64" xr:uid="{00000000-0004-0000-1F00-00000F000000}"/>
    <hyperlink ref="E31" location="HL_Mod_Out_Sum_A" display="HL_Mod_Out_Sum_A" xr:uid="{00000000-0004-0000-1F00-000010000000}"/>
    <hyperlink ref="E32" location="Summary_Financial_Gaps!B32" display="Summary_Financial_Gaps!B32" xr:uid="{00000000-0004-0000-1F00-000011000000}"/>
    <hyperlink ref="E33" location="Summary_Financial_Gaps!B69" display="Summary_Financial_Gaps!B69" xr:uid="{00000000-0004-0000-1F00-000012000000}"/>
    <hyperlink ref="E34" location="Summary_Financial_Gaps!B87" display="Summary_Financial_Gaps!B87" xr:uid="{00000000-0004-0000-1F00-000013000000}"/>
  </hyperlinks>
  <pageMargins left="0.4" right="0.4" top="0.6" bottom="1" header="0" footer="0.3"/>
  <pageSetup orientation="landscape" r:id="rId1"/>
  <headerFooter>
    <oddFooter>&amp;L&amp;F
&amp;A
Impreso: &amp;T en &amp;D&amp;C&amp;",Bold"Section 3.
Página &amp;P de &amp;N</oddFooter>
  </headerFooter>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sheetPr>
  <dimension ref="A1:N240"/>
  <sheetViews>
    <sheetView showGridLines="0" workbookViewId="0">
      <pane ySplit="12" topLeftCell="A256" activePane="bottomLeft" state="frozen"/>
      <selection pane="bottomLeft" activeCell="G66" sqref="G66"/>
    </sheetView>
  </sheetViews>
  <sheetFormatPr defaultColWidth="11.75" defaultRowHeight="11.4" x14ac:dyDescent="0.2"/>
  <cols>
    <col min="1" max="5" width="3.75" customWidth="1"/>
    <col min="6" max="6" width="31.375" customWidth="1"/>
    <col min="7" max="7" width="52" customWidth="1"/>
    <col min="8" max="8" width="29.125" customWidth="1"/>
    <col min="9" max="9" width="21.875" customWidth="1"/>
    <col min="10" max="14" width="20.75" customWidth="1"/>
  </cols>
  <sheetData>
    <row r="1" spans="1:14" ht="13.8" x14ac:dyDescent="0.2">
      <c r="B1" s="143" t="str">
        <f ca="1">IF(ISERROR(RIGHT(CELL("filename",$A$1),LEN(CELL("filename",$A$1))-FIND("]",CELL("filename",$A$1)))),"This workbook never saved",RIGHT(CELL("filename",$A$1),LEN(CELL("filename",$A$1))-FIND("]",CELL("filename",$A$1))))&amp;" :Planned Contributions"</f>
        <v>Summary_Govt_Contributions :Planned Contributions</v>
      </c>
    </row>
    <row r="2" spans="1:14" ht="13.2" x14ac:dyDescent="0.2">
      <c r="B2" s="5" t="str">
        <f>Model_Name</f>
        <v>Financial Gap Analysis Tool - País X (Datos de la muestra)</v>
      </c>
    </row>
    <row r="3" spans="1:14" x14ac:dyDescent="0.2">
      <c r="B3" s="425" t="s">
        <v>524</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ht="10.5" customHeight="1" collapsed="1" x14ac:dyDescent="0.2"/>
    <row r="12" spans="1:14" ht="10.5" customHeight="1" x14ac:dyDescent="0.2">
      <c r="F12" s="254" t="s">
        <v>479</v>
      </c>
    </row>
    <row r="13" spans="1:14" ht="10.5" customHeight="1" x14ac:dyDescent="0.2"/>
    <row r="14" spans="1:14" x14ac:dyDescent="0.2">
      <c r="A14" s="35" t="s">
        <v>77</v>
      </c>
      <c r="B14" s="1" t="s">
        <v>480</v>
      </c>
      <c r="C14" s="1"/>
      <c r="D14" s="1"/>
      <c r="E14" s="1"/>
      <c r="F14" s="1"/>
      <c r="G14" s="1"/>
      <c r="H14" s="1"/>
      <c r="I14" s="1"/>
      <c r="J14" s="1"/>
      <c r="K14" s="1"/>
      <c r="L14" s="1"/>
      <c r="M14" s="1"/>
      <c r="N14" s="1"/>
    </row>
    <row r="16" spans="1:14" ht="12" x14ac:dyDescent="0.2">
      <c r="F16" s="148" t="str">
        <f>"Contributions - "&amp;CURR_LCU_ABBR</f>
        <v>Contributions - GOZ</v>
      </c>
      <c r="G16" s="50"/>
      <c r="H16" s="73"/>
      <c r="I16" s="80"/>
      <c r="J16" s="80"/>
      <c r="K16" s="80"/>
      <c r="L16" s="80"/>
      <c r="M16" s="80"/>
      <c r="N16" s="80"/>
    </row>
    <row r="17" spans="6:14" ht="12" x14ac:dyDescent="0.2">
      <c r="G17" s="50"/>
      <c r="H17" s="73"/>
      <c r="I17" s="80"/>
      <c r="J17" s="80"/>
      <c r="K17" s="80"/>
      <c r="L17" s="80"/>
      <c r="M17" s="80"/>
      <c r="N17" s="80"/>
    </row>
    <row r="18" spans="6:14" ht="12" x14ac:dyDescent="0.2">
      <c r="G18" s="50"/>
      <c r="H18" s="136" t="s">
        <v>548</v>
      </c>
      <c r="I18" s="145" t="s">
        <v>106</v>
      </c>
      <c r="J18" s="56" t="str">
        <f>CURR_LCU_ABBR</f>
        <v>GOZ</v>
      </c>
      <c r="K18" s="56" t="str">
        <f>CURR_LCU_ABBR</f>
        <v>GOZ</v>
      </c>
      <c r="L18" s="56" t="str">
        <f>CURR_LCU_ABBR</f>
        <v>GOZ</v>
      </c>
      <c r="M18" s="56" t="str">
        <f>CURR_LCU_ABBR</f>
        <v>GOZ</v>
      </c>
      <c r="N18" s="56" t="str">
        <f>CURR_LCU_ABBR</f>
        <v>GOZ</v>
      </c>
    </row>
    <row r="19" spans="6:14" ht="12" x14ac:dyDescent="0.2">
      <c r="F19" t="str">
        <f>Government1</f>
        <v>Ministerio de Agricultura y Ganadería</v>
      </c>
      <c r="G19" s="50"/>
      <c r="H19" s="289">
        <f>I19/$I$29</f>
        <v>0.14343778172474286</v>
      </c>
      <c r="I19" s="69">
        <f>SUM(J19:N19)</f>
        <v>21372580500.075001</v>
      </c>
      <c r="J19" s="290">
        <f>Government1!J$81</f>
        <v>4274516100.0149999</v>
      </c>
      <c r="K19" s="290">
        <f>Government1!K$81</f>
        <v>4274516100.0149999</v>
      </c>
      <c r="L19" s="290">
        <f>Government1!L$81</f>
        <v>4274516100.0149999</v>
      </c>
      <c r="M19" s="290">
        <f>Government1!M$81</f>
        <v>4274516100.0149999</v>
      </c>
      <c r="N19" s="290">
        <f>Government1!N$81</f>
        <v>4274516100.0149999</v>
      </c>
    </row>
    <row r="20" spans="6:14" ht="12" x14ac:dyDescent="0.2">
      <c r="F20" t="str">
        <f>Government2</f>
        <v>Ministerio de Energía y Minas</v>
      </c>
      <c r="G20" s="50"/>
      <c r="H20" s="289">
        <f t="shared" ref="H20:H28" si="2">I20/$I$29</f>
        <v>1.6457331561344976E-2</v>
      </c>
      <c r="I20" s="69">
        <f t="shared" ref="I20:I28" si="3">SUM(J20:N20)</f>
        <v>2452182677.2687502</v>
      </c>
      <c r="J20" s="290">
        <f>Government2!J$81</f>
        <v>490436535.45375007</v>
      </c>
      <c r="K20" s="290">
        <f>Government2!K$81</f>
        <v>490436535.45375007</v>
      </c>
      <c r="L20" s="290">
        <f>Government2!L$81</f>
        <v>490436535.45375007</v>
      </c>
      <c r="M20" s="290">
        <f>Government2!M$81</f>
        <v>490436535.45375007</v>
      </c>
      <c r="N20" s="290">
        <f>Government2!N$81</f>
        <v>490436535.45375007</v>
      </c>
    </row>
    <row r="21" spans="6:14" ht="12" x14ac:dyDescent="0.2">
      <c r="F21" t="str">
        <f>Government3</f>
        <v>Ministerio de Educación Nacional, de Educación Superior e Investigación Científica</v>
      </c>
      <c r="G21" s="50"/>
      <c r="H21" s="289">
        <f t="shared" si="2"/>
        <v>4.3187210145049219E-2</v>
      </c>
      <c r="I21" s="69">
        <f t="shared" si="3"/>
        <v>6435000000</v>
      </c>
      <c r="J21" s="290">
        <f>Government3!J$81</f>
        <v>1287000000</v>
      </c>
      <c r="K21" s="290">
        <f>Government3!K$81</f>
        <v>1287000000</v>
      </c>
      <c r="L21" s="290">
        <f>Government3!L$81</f>
        <v>1287000000</v>
      </c>
      <c r="M21" s="290">
        <f>Government3!M$81</f>
        <v>1287000000</v>
      </c>
      <c r="N21" s="290">
        <f>Government3!N$81</f>
        <v>1287000000</v>
      </c>
    </row>
    <row r="22" spans="6:14" ht="12" x14ac:dyDescent="0.2">
      <c r="F22" t="str">
        <f>Government4</f>
        <v>Ministerio de Medioambiente</v>
      </c>
      <c r="G22" s="50"/>
      <c r="H22" s="289">
        <f t="shared" si="2"/>
        <v>4.6229801724742541E-3</v>
      </c>
      <c r="I22" s="69">
        <f t="shared" si="3"/>
        <v>688835359.125</v>
      </c>
      <c r="J22" s="290">
        <f>Government4!J$81</f>
        <v>137767071.82499999</v>
      </c>
      <c r="K22" s="290">
        <f>Government4!K$81</f>
        <v>137767071.82499999</v>
      </c>
      <c r="L22" s="290">
        <f>Government4!L$81</f>
        <v>137767071.82499999</v>
      </c>
      <c r="M22" s="290">
        <f>Government4!M$81</f>
        <v>137767071.82499999</v>
      </c>
      <c r="N22" s="290">
        <f>Government4!N$81</f>
        <v>137767071.82499999</v>
      </c>
    </row>
    <row r="23" spans="6:14" ht="12" x14ac:dyDescent="0.2">
      <c r="F23" t="str">
        <f>Government5</f>
        <v>Ministerio de Servicio Público</v>
      </c>
      <c r="G23" s="50"/>
      <c r="H23" s="289">
        <f t="shared" si="2"/>
        <v>1.9888711913062071E-3</v>
      </c>
      <c r="I23" s="69">
        <f t="shared" si="3"/>
        <v>296346674.70000005</v>
      </c>
      <c r="J23" s="290">
        <f>Government5!J$81</f>
        <v>59269334.940000005</v>
      </c>
      <c r="K23" s="290">
        <f>Government5!K$81</f>
        <v>59269334.940000005</v>
      </c>
      <c r="L23" s="290">
        <f>Government5!L$81</f>
        <v>59269334.940000005</v>
      </c>
      <c r="M23" s="290">
        <f>Government5!M$81</f>
        <v>59269334.940000005</v>
      </c>
      <c r="N23" s="290">
        <f>Government5!N$81</f>
        <v>59269334.940000005</v>
      </c>
    </row>
    <row r="24" spans="6:14" ht="12" x14ac:dyDescent="0.2">
      <c r="F24" t="str">
        <f>Government6</f>
        <v>Ministerio de Salud Pública y Lucha contra el SIDA</v>
      </c>
      <c r="G24" s="50"/>
      <c r="H24" s="289">
        <f t="shared" si="2"/>
        <v>0.69897079318433519</v>
      </c>
      <c r="I24" s="69">
        <f t="shared" si="3"/>
        <v>104148358716.2625</v>
      </c>
      <c r="J24" s="290">
        <f>Government6!J$81</f>
        <v>20829671743.252499</v>
      </c>
      <c r="K24" s="290">
        <f>Government6!K$81</f>
        <v>20829671743.252499</v>
      </c>
      <c r="L24" s="290">
        <f>Government6!L$81</f>
        <v>20829671743.252499</v>
      </c>
      <c r="M24" s="290">
        <f>Government6!M$81</f>
        <v>20829671743.252499</v>
      </c>
      <c r="N24" s="290">
        <f>Government6!N$81</f>
        <v>20829671743.252499</v>
      </c>
    </row>
    <row r="25" spans="6:14" ht="12" x14ac:dyDescent="0.2">
      <c r="F25" t="str">
        <f>Government7</f>
        <v xml:space="preserve">Ministerio de Derechos Humanos, Asuntos Sociales y Género </v>
      </c>
      <c r="G25" s="50"/>
      <c r="H25" s="289">
        <f t="shared" si="2"/>
        <v>8.705524239467527E-2</v>
      </c>
      <c r="I25" s="69">
        <f t="shared" si="3"/>
        <v>12971444159.700001</v>
      </c>
      <c r="J25" s="290">
        <f>Government7!J$81</f>
        <v>2594288831.9400001</v>
      </c>
      <c r="K25" s="290">
        <f>Government7!K$81</f>
        <v>2594288831.9400001</v>
      </c>
      <c r="L25" s="290">
        <f>Government7!L$81</f>
        <v>2594288831.9400001</v>
      </c>
      <c r="M25" s="290">
        <f>Government7!M$81</f>
        <v>2594288831.9400001</v>
      </c>
      <c r="N25" s="290">
        <f>Government7!N$81</f>
        <v>2594288831.9400001</v>
      </c>
    </row>
    <row r="26" spans="6:14" ht="12" x14ac:dyDescent="0.2">
      <c r="F26" t="str">
        <f>Government8</f>
        <v>Ministerio de Desarrollo Municipal</v>
      </c>
      <c r="G26" s="50"/>
      <c r="H26" s="289">
        <f t="shared" si="2"/>
        <v>4.2797896260718818E-3</v>
      </c>
      <c r="I26" s="69">
        <f t="shared" si="3"/>
        <v>637699127.85000002</v>
      </c>
      <c r="J26" s="290">
        <f>Government8!J$81</f>
        <v>127539825.57000001</v>
      </c>
      <c r="K26" s="290">
        <f>Government8!K$81</f>
        <v>127539825.57000001</v>
      </c>
      <c r="L26" s="290">
        <f>Government8!L$81</f>
        <v>127539825.57000001</v>
      </c>
      <c r="M26" s="290">
        <f>Government8!M$81</f>
        <v>127539825.57000001</v>
      </c>
      <c r="N26" s="290">
        <f>Government8!N$81</f>
        <v>127539825.57000001</v>
      </c>
    </row>
    <row r="27" spans="6:14" ht="12" x14ac:dyDescent="0.2">
      <c r="F27" t="str">
        <f>Government9</f>
        <v>[No está en uso]</v>
      </c>
      <c r="G27" s="50"/>
      <c r="H27" s="289">
        <f t="shared" si="2"/>
        <v>0</v>
      </c>
      <c r="I27" s="69">
        <f t="shared" si="3"/>
        <v>0</v>
      </c>
      <c r="J27" s="290">
        <f>Government9!J$81</f>
        <v>0</v>
      </c>
      <c r="K27" s="290">
        <f>Government9!K$81</f>
        <v>0</v>
      </c>
      <c r="L27" s="290">
        <f>Government9!L$81</f>
        <v>0</v>
      </c>
      <c r="M27" s="290">
        <f>Government9!M$81</f>
        <v>0</v>
      </c>
      <c r="N27" s="290">
        <f>Government9!N$81</f>
        <v>0</v>
      </c>
    </row>
    <row r="28" spans="6:14" ht="12" x14ac:dyDescent="0.2">
      <c r="F28" t="str">
        <f>Government10</f>
        <v>[No está en uso]</v>
      </c>
      <c r="G28" s="50"/>
      <c r="H28" s="289">
        <f t="shared" si="2"/>
        <v>0</v>
      </c>
      <c r="I28" s="69">
        <f t="shared" si="3"/>
        <v>0</v>
      </c>
      <c r="J28" s="290">
        <f>Government10!J$81</f>
        <v>0</v>
      </c>
      <c r="K28" s="290">
        <f>Government10!K$81</f>
        <v>0</v>
      </c>
      <c r="L28" s="290">
        <f>Government10!L$81</f>
        <v>0</v>
      </c>
      <c r="M28" s="290">
        <f>Government10!M$81</f>
        <v>0</v>
      </c>
      <c r="N28" s="290">
        <f>Government10!N$81</f>
        <v>0</v>
      </c>
    </row>
    <row r="29" spans="6:14" ht="12" x14ac:dyDescent="0.2">
      <c r="F29" s="322" t="str">
        <f>"TOTAL - "&amp;Summary_Govt_Contributions!$F$12&amp;" ("&amp;CURR_LCU_ABBR&amp;")"</f>
        <v>TOTAL - TODAS las contribuciones de las agencias gubernamentales (GOZ)</v>
      </c>
      <c r="H29" s="291">
        <f>I29/$I$29</f>
        <v>1</v>
      </c>
      <c r="I29" s="68">
        <f>SUM(I19:I28)</f>
        <v>149002447214.98126</v>
      </c>
      <c r="J29" s="292">
        <f>SUM(J19:J28)</f>
        <v>29800489442.996246</v>
      </c>
      <c r="K29" s="292">
        <f t="shared" ref="K29:N29" si="4">SUM(K19:K28)</f>
        <v>29800489442.996246</v>
      </c>
      <c r="L29" s="292">
        <f t="shared" si="4"/>
        <v>29800489442.996246</v>
      </c>
      <c r="M29" s="292">
        <f t="shared" si="4"/>
        <v>29800489442.996246</v>
      </c>
      <c r="N29" s="292">
        <f t="shared" si="4"/>
        <v>29800489442.996246</v>
      </c>
    </row>
    <row r="30" spans="6:14" x14ac:dyDescent="0.2">
      <c r="H30" s="38"/>
      <c r="I30" s="38"/>
      <c r="J30" s="38"/>
      <c r="K30" s="38"/>
      <c r="L30" s="38"/>
      <c r="M30" s="38"/>
      <c r="N30" s="38"/>
    </row>
    <row r="31" spans="6:14" ht="12" x14ac:dyDescent="0.2">
      <c r="F31" s="148" t="str">
        <f>"Contributions - "&amp;CURR_INT_ABBR</f>
        <v>Contributions - USD</v>
      </c>
      <c r="H31" s="38"/>
      <c r="I31" s="38"/>
      <c r="J31" s="38"/>
      <c r="K31" s="38"/>
      <c r="L31" s="38"/>
      <c r="M31" s="38"/>
      <c r="N31" s="38"/>
    </row>
    <row r="32" spans="6:14" x14ac:dyDescent="0.2">
      <c r="H32" s="38"/>
      <c r="I32" s="293"/>
      <c r="J32" s="38"/>
      <c r="K32" s="38"/>
      <c r="L32" s="38"/>
      <c r="M32" s="38"/>
      <c r="N32" s="38"/>
    </row>
    <row r="33" spans="1:14" ht="12" x14ac:dyDescent="0.2">
      <c r="H33" s="294" t="s">
        <v>548</v>
      </c>
      <c r="I33" s="236" t="s">
        <v>106</v>
      </c>
      <c r="J33" s="243" t="str">
        <f>CURR_INT_ABBR</f>
        <v>USD</v>
      </c>
      <c r="K33" s="243" t="str">
        <f>CURR_INT_ABBR</f>
        <v>USD</v>
      </c>
      <c r="L33" s="243" t="str">
        <f>CURR_INT_ABBR</f>
        <v>USD</v>
      </c>
      <c r="M33" s="243" t="str">
        <f>CURR_INT_ABBR</f>
        <v>USD</v>
      </c>
      <c r="N33" s="243" t="str">
        <f>CURR_INT_ABBR</f>
        <v>USD</v>
      </c>
    </row>
    <row r="34" spans="1:14" ht="12" x14ac:dyDescent="0.2">
      <c r="F34" t="str">
        <f>Government1</f>
        <v>Ministerio de Agricultura y Ganadería</v>
      </c>
      <c r="H34" s="289">
        <f t="shared" ref="H34:H44" si="5">I34/$I$44</f>
        <v>0.14343778172474284</v>
      </c>
      <c r="I34" s="120">
        <f>SUM(J34:N34)</f>
        <v>11873655.833374999</v>
      </c>
      <c r="J34" s="62">
        <f>Government1!J$152</f>
        <v>2374731.166675</v>
      </c>
      <c r="K34" s="62">
        <f>Government1!K$152</f>
        <v>2374731.166675</v>
      </c>
      <c r="L34" s="62">
        <f>Government1!L$152</f>
        <v>2374731.166675</v>
      </c>
      <c r="M34" s="62">
        <f>Government1!M$152</f>
        <v>2374731.166675</v>
      </c>
      <c r="N34" s="62">
        <f>Government1!N$152</f>
        <v>2374731.166675</v>
      </c>
    </row>
    <row r="35" spans="1:14" ht="12" x14ac:dyDescent="0.2">
      <c r="F35" t="str">
        <f>Government2</f>
        <v>Ministerio de Energía y Minas</v>
      </c>
      <c r="H35" s="289">
        <f t="shared" si="5"/>
        <v>1.645733156134498E-2</v>
      </c>
      <c r="I35" s="120">
        <f t="shared" ref="I35:I43" si="6">SUM(J35:N35)</f>
        <v>1362323.7095937503</v>
      </c>
      <c r="J35" s="62">
        <f>Government2!J$152</f>
        <v>272464.74191875005</v>
      </c>
      <c r="K35" s="62">
        <f>Government2!K$152</f>
        <v>272464.74191875005</v>
      </c>
      <c r="L35" s="62">
        <f>Government2!L$152</f>
        <v>272464.74191875005</v>
      </c>
      <c r="M35" s="62">
        <f>Government2!M$152</f>
        <v>272464.74191875005</v>
      </c>
      <c r="N35" s="62">
        <f>Government2!N$152</f>
        <v>272464.74191875005</v>
      </c>
    </row>
    <row r="36" spans="1:14" ht="12" x14ac:dyDescent="0.2">
      <c r="F36" t="str">
        <f>Government3</f>
        <v>Ministerio de Educación Nacional, de Educación Superior e Investigación Científica</v>
      </c>
      <c r="H36" s="289">
        <f t="shared" si="5"/>
        <v>4.3187210145049226E-2</v>
      </c>
      <c r="I36" s="120">
        <f t="shared" si="6"/>
        <v>3575000</v>
      </c>
      <c r="J36" s="62">
        <f>Government3!J$152</f>
        <v>715000</v>
      </c>
      <c r="K36" s="62">
        <f>Government3!K$152</f>
        <v>715000</v>
      </c>
      <c r="L36" s="62">
        <f>Government3!L$152</f>
        <v>715000</v>
      </c>
      <c r="M36" s="62">
        <f>Government3!M$152</f>
        <v>715000</v>
      </c>
      <c r="N36" s="62">
        <f>Government3!N$152</f>
        <v>715000</v>
      </c>
    </row>
    <row r="37" spans="1:14" ht="12" x14ac:dyDescent="0.2">
      <c r="F37" t="str">
        <f>Government4</f>
        <v>Ministerio de Medioambiente</v>
      </c>
      <c r="H37" s="289">
        <f t="shared" si="5"/>
        <v>4.6229801724742541E-3</v>
      </c>
      <c r="I37" s="120">
        <f t="shared" si="6"/>
        <v>382686.31062499998</v>
      </c>
      <c r="J37" s="62">
        <f>Government4!J$152</f>
        <v>76537.262124999994</v>
      </c>
      <c r="K37" s="62">
        <f>Government4!K$152</f>
        <v>76537.262124999994</v>
      </c>
      <c r="L37" s="62">
        <f>Government4!L$152</f>
        <v>76537.262124999994</v>
      </c>
      <c r="M37" s="62">
        <f>Government4!M$152</f>
        <v>76537.262124999994</v>
      </c>
      <c r="N37" s="62">
        <f>Government4!N$152</f>
        <v>76537.262124999994</v>
      </c>
    </row>
    <row r="38" spans="1:14" ht="12" x14ac:dyDescent="0.2">
      <c r="F38" t="str">
        <f>Government5</f>
        <v>Ministerio de Servicio Público</v>
      </c>
      <c r="H38" s="289">
        <f t="shared" si="5"/>
        <v>1.9888711913062071E-3</v>
      </c>
      <c r="I38" s="120">
        <f t="shared" si="6"/>
        <v>164637.04150000002</v>
      </c>
      <c r="J38" s="62">
        <f>Government5!J$152</f>
        <v>32927.408300000003</v>
      </c>
      <c r="K38" s="62">
        <f>Government5!K$152</f>
        <v>32927.408300000003</v>
      </c>
      <c r="L38" s="62">
        <f>Government5!L$152</f>
        <v>32927.408300000003</v>
      </c>
      <c r="M38" s="62">
        <f>Government5!M$152</f>
        <v>32927.408300000003</v>
      </c>
      <c r="N38" s="62">
        <f>Government5!N$152</f>
        <v>32927.408300000003</v>
      </c>
    </row>
    <row r="39" spans="1:14" ht="12" x14ac:dyDescent="0.2">
      <c r="F39" t="str">
        <f>Government6</f>
        <v>Ministerio de Salud Pública y Lucha contra el SIDA</v>
      </c>
      <c r="H39" s="289">
        <f t="shared" si="5"/>
        <v>0.6989707931843353</v>
      </c>
      <c r="I39" s="120">
        <f t="shared" si="6"/>
        <v>57860199.286812499</v>
      </c>
      <c r="J39" s="62">
        <f>Government6!J$152</f>
        <v>11572039.857362499</v>
      </c>
      <c r="K39" s="62">
        <f>Government6!K$152</f>
        <v>11572039.857362499</v>
      </c>
      <c r="L39" s="62">
        <f>Government6!L$152</f>
        <v>11572039.857362499</v>
      </c>
      <c r="M39" s="62">
        <f>Government6!M$152</f>
        <v>11572039.857362499</v>
      </c>
      <c r="N39" s="62">
        <f>Government6!N$152</f>
        <v>11572039.857362499</v>
      </c>
    </row>
    <row r="40" spans="1:14" ht="12" x14ac:dyDescent="0.2">
      <c r="F40" t="str">
        <f>Government7</f>
        <v xml:space="preserve">Ministerio de Derechos Humanos, Asuntos Sociales y Género </v>
      </c>
      <c r="H40" s="289">
        <f t="shared" si="5"/>
        <v>8.705524239467527E-2</v>
      </c>
      <c r="I40" s="120">
        <f t="shared" si="6"/>
        <v>7206357.8665000005</v>
      </c>
      <c r="J40" s="62">
        <f>Government7!J$152</f>
        <v>1441271.5733</v>
      </c>
      <c r="K40" s="62">
        <f>Government7!K$152</f>
        <v>1441271.5733</v>
      </c>
      <c r="L40" s="62">
        <f>Government7!L$152</f>
        <v>1441271.5733</v>
      </c>
      <c r="M40" s="62">
        <f>Government7!M$152</f>
        <v>1441271.5733</v>
      </c>
      <c r="N40" s="62">
        <f>Government7!N$152</f>
        <v>1441271.5733</v>
      </c>
    </row>
    <row r="41" spans="1:14" ht="12" x14ac:dyDescent="0.2">
      <c r="F41" t="str">
        <f>Government8</f>
        <v>Ministerio de Desarrollo Municipal</v>
      </c>
      <c r="H41" s="289">
        <f t="shared" si="5"/>
        <v>4.2797896260718818E-3</v>
      </c>
      <c r="I41" s="120">
        <f t="shared" si="6"/>
        <v>354277.29324999999</v>
      </c>
      <c r="J41" s="62">
        <f>Government8!J$152</f>
        <v>70855.45865</v>
      </c>
      <c r="K41" s="62">
        <f>Government8!K$152</f>
        <v>70855.45865</v>
      </c>
      <c r="L41" s="62">
        <f>Government8!L$152</f>
        <v>70855.45865</v>
      </c>
      <c r="M41" s="62">
        <f>Government8!M$152</f>
        <v>70855.45865</v>
      </c>
      <c r="N41" s="62">
        <f>Government8!N$152</f>
        <v>70855.45865</v>
      </c>
    </row>
    <row r="42" spans="1:14" ht="12" x14ac:dyDescent="0.2">
      <c r="F42" t="str">
        <f>Government9</f>
        <v>[No está en uso]</v>
      </c>
      <c r="H42" s="289">
        <f t="shared" si="5"/>
        <v>0</v>
      </c>
      <c r="I42" s="120">
        <f t="shared" si="6"/>
        <v>0</v>
      </c>
      <c r="J42" s="62">
        <f>Government9!J$152</f>
        <v>0</v>
      </c>
      <c r="K42" s="62">
        <f>Government9!K$152</f>
        <v>0</v>
      </c>
      <c r="L42" s="62">
        <f>Government9!L$152</f>
        <v>0</v>
      </c>
      <c r="M42" s="62">
        <f>Government9!M$152</f>
        <v>0</v>
      </c>
      <c r="N42" s="62">
        <f>Government9!N$152</f>
        <v>0</v>
      </c>
    </row>
    <row r="43" spans="1:14" ht="12" x14ac:dyDescent="0.2">
      <c r="F43" t="str">
        <f>Government10</f>
        <v>[No está en uso]</v>
      </c>
      <c r="H43" s="289">
        <f t="shared" si="5"/>
        <v>0</v>
      </c>
      <c r="I43" s="120">
        <f t="shared" si="6"/>
        <v>0</v>
      </c>
      <c r="J43" s="62">
        <f>Government10!J$152</f>
        <v>0</v>
      </c>
      <c r="K43" s="62">
        <f>Government10!K$152</f>
        <v>0</v>
      </c>
      <c r="L43" s="62">
        <f>Government10!L$152</f>
        <v>0</v>
      </c>
      <c r="M43" s="62">
        <f>Government10!M$152</f>
        <v>0</v>
      </c>
      <c r="N43" s="62">
        <f>Government10!N$152</f>
        <v>0</v>
      </c>
    </row>
    <row r="44" spans="1:14" ht="12" x14ac:dyDescent="0.2">
      <c r="F44" s="324" t="str">
        <f>"TOTAL - "&amp;Summary_Govt_Contributions!$F$12&amp;" ("&amp;CURR_INT_ABBR&amp;")"</f>
        <v>TOTAL - TODAS las contribuciones de las agencias gubernamentales (USD)</v>
      </c>
      <c r="G44" s="74"/>
      <c r="H44" s="291">
        <f t="shared" si="5"/>
        <v>1</v>
      </c>
      <c r="I44" s="295">
        <f>SUM(I34:I43)</f>
        <v>82779137.341656253</v>
      </c>
      <c r="J44" s="122">
        <f>SUM(J34:J43)</f>
        <v>16555827.468331249</v>
      </c>
      <c r="K44" s="122">
        <f t="shared" ref="K44:N44" si="7">SUM(K34:K43)</f>
        <v>16555827.468331249</v>
      </c>
      <c r="L44" s="122">
        <f t="shared" si="7"/>
        <v>16555827.468331249</v>
      </c>
      <c r="M44" s="122">
        <f t="shared" si="7"/>
        <v>16555827.468331249</v>
      </c>
      <c r="N44" s="122">
        <f t="shared" si="7"/>
        <v>16555827.468331249</v>
      </c>
    </row>
    <row r="46" spans="1:14" x14ac:dyDescent="0.2">
      <c r="A46" s="35" t="s">
        <v>77</v>
      </c>
      <c r="B46" s="1" t="s">
        <v>484</v>
      </c>
      <c r="C46" s="1"/>
      <c r="D46" s="1"/>
      <c r="E46" s="1"/>
      <c r="F46" s="1"/>
      <c r="G46" s="1"/>
      <c r="H46" s="1"/>
      <c r="I46" s="1"/>
      <c r="J46" s="1"/>
      <c r="K46" s="1"/>
      <c r="L46" s="1"/>
      <c r="M46" s="1"/>
      <c r="N46" s="1"/>
    </row>
    <row r="48" spans="1:14" ht="12.75" customHeight="1" x14ac:dyDescent="0.2">
      <c r="F48" s="148" t="str">
        <f>"Contributions - "&amp;CURR_LCU_ABBR</f>
        <v>Contributions - GOZ</v>
      </c>
    </row>
    <row r="49" spans="6:14" ht="12" x14ac:dyDescent="0.2">
      <c r="H49" s="136" t="s">
        <v>548</v>
      </c>
      <c r="I49" s="145" t="s">
        <v>106</v>
      </c>
      <c r="J49" s="56" t="str">
        <f>CURR_LCU_ABBR</f>
        <v>GOZ</v>
      </c>
      <c r="K49" s="56" t="str">
        <f>CURR_LCU_ABBR</f>
        <v>GOZ</v>
      </c>
      <c r="L49" s="56" t="str">
        <f>CURR_LCU_ABBR</f>
        <v>GOZ</v>
      </c>
      <c r="M49" s="56" t="str">
        <f>CURR_LCU_ABBR</f>
        <v>GOZ</v>
      </c>
      <c r="N49" s="56" t="str">
        <f>CURR_LCU_ABBR</f>
        <v>GOZ</v>
      </c>
    </row>
    <row r="50" spans="6:14" ht="12" x14ac:dyDescent="0.2">
      <c r="F50" t="str">
        <f>Strategy1</f>
        <v>Objetivo estratégico 1: Fortalecer la gobernanza de la nutrición</v>
      </c>
      <c r="H50" s="289">
        <f>I50/I$60</f>
        <v>1.5999999999999996E-3</v>
      </c>
      <c r="I50" s="57">
        <f>I106</f>
        <v>238403915.54396996</v>
      </c>
      <c r="J50" s="52">
        <f>J106</f>
        <v>47680783.108794004</v>
      </c>
      <c r="K50" s="52">
        <f t="shared" ref="K50:N50" si="8">K106</f>
        <v>47680783.108794004</v>
      </c>
      <c r="L50" s="52">
        <f t="shared" si="8"/>
        <v>47680783.108794004</v>
      </c>
      <c r="M50" s="52">
        <f t="shared" si="8"/>
        <v>47680783.108794004</v>
      </c>
      <c r="N50" s="52">
        <f t="shared" si="8"/>
        <v>47680783.108794004</v>
      </c>
    </row>
    <row r="51" spans="6:14" ht="12" x14ac:dyDescent="0.2">
      <c r="F51" t="str">
        <f>Strategy2</f>
        <v>Objetivo estratégico 2: Fortalecer el acceso al tratamiento y a los servicios de salud y nutrición de calidad, así como al tratamiento de todas las formas de malnutrición</v>
      </c>
      <c r="H51" s="289">
        <f t="shared" ref="H51:H60" si="9">I51/I$60</f>
        <v>6.3499999999999987E-2</v>
      </c>
      <c r="I51" s="323">
        <f>I112</f>
        <v>9461655398.1513081</v>
      </c>
      <c r="J51" s="52">
        <f>J112</f>
        <v>1892331079.6302621</v>
      </c>
      <c r="K51" s="52">
        <f t="shared" ref="K51:N51" si="10">K112</f>
        <v>1892331079.6302621</v>
      </c>
      <c r="L51" s="52">
        <f t="shared" si="10"/>
        <v>1892331079.6302621</v>
      </c>
      <c r="M51" s="52">
        <f t="shared" si="10"/>
        <v>1892331079.6302621</v>
      </c>
      <c r="N51" s="52">
        <f t="shared" si="10"/>
        <v>1892331079.6302621</v>
      </c>
    </row>
    <row r="52" spans="6:14" ht="12" x14ac:dyDescent="0.2">
      <c r="F52" t="str">
        <f>Strategy3</f>
        <v>Objetivo estratégico 3: Aumentar la disponibilidad y el acceso a alimentos nutritivos de alto valor, seguros y diversificados</v>
      </c>
      <c r="H52" s="289">
        <f t="shared" si="9"/>
        <v>0.50059999999999993</v>
      </c>
      <c r="I52" s="323">
        <f>I118</f>
        <v>74590625075.819611</v>
      </c>
      <c r="J52" s="52">
        <f>J118</f>
        <v>14918125015.163923</v>
      </c>
      <c r="K52" s="52">
        <f t="shared" ref="K52:N52" si="11">K118</f>
        <v>14918125015.163923</v>
      </c>
      <c r="L52" s="52">
        <f t="shared" si="11"/>
        <v>14918125015.163923</v>
      </c>
      <c r="M52" s="52">
        <f t="shared" si="11"/>
        <v>14918125015.163923</v>
      </c>
      <c r="N52" s="52">
        <f t="shared" si="11"/>
        <v>14918125015.163923</v>
      </c>
    </row>
    <row r="53" spans="6:14" ht="12" x14ac:dyDescent="0.2">
      <c r="F53" t="str">
        <f>Strategy4</f>
        <v>Objetivo estratégico 4: Fortalecer la protección social, la resiliencia de la respuesta a las emergencias y los desastres naturales.</v>
      </c>
      <c r="H53" s="289">
        <f t="shared" si="9"/>
        <v>0.42269999999999996</v>
      </c>
      <c r="I53" s="323">
        <f>I124</f>
        <v>62983334437.772575</v>
      </c>
      <c r="J53" s="52">
        <f>J124</f>
        <v>12596666887.554514</v>
      </c>
      <c r="K53" s="52">
        <f t="shared" ref="K53:N53" si="12">K124</f>
        <v>12596666887.554514</v>
      </c>
      <c r="L53" s="52">
        <f t="shared" si="12"/>
        <v>12596666887.554514</v>
      </c>
      <c r="M53" s="52">
        <f t="shared" si="12"/>
        <v>12596666887.554514</v>
      </c>
      <c r="N53" s="52">
        <f t="shared" si="12"/>
        <v>12596666887.554514</v>
      </c>
    </row>
    <row r="54" spans="6:14" ht="12" x14ac:dyDescent="0.2">
      <c r="F54" t="str">
        <f>Strategy5</f>
        <v xml:space="preserve">Objetivo estratégico 5: Promoción de prácticas favorables a una nutrición óptima, de higiene y saneamiento básico. </v>
      </c>
      <c r="H54" s="289">
        <f t="shared" si="9"/>
        <v>1.1599999999999997E-2</v>
      </c>
      <c r="I54" s="323">
        <f>I130</f>
        <v>1728428387.6937823</v>
      </c>
      <c r="J54" s="52">
        <f>J130</f>
        <v>345685677.53875643</v>
      </c>
      <c r="K54" s="52">
        <f t="shared" ref="K54:N54" si="13">K130</f>
        <v>345685677.53875643</v>
      </c>
      <c r="L54" s="52">
        <f t="shared" si="13"/>
        <v>345685677.53875643</v>
      </c>
      <c r="M54" s="52">
        <f t="shared" si="13"/>
        <v>345685677.53875643</v>
      </c>
      <c r="N54" s="52">
        <f t="shared" si="13"/>
        <v>345685677.53875643</v>
      </c>
    </row>
    <row r="55" spans="6:14" ht="12" x14ac:dyDescent="0.2">
      <c r="F55" t="str">
        <f>Strategy6</f>
        <v>Objetivo estratégico 6: [No está en uso]</v>
      </c>
      <c r="H55" s="289">
        <f t="shared" si="9"/>
        <v>0</v>
      </c>
      <c r="I55" s="323">
        <f>I136</f>
        <v>0</v>
      </c>
      <c r="J55" s="52">
        <f>J136</f>
        <v>0</v>
      </c>
      <c r="K55" s="52">
        <f t="shared" ref="K55:N55" si="14">K136</f>
        <v>0</v>
      </c>
      <c r="L55" s="52">
        <f t="shared" si="14"/>
        <v>0</v>
      </c>
      <c r="M55" s="52">
        <f t="shared" si="14"/>
        <v>0</v>
      </c>
      <c r="N55" s="52">
        <f t="shared" si="14"/>
        <v>0</v>
      </c>
    </row>
    <row r="56" spans="6:14" ht="12" x14ac:dyDescent="0.2">
      <c r="F56" t="str">
        <f>Strategy7</f>
        <v>Objetivo estratégico 7: [No está en uso]</v>
      </c>
      <c r="H56" s="289">
        <f t="shared" si="9"/>
        <v>0</v>
      </c>
      <c r="I56" s="323">
        <f>I142</f>
        <v>0</v>
      </c>
      <c r="J56" s="52">
        <f>J142</f>
        <v>0</v>
      </c>
      <c r="K56" s="52">
        <f t="shared" ref="K56:N56" si="15">K142</f>
        <v>0</v>
      </c>
      <c r="L56" s="52">
        <f t="shared" si="15"/>
        <v>0</v>
      </c>
      <c r="M56" s="52">
        <f t="shared" si="15"/>
        <v>0</v>
      </c>
      <c r="N56" s="52">
        <f t="shared" si="15"/>
        <v>0</v>
      </c>
    </row>
    <row r="57" spans="6:14" ht="12" x14ac:dyDescent="0.2">
      <c r="F57" t="str">
        <f>Strategy8</f>
        <v>Objetivo estratégico 8: [No está en uso]</v>
      </c>
      <c r="H57" s="289">
        <f t="shared" si="9"/>
        <v>0</v>
      </c>
      <c r="I57" s="323">
        <f>I148</f>
        <v>0</v>
      </c>
      <c r="J57" s="52">
        <f>J148</f>
        <v>0</v>
      </c>
      <c r="K57" s="52">
        <f t="shared" ref="K57:N57" si="16">K148</f>
        <v>0</v>
      </c>
      <c r="L57" s="52">
        <f t="shared" si="16"/>
        <v>0</v>
      </c>
      <c r="M57" s="52">
        <f t="shared" si="16"/>
        <v>0</v>
      </c>
      <c r="N57" s="52">
        <f t="shared" si="16"/>
        <v>0</v>
      </c>
    </row>
    <row r="58" spans="6:14" ht="12" x14ac:dyDescent="0.2">
      <c r="F58" t="str">
        <f>Strategy9</f>
        <v>Objetivo estratégico 9: [No está en uso]</v>
      </c>
      <c r="H58" s="289">
        <f t="shared" si="9"/>
        <v>0</v>
      </c>
      <c r="I58" s="323">
        <f>I154</f>
        <v>0</v>
      </c>
      <c r="J58" s="52">
        <f>J154</f>
        <v>0</v>
      </c>
      <c r="K58" s="52">
        <f t="shared" ref="K58:N58" si="17">K154</f>
        <v>0</v>
      </c>
      <c r="L58" s="52">
        <f t="shared" si="17"/>
        <v>0</v>
      </c>
      <c r="M58" s="52">
        <f t="shared" si="17"/>
        <v>0</v>
      </c>
      <c r="N58" s="52">
        <f t="shared" si="17"/>
        <v>0</v>
      </c>
    </row>
    <row r="59" spans="6:14" ht="12" x14ac:dyDescent="0.2">
      <c r="F59" t="str">
        <f>Strategy10</f>
        <v>Objetivo estratégico 10: [No está en uso]</v>
      </c>
      <c r="H59" s="289">
        <f t="shared" si="9"/>
        <v>0</v>
      </c>
      <c r="I59" s="323">
        <f>I160</f>
        <v>0</v>
      </c>
      <c r="J59" s="52">
        <f>J160</f>
        <v>0</v>
      </c>
      <c r="K59" s="52">
        <f t="shared" ref="K59:N59" si="18">K160</f>
        <v>0</v>
      </c>
      <c r="L59" s="52">
        <f t="shared" si="18"/>
        <v>0</v>
      </c>
      <c r="M59" s="52">
        <f t="shared" si="18"/>
        <v>0</v>
      </c>
      <c r="N59" s="52">
        <f t="shared" si="18"/>
        <v>0</v>
      </c>
    </row>
    <row r="60" spans="6:14" ht="12" x14ac:dyDescent="0.2">
      <c r="F60" s="324" t="str">
        <f>"TOTAL - "&amp;Summary_Govt_Contributions!$F$12&amp;" ("&amp;CURR_LCU_ABBR&amp;")"</f>
        <v>TOTAL - TODAS las contribuciones de las agencias gubernamentales (GOZ)</v>
      </c>
      <c r="G60" s="74"/>
      <c r="H60" s="291">
        <f t="shared" si="9"/>
        <v>1</v>
      </c>
      <c r="I60" s="57">
        <f>SUM(I50:I59)</f>
        <v>149002447214.98126</v>
      </c>
      <c r="J60" s="55">
        <f>SUM(J50:J59)</f>
        <v>29800489442.99625</v>
      </c>
      <c r="K60" s="55">
        <f t="shared" ref="K60:N60" si="19">SUM(K50:K59)</f>
        <v>29800489442.99625</v>
      </c>
      <c r="L60" s="55">
        <f t="shared" si="19"/>
        <v>29800489442.99625</v>
      </c>
      <c r="M60" s="55">
        <f t="shared" si="19"/>
        <v>29800489442.99625</v>
      </c>
      <c r="N60" s="55">
        <f t="shared" si="19"/>
        <v>29800489442.99625</v>
      </c>
    </row>
    <row r="63" spans="6:14" ht="12" x14ac:dyDescent="0.2">
      <c r="F63" s="148" t="str">
        <f>"Contributions - "&amp;CURR_INT_ABBR</f>
        <v>Contributions - USD</v>
      </c>
    </row>
    <row r="64" spans="6:14" ht="12" x14ac:dyDescent="0.2">
      <c r="F64" s="148"/>
      <c r="H64" s="136" t="s">
        <v>548</v>
      </c>
      <c r="I64" s="145" t="s">
        <v>106</v>
      </c>
      <c r="J64" s="56" t="str">
        <f>CURR_INT_ABBR</f>
        <v>USD</v>
      </c>
      <c r="K64" s="56" t="str">
        <f>CURR_INT_ABBR</f>
        <v>USD</v>
      </c>
      <c r="L64" s="56" t="str">
        <f>CURR_INT_ABBR</f>
        <v>USD</v>
      </c>
      <c r="M64" s="56" t="str">
        <f>CURR_INT_ABBR</f>
        <v>USD</v>
      </c>
      <c r="N64" s="56" t="str">
        <f>CURR_INT_ABBR</f>
        <v>USD</v>
      </c>
    </row>
    <row r="65" spans="1:14" ht="12" x14ac:dyDescent="0.2">
      <c r="F65" t="str">
        <f>Strategy1</f>
        <v>Objetivo estratégico 1: Fortalecer la gobernanza de la nutrición</v>
      </c>
      <c r="H65" s="289">
        <f>I65/I$75</f>
        <v>1.5999999999999999E-3</v>
      </c>
      <c r="I65" s="78">
        <f t="shared" ref="I65:N75" si="20">I50/EXCHANGE_RATE</f>
        <v>132446.61974664999</v>
      </c>
      <c r="J65" s="76">
        <f t="shared" si="20"/>
        <v>26489.323949330003</v>
      </c>
      <c r="K65" s="76">
        <f t="shared" si="20"/>
        <v>26489.323949330003</v>
      </c>
      <c r="L65" s="76">
        <f t="shared" si="20"/>
        <v>26489.323949330003</v>
      </c>
      <c r="M65" s="76">
        <f t="shared" si="20"/>
        <v>26489.323949330003</v>
      </c>
      <c r="N65" s="76">
        <f t="shared" si="20"/>
        <v>26489.323949330003</v>
      </c>
    </row>
    <row r="66" spans="1:14" ht="12" x14ac:dyDescent="0.2">
      <c r="F66" t="str">
        <f>Strategy2</f>
        <v>Objetivo estratégico 2: Fortalecer el acceso al tratamiento y a los servicios de salud y nutrición de calidad, así como al tratamiento de todas las formas de malnutrición</v>
      </c>
      <c r="H66" s="289">
        <f t="shared" ref="H66:H75" si="21">I66/I$75</f>
        <v>6.3500000000000001E-2</v>
      </c>
      <c r="I66" s="77">
        <f t="shared" si="20"/>
        <v>5256475.2211951716</v>
      </c>
      <c r="J66" s="76">
        <f t="shared" si="20"/>
        <v>1051295.0442390344</v>
      </c>
      <c r="K66" s="76">
        <f t="shared" si="20"/>
        <v>1051295.0442390344</v>
      </c>
      <c r="L66" s="76">
        <f t="shared" si="20"/>
        <v>1051295.0442390344</v>
      </c>
      <c r="M66" s="76">
        <f t="shared" si="20"/>
        <v>1051295.0442390344</v>
      </c>
      <c r="N66" s="76">
        <f t="shared" si="20"/>
        <v>1051295.0442390344</v>
      </c>
    </row>
    <row r="67" spans="1:14" ht="12" x14ac:dyDescent="0.2">
      <c r="F67" t="str">
        <f>Strategy3</f>
        <v>Objetivo estratégico 3: Aumentar la disponibilidad y el acceso a alimentos nutritivos de alto valor, seguros y diversificados</v>
      </c>
      <c r="H67" s="289">
        <f t="shared" si="21"/>
        <v>0.50059999999999993</v>
      </c>
      <c r="I67" s="77">
        <f t="shared" si="20"/>
        <v>41439236.153233118</v>
      </c>
      <c r="J67" s="76">
        <f t="shared" si="20"/>
        <v>8287847.2306466242</v>
      </c>
      <c r="K67" s="76">
        <f t="shared" si="20"/>
        <v>8287847.2306466242</v>
      </c>
      <c r="L67" s="76">
        <f t="shared" si="20"/>
        <v>8287847.2306466242</v>
      </c>
      <c r="M67" s="76">
        <f t="shared" si="20"/>
        <v>8287847.2306466242</v>
      </c>
      <c r="N67" s="76">
        <f t="shared" si="20"/>
        <v>8287847.2306466242</v>
      </c>
    </row>
    <row r="68" spans="1:14" ht="12" x14ac:dyDescent="0.2">
      <c r="F68" t="str">
        <f>Strategy4</f>
        <v>Objetivo estratégico 4: Fortalecer la protección social, la resiliencia de la respuesta a las emergencias y los desastres naturales.</v>
      </c>
      <c r="H68" s="289">
        <f t="shared" si="21"/>
        <v>0.42269999999999996</v>
      </c>
      <c r="I68" s="77">
        <f t="shared" si="20"/>
        <v>34990741.354318097</v>
      </c>
      <c r="J68" s="76">
        <f t="shared" si="20"/>
        <v>6998148.2708636187</v>
      </c>
      <c r="K68" s="76">
        <f t="shared" si="20"/>
        <v>6998148.2708636187</v>
      </c>
      <c r="L68" s="76">
        <f t="shared" si="20"/>
        <v>6998148.2708636187</v>
      </c>
      <c r="M68" s="76">
        <f t="shared" si="20"/>
        <v>6998148.2708636187</v>
      </c>
      <c r="N68" s="76">
        <f t="shared" si="20"/>
        <v>6998148.2708636187</v>
      </c>
    </row>
    <row r="69" spans="1:14" ht="12" x14ac:dyDescent="0.2">
      <c r="F69" t="str">
        <f>Strategy5</f>
        <v xml:space="preserve">Objetivo estratégico 5: Promoción de prácticas favorables a una nutrición óptima, de higiene y saneamiento básico. </v>
      </c>
      <c r="H69" s="289">
        <f t="shared" si="21"/>
        <v>1.1599999999999999E-2</v>
      </c>
      <c r="I69" s="77">
        <f t="shared" si="20"/>
        <v>960237.99316321244</v>
      </c>
      <c r="J69" s="76">
        <f t="shared" si="20"/>
        <v>192047.59863264248</v>
      </c>
      <c r="K69" s="76">
        <f t="shared" si="20"/>
        <v>192047.59863264248</v>
      </c>
      <c r="L69" s="76">
        <f t="shared" si="20"/>
        <v>192047.59863264248</v>
      </c>
      <c r="M69" s="76">
        <f t="shared" si="20"/>
        <v>192047.59863264248</v>
      </c>
      <c r="N69" s="76">
        <f t="shared" si="20"/>
        <v>192047.59863264248</v>
      </c>
    </row>
    <row r="70" spans="1:14" ht="12" x14ac:dyDescent="0.2">
      <c r="F70" t="str">
        <f>Strategy6</f>
        <v>Objetivo estratégico 6: [No está en uso]</v>
      </c>
      <c r="H70" s="289">
        <f t="shared" si="21"/>
        <v>0</v>
      </c>
      <c r="I70" s="77">
        <f t="shared" si="20"/>
        <v>0</v>
      </c>
      <c r="J70" s="76">
        <f t="shared" si="20"/>
        <v>0</v>
      </c>
      <c r="K70" s="76">
        <f t="shared" si="20"/>
        <v>0</v>
      </c>
      <c r="L70" s="76">
        <f t="shared" si="20"/>
        <v>0</v>
      </c>
      <c r="M70" s="76">
        <f t="shared" si="20"/>
        <v>0</v>
      </c>
      <c r="N70" s="76">
        <f t="shared" si="20"/>
        <v>0</v>
      </c>
    </row>
    <row r="71" spans="1:14" ht="12" x14ac:dyDescent="0.2">
      <c r="F71" t="str">
        <f>Strategy7</f>
        <v>Objetivo estratégico 7: [No está en uso]</v>
      </c>
      <c r="H71" s="289">
        <f t="shared" si="21"/>
        <v>0</v>
      </c>
      <c r="I71" s="77">
        <f t="shared" si="20"/>
        <v>0</v>
      </c>
      <c r="J71" s="76">
        <f t="shared" si="20"/>
        <v>0</v>
      </c>
      <c r="K71" s="76">
        <f t="shared" si="20"/>
        <v>0</v>
      </c>
      <c r="L71" s="76">
        <f t="shared" si="20"/>
        <v>0</v>
      </c>
      <c r="M71" s="76">
        <f t="shared" si="20"/>
        <v>0</v>
      </c>
      <c r="N71" s="76">
        <f t="shared" si="20"/>
        <v>0</v>
      </c>
    </row>
    <row r="72" spans="1:14" ht="12" x14ac:dyDescent="0.2">
      <c r="F72" t="str">
        <f>Strategy8</f>
        <v>Objetivo estratégico 8: [No está en uso]</v>
      </c>
      <c r="H72" s="289">
        <f t="shared" si="21"/>
        <v>0</v>
      </c>
      <c r="I72" s="77">
        <f t="shared" si="20"/>
        <v>0</v>
      </c>
      <c r="J72" s="76">
        <f t="shared" si="20"/>
        <v>0</v>
      </c>
      <c r="K72" s="76">
        <f t="shared" si="20"/>
        <v>0</v>
      </c>
      <c r="L72" s="76">
        <f t="shared" si="20"/>
        <v>0</v>
      </c>
      <c r="M72" s="76">
        <f t="shared" si="20"/>
        <v>0</v>
      </c>
      <c r="N72" s="76">
        <f t="shared" si="20"/>
        <v>0</v>
      </c>
    </row>
    <row r="73" spans="1:14" ht="12" x14ac:dyDescent="0.2">
      <c r="F73" t="str">
        <f>Strategy9</f>
        <v>Objetivo estratégico 9: [No está en uso]</v>
      </c>
      <c r="H73" s="289">
        <f t="shared" si="21"/>
        <v>0</v>
      </c>
      <c r="I73" s="77">
        <f t="shared" si="20"/>
        <v>0</v>
      </c>
      <c r="J73" s="76">
        <f t="shared" si="20"/>
        <v>0</v>
      </c>
      <c r="K73" s="76">
        <f t="shared" si="20"/>
        <v>0</v>
      </c>
      <c r="L73" s="76">
        <f t="shared" si="20"/>
        <v>0</v>
      </c>
      <c r="M73" s="76">
        <f t="shared" si="20"/>
        <v>0</v>
      </c>
      <c r="N73" s="76">
        <f t="shared" si="20"/>
        <v>0</v>
      </c>
    </row>
    <row r="74" spans="1:14" ht="12" x14ac:dyDescent="0.2">
      <c r="F74" t="str">
        <f>Strategy10</f>
        <v>Objetivo estratégico 10: [No está en uso]</v>
      </c>
      <c r="H74" s="289">
        <f t="shared" si="21"/>
        <v>0</v>
      </c>
      <c r="I74" s="77">
        <f t="shared" si="20"/>
        <v>0</v>
      </c>
      <c r="J74" s="76">
        <f t="shared" si="20"/>
        <v>0</v>
      </c>
      <c r="K74" s="76">
        <f t="shared" si="20"/>
        <v>0</v>
      </c>
      <c r="L74" s="76">
        <f t="shared" si="20"/>
        <v>0</v>
      </c>
      <c r="M74" s="76">
        <f t="shared" si="20"/>
        <v>0</v>
      </c>
      <c r="N74" s="76">
        <f t="shared" si="20"/>
        <v>0</v>
      </c>
    </row>
    <row r="75" spans="1:14" ht="12" x14ac:dyDescent="0.2">
      <c r="F75" s="324" t="str">
        <f>"TOTAL - "&amp;Summary_Govt_Contributions!$F$12&amp;" ("&amp;CURR_INT_ABBR&amp;")"</f>
        <v>TOTAL - TODAS las contribuciones de las agencias gubernamentales (USD)</v>
      </c>
      <c r="G75" s="74"/>
      <c r="H75" s="291">
        <f t="shared" si="21"/>
        <v>1</v>
      </c>
      <c r="I75" s="78">
        <f t="shared" si="20"/>
        <v>82779137.341656253</v>
      </c>
      <c r="J75" s="79">
        <f>J60/EXCHANGE_RATE</f>
        <v>16555827.468331249</v>
      </c>
      <c r="K75" s="79">
        <f t="shared" si="20"/>
        <v>16555827.468331249</v>
      </c>
      <c r="L75" s="79">
        <f t="shared" si="20"/>
        <v>16555827.468331249</v>
      </c>
      <c r="M75" s="79">
        <f t="shared" si="20"/>
        <v>16555827.468331249</v>
      </c>
      <c r="N75" s="79">
        <f>N60/EXCHANGE_RATE</f>
        <v>16555827.468331249</v>
      </c>
    </row>
    <row r="78" spans="1:14" x14ac:dyDescent="0.2">
      <c r="A78" s="35" t="s">
        <v>77</v>
      </c>
      <c r="B78" s="1" t="s">
        <v>485</v>
      </c>
      <c r="C78" s="1"/>
      <c r="D78" s="1"/>
      <c r="E78" s="1"/>
      <c r="F78" s="1"/>
      <c r="G78" s="1"/>
      <c r="H78" s="1"/>
      <c r="I78" s="1"/>
      <c r="J78" s="1"/>
      <c r="K78" s="1"/>
      <c r="L78" s="1"/>
      <c r="M78" s="1"/>
      <c r="N78" s="1"/>
    </row>
    <row r="80" spans="1:14" ht="12" x14ac:dyDescent="0.2">
      <c r="F80" s="148" t="str">
        <f>"Contributions - "&amp;CURR_LCU_ABBR</f>
        <v>Contributions - GOZ</v>
      </c>
    </row>
    <row r="81" spans="1:14" ht="12" x14ac:dyDescent="0.2">
      <c r="H81" s="136" t="s">
        <v>548</v>
      </c>
      <c r="I81" s="145" t="s">
        <v>106</v>
      </c>
      <c r="J81" s="56" t="str">
        <f>CURR_LCU_ABBR</f>
        <v>GOZ</v>
      </c>
      <c r="K81" s="56" t="str">
        <f>CURR_LCU_ABBR</f>
        <v>GOZ</v>
      </c>
      <c r="L81" s="56" t="str">
        <f>CURR_LCU_ABBR</f>
        <v>GOZ</v>
      </c>
      <c r="M81" s="56" t="str">
        <f>CURR_LCU_ABBR</f>
        <v>GOZ</v>
      </c>
      <c r="N81" s="56" t="str">
        <f>CURR_LCU_ABBR</f>
        <v>GOZ</v>
      </c>
    </row>
    <row r="82" spans="1:14" ht="12" x14ac:dyDescent="0.2">
      <c r="F82" t="str">
        <f>Lu_Nutrition_Specific</f>
        <v>Nutrition-specific</v>
      </c>
      <c r="H82" s="289">
        <f ca="1">I82/I$85</f>
        <v>0.58216666666666672</v>
      </c>
      <c r="I82" s="68">
        <f t="shared" ref="I82:N82" ca="1" si="22">SUMIF($H$101:$H$160,Lu_Nutrition_Specific,I$101:I$160)</f>
        <v>86744258020.321579</v>
      </c>
      <c r="J82" s="325">
        <f ca="1">SUMIF($H$101:$H$160,Lu_Nutrition_Specific,J$101:J$160)</f>
        <v>17348851604.064316</v>
      </c>
      <c r="K82" s="325">
        <f ca="1">SUMIF($H$101:$H$160,Lu_Nutrition_Specific,K$101:K$160)</f>
        <v>17348851604.064316</v>
      </c>
      <c r="L82" s="325">
        <f t="shared" ca="1" si="22"/>
        <v>17348851604.064316</v>
      </c>
      <c r="M82" s="325">
        <f t="shared" ca="1" si="22"/>
        <v>17348851604.064316</v>
      </c>
      <c r="N82" s="325">
        <f t="shared" ca="1" si="22"/>
        <v>17348851604.064316</v>
      </c>
    </row>
    <row r="83" spans="1:14" ht="12" x14ac:dyDescent="0.2">
      <c r="F83" t="str">
        <f>Lu_Nutrition_Sensitive</f>
        <v>Nutrition-sensitive</v>
      </c>
      <c r="H83" s="289">
        <f t="shared" ref="H83:H85" ca="1" si="23">I83/I$85</f>
        <v>0.41623333333333329</v>
      </c>
      <c r="I83" s="69">
        <f t="shared" ref="I83:N83" ca="1" si="24">SUMIF($H$101:$H$160,Lu_Nutrition_Sensitive,I$101:I$160)</f>
        <v>62019785279.115685</v>
      </c>
      <c r="J83" s="325">
        <f t="shared" ca="1" si="24"/>
        <v>12403957055.823141</v>
      </c>
      <c r="K83" s="325">
        <f t="shared" ca="1" si="24"/>
        <v>12403957055.823141</v>
      </c>
      <c r="L83" s="325">
        <f t="shared" ca="1" si="24"/>
        <v>12403957055.823141</v>
      </c>
      <c r="M83" s="325">
        <f t="shared" ca="1" si="24"/>
        <v>12403957055.823141</v>
      </c>
      <c r="N83" s="325">
        <f t="shared" ca="1" si="24"/>
        <v>12403957055.823141</v>
      </c>
    </row>
    <row r="84" spans="1:14" ht="12" x14ac:dyDescent="0.2">
      <c r="F84" t="str">
        <f>Lu_Governance</f>
        <v>Governance</v>
      </c>
      <c r="H84" s="289">
        <f t="shared" ca="1" si="23"/>
        <v>1.5999999999999999E-3</v>
      </c>
      <c r="I84" s="69">
        <f t="shared" ref="I84:M84" ca="1" si="25">SUMIF($H$101:$H$160,Lu_Governance,I$101:I$160)</f>
        <v>238403915.54396996</v>
      </c>
      <c r="J84" s="325">
        <f t="shared" ca="1" si="25"/>
        <v>47680783.108794004</v>
      </c>
      <c r="K84" s="325">
        <f t="shared" ca="1" si="25"/>
        <v>47680783.108794004</v>
      </c>
      <c r="L84" s="325">
        <f t="shared" ca="1" si="25"/>
        <v>47680783.108794004</v>
      </c>
      <c r="M84" s="325">
        <f t="shared" ca="1" si="25"/>
        <v>47680783.108794004</v>
      </c>
      <c r="N84" s="325">
        <f ca="1">SUMIF($H$101:$H$160,Lu_Governance,N$101:N$160)</f>
        <v>47680783.108794004</v>
      </c>
    </row>
    <row r="85" spans="1:14" ht="12" x14ac:dyDescent="0.2">
      <c r="F85" s="324" t="str">
        <f>"TOTAL - "&amp;Summary_Govt_Contributions!$F$12&amp;" ("&amp;CURR_LCU_ABBR&amp;")"</f>
        <v>TOTAL - TODAS las contribuciones de las agencias gubernamentales (GOZ)</v>
      </c>
      <c r="G85" s="74"/>
      <c r="H85" s="291">
        <f t="shared" ca="1" si="23"/>
        <v>1</v>
      </c>
      <c r="I85" s="57">
        <f ca="1">SUM(I82:I84)</f>
        <v>149002447214.98123</v>
      </c>
      <c r="J85" s="55">
        <f ca="1">SUM(J82:J84)</f>
        <v>29800489442.996254</v>
      </c>
      <c r="K85" s="55">
        <f t="shared" ref="K85:N85" ca="1" si="26">SUM(K82:K84)</f>
        <v>29800489442.996254</v>
      </c>
      <c r="L85" s="55">
        <f t="shared" ca="1" si="26"/>
        <v>29800489442.996254</v>
      </c>
      <c r="M85" s="55">
        <f t="shared" ca="1" si="26"/>
        <v>29800489442.996254</v>
      </c>
      <c r="N85" s="55">
        <f t="shared" ca="1" si="26"/>
        <v>29800489442.996254</v>
      </c>
    </row>
    <row r="88" spans="1:14" ht="12" x14ac:dyDescent="0.2">
      <c r="F88" s="148" t="str">
        <f>"Contributions - "&amp;CURR_INT_ABBR</f>
        <v>Contributions - USD</v>
      </c>
    </row>
    <row r="89" spans="1:14" ht="12" x14ac:dyDescent="0.2">
      <c r="F89" s="148"/>
      <c r="H89" s="136" t="s">
        <v>548</v>
      </c>
      <c r="I89" s="145" t="s">
        <v>106</v>
      </c>
      <c r="J89" s="56" t="str">
        <f>CURR_INT_ABBR</f>
        <v>USD</v>
      </c>
      <c r="K89" s="56" t="str">
        <f>CURR_INT_ABBR</f>
        <v>USD</v>
      </c>
      <c r="L89" s="56" t="str">
        <f>CURR_INT_ABBR</f>
        <v>USD</v>
      </c>
      <c r="M89" s="56" t="str">
        <f>CURR_INT_ABBR</f>
        <v>USD</v>
      </c>
      <c r="N89" s="56" t="str">
        <f>CURR_INT_ABBR</f>
        <v>USD</v>
      </c>
    </row>
    <row r="90" spans="1:14" ht="12" x14ac:dyDescent="0.2">
      <c r="F90" t="str">
        <f>Lu_Nutrition_Specific</f>
        <v>Nutrition-specific</v>
      </c>
      <c r="H90" s="289">
        <f ca="1">I90/I$93</f>
        <v>0.58216666666666672</v>
      </c>
      <c r="I90" s="295">
        <f t="shared" ref="I90:N93" ca="1" si="27">I82/EXCHANGE_RATE</f>
        <v>48191254.455734208</v>
      </c>
      <c r="J90" s="329">
        <f ca="1">J82/EXCHANGE_RATE</f>
        <v>9638250.8911468424</v>
      </c>
      <c r="K90" s="329">
        <f t="shared" ca="1" si="27"/>
        <v>9638250.8911468424</v>
      </c>
      <c r="L90" s="329">
        <f t="shared" ca="1" si="27"/>
        <v>9638250.8911468424</v>
      </c>
      <c r="M90" s="329">
        <f t="shared" ca="1" si="27"/>
        <v>9638250.8911468424</v>
      </c>
      <c r="N90" s="329">
        <f t="shared" ca="1" si="27"/>
        <v>9638250.8911468424</v>
      </c>
    </row>
    <row r="91" spans="1:14" ht="12" x14ac:dyDescent="0.2">
      <c r="F91" t="str">
        <f>Lu_Nutrition_Sensitive</f>
        <v>Nutrition-sensitive</v>
      </c>
      <c r="H91" s="289">
        <f ca="1">I91/I$93</f>
        <v>0.41623333333333334</v>
      </c>
      <c r="I91" s="120">
        <f t="shared" ca="1" si="27"/>
        <v>34455436.266175382</v>
      </c>
      <c r="J91" s="329">
        <f t="shared" ca="1" si="27"/>
        <v>6891087.2532350784</v>
      </c>
      <c r="K91" s="329">
        <f t="shared" ca="1" si="27"/>
        <v>6891087.2532350784</v>
      </c>
      <c r="L91" s="329">
        <f t="shared" ca="1" si="27"/>
        <v>6891087.2532350784</v>
      </c>
      <c r="M91" s="329">
        <f t="shared" ca="1" si="27"/>
        <v>6891087.2532350784</v>
      </c>
      <c r="N91" s="329">
        <f t="shared" ca="1" si="27"/>
        <v>6891087.2532350784</v>
      </c>
    </row>
    <row r="92" spans="1:14" ht="12" x14ac:dyDescent="0.2">
      <c r="F92" t="str">
        <f>Lu_Governance</f>
        <v>Governance</v>
      </c>
      <c r="H92" s="289">
        <f ca="1">I92/I$93</f>
        <v>1.6000000000000001E-3</v>
      </c>
      <c r="I92" s="120">
        <f t="shared" ca="1" si="27"/>
        <v>132446.61974664999</v>
      </c>
      <c r="J92" s="329">
        <f t="shared" ca="1" si="27"/>
        <v>26489.323949330003</v>
      </c>
      <c r="K92" s="329">
        <f t="shared" ca="1" si="27"/>
        <v>26489.323949330003</v>
      </c>
      <c r="L92" s="329">
        <f t="shared" ca="1" si="27"/>
        <v>26489.323949330003</v>
      </c>
      <c r="M92" s="329">
        <f t="shared" ca="1" si="27"/>
        <v>26489.323949330003</v>
      </c>
      <c r="N92" s="329">
        <f ca="1">N84/EXCHANGE_RATE</f>
        <v>26489.323949330003</v>
      </c>
    </row>
    <row r="93" spans="1:14" ht="12" x14ac:dyDescent="0.2">
      <c r="F93" s="324" t="str">
        <f>"TOTAL - "&amp;Summary_Govt_Contributions!$F$12&amp;" ("&amp;CURR_INT_ABBR&amp;")"</f>
        <v>TOTAL - TODAS las contribuciones de las agencias gubernamentales (USD)</v>
      </c>
      <c r="G93" s="74"/>
      <c r="H93" s="291">
        <f ca="1">I93/I$93</f>
        <v>1</v>
      </c>
      <c r="I93" s="295">
        <f t="shared" ca="1" si="27"/>
        <v>82779137.341656238</v>
      </c>
      <c r="J93" s="122">
        <f t="shared" ca="1" si="27"/>
        <v>16555827.468331251</v>
      </c>
      <c r="K93" s="122">
        <f t="shared" ca="1" si="27"/>
        <v>16555827.468331251</v>
      </c>
      <c r="L93" s="122">
        <f t="shared" ca="1" si="27"/>
        <v>16555827.468331251</v>
      </c>
      <c r="M93" s="122">
        <f t="shared" ca="1" si="27"/>
        <v>16555827.468331251</v>
      </c>
      <c r="N93" s="122">
        <f ca="1">N85/EXCHANGE_RATE</f>
        <v>16555827.468331251</v>
      </c>
    </row>
    <row r="94" spans="1:14" ht="12" x14ac:dyDescent="0.2">
      <c r="F94" s="327"/>
      <c r="G94" s="50"/>
      <c r="H94" s="328"/>
      <c r="I94" s="326"/>
      <c r="J94" s="326"/>
      <c r="K94" s="326"/>
      <c r="L94" s="326"/>
      <c r="M94" s="326"/>
      <c r="N94" s="326"/>
    </row>
    <row r="96" spans="1:14" x14ac:dyDescent="0.2">
      <c r="A96" s="35" t="s">
        <v>77</v>
      </c>
      <c r="B96" s="1" t="s">
        <v>481</v>
      </c>
      <c r="C96" s="1"/>
      <c r="D96" s="1"/>
      <c r="E96" s="1"/>
      <c r="F96" s="1"/>
      <c r="G96" s="1"/>
      <c r="H96" s="1"/>
      <c r="I96" s="1"/>
      <c r="J96" s="1"/>
      <c r="K96" s="1"/>
      <c r="L96" s="1"/>
      <c r="M96" s="1"/>
      <c r="N96" s="1"/>
    </row>
    <row r="98" spans="5:14" ht="15.6" x14ac:dyDescent="0.2">
      <c r="E98" s="86" t="str">
        <f>CURR_LCU_ABBR</f>
        <v>GOZ</v>
      </c>
    </row>
    <row r="100" spans="5:14" ht="12" x14ac:dyDescent="0.2">
      <c r="F100" s="1" t="s">
        <v>389</v>
      </c>
      <c r="G100" s="1" t="s">
        <v>399</v>
      </c>
      <c r="H100" s="1" t="s">
        <v>387</v>
      </c>
      <c r="I100" s="297" t="s">
        <v>106</v>
      </c>
      <c r="J100" s="298" t="str">
        <f>CURR_LCU_ABBR</f>
        <v>GOZ</v>
      </c>
      <c r="K100" s="298" t="str">
        <f>CURR_LCU_ABBR</f>
        <v>GOZ</v>
      </c>
      <c r="L100" s="298" t="str">
        <f>CURR_LCU_ABBR</f>
        <v>GOZ</v>
      </c>
      <c r="M100" s="298" t="str">
        <f>CURR_LCU_ABBR</f>
        <v>GOZ</v>
      </c>
      <c r="N100" s="298" t="str">
        <f>CURR_LCU_ABBR</f>
        <v>GOZ</v>
      </c>
    </row>
    <row r="101" spans="5:14" ht="22.8" x14ac:dyDescent="0.2">
      <c r="F101" s="447" t="str">
        <f>Strategy1</f>
        <v>Objetivo estratégico 1: Fortalecer la gobernanza de la nutrición</v>
      </c>
      <c r="G101" s="42" t="str">
        <f>STRAT1_IND1</f>
        <v>Se refuerza la coordinación multisectorial en materia de nutrición</v>
      </c>
      <c r="H101" s="260" t="str">
        <f ca="1">OFFSET(Variables_Lu!$D$10,Basic_Setup!H34,0)</f>
        <v>Governance</v>
      </c>
      <c r="I101" s="285">
        <f>SUM(Government1:Government10!I20)</f>
        <v>59600978.88599249</v>
      </c>
      <c r="J101" s="283">
        <f>SUM(Government1:Government10!J20)</f>
        <v>11920195.777198501</v>
      </c>
      <c r="K101" s="283">
        <f>SUM(Government1:Government10!K20)</f>
        <v>11920195.777198501</v>
      </c>
      <c r="L101" s="283">
        <f>SUM(Government1:Government10!L20)</f>
        <v>11920195.777198501</v>
      </c>
      <c r="M101" s="283">
        <f>SUM(Government1:Government10!M20)</f>
        <v>11920195.777198501</v>
      </c>
      <c r="N101" s="283">
        <f>SUM(Government1:Government10!N20)</f>
        <v>11920195.777198501</v>
      </c>
    </row>
    <row r="102" spans="5:14" ht="34.200000000000003" x14ac:dyDescent="0.2">
      <c r="F102" s="447"/>
      <c r="G102" s="42" t="str">
        <f>STRAT1_IND2</f>
        <v>Está en funcionamiento el sistema multisectorial de información sobre nutrición para la adopción de decisiones eficaces.</v>
      </c>
      <c r="H102" s="260" t="str">
        <f ca="1">OFFSET(Variables_Lu!$D$10,Basic_Setup!H35,0)</f>
        <v>Governance</v>
      </c>
      <c r="I102" s="285">
        <f>SUM(Government1:Government10!I21)</f>
        <v>59600978.88599249</v>
      </c>
      <c r="J102" s="283">
        <f>SUM(Government1:Government10!J21)</f>
        <v>11920195.777198501</v>
      </c>
      <c r="K102" s="283">
        <f>SUM(Government1:Government10!K21)</f>
        <v>11920195.777198501</v>
      </c>
      <c r="L102" s="283">
        <f>SUM(Government1:Government10!L21)</f>
        <v>11920195.777198501</v>
      </c>
      <c r="M102" s="283">
        <f>SUM(Government1:Government10!M21)</f>
        <v>11920195.777198501</v>
      </c>
      <c r="N102" s="283">
        <f>SUM(Government1:Government10!N21)</f>
        <v>11920195.777198501</v>
      </c>
    </row>
    <row r="103" spans="5:14" ht="22.8" x14ac:dyDescent="0.2">
      <c r="F103" s="447"/>
      <c r="G103" s="42" t="str">
        <f>STRAT1_IND3</f>
        <v>La investigación en nutrición se utiliza para aclarar que la toma de decisiones se mejora y se refuerza.</v>
      </c>
      <c r="H103" s="260" t="str">
        <f ca="1">OFFSET(Variables_Lu!$D$10,Basic_Setup!H36,0)</f>
        <v>Governance</v>
      </c>
      <c r="I103" s="285">
        <f>SUM(Government1:Government10!I22)</f>
        <v>59600978.88599249</v>
      </c>
      <c r="J103" s="283">
        <f>SUM(Government1:Government10!J22)</f>
        <v>11920195.777198501</v>
      </c>
      <c r="K103" s="283">
        <f>SUM(Government1:Government10!K22)</f>
        <v>11920195.777198501</v>
      </c>
      <c r="L103" s="283">
        <f>SUM(Government1:Government10!L22)</f>
        <v>11920195.777198501</v>
      </c>
      <c r="M103" s="283">
        <f>SUM(Government1:Government10!M22)</f>
        <v>11920195.777198501</v>
      </c>
      <c r="N103" s="283">
        <f>SUM(Government1:Government10!N22)</f>
        <v>11920195.777198501</v>
      </c>
    </row>
    <row r="104" spans="5:14" ht="22.8" x14ac:dyDescent="0.2">
      <c r="F104" s="447"/>
      <c r="G104" s="41" t="str">
        <f>STRAT1_IND4</f>
        <v>El marco legislativo y reglamentario de la nutrición se ha fortalecido y está en funcionamiento.</v>
      </c>
      <c r="H104" s="260" t="str">
        <f ca="1">OFFSET(Variables_Lu!$D$10,Basic_Setup!H37,0)</f>
        <v>Governance</v>
      </c>
      <c r="I104" s="285">
        <f>SUM(Government1:Government10!I23)</f>
        <v>59600978.88599249</v>
      </c>
      <c r="J104" s="283">
        <f>SUM(Government1:Government10!J23)</f>
        <v>11920195.777198501</v>
      </c>
      <c r="K104" s="283">
        <f>SUM(Government1:Government10!K23)</f>
        <v>11920195.777198501</v>
      </c>
      <c r="L104" s="283">
        <f>SUM(Government1:Government10!L23)</f>
        <v>11920195.777198501</v>
      </c>
      <c r="M104" s="283">
        <f>SUM(Government1:Government10!M23)</f>
        <v>11920195.777198501</v>
      </c>
      <c r="N104" s="283">
        <f>SUM(Government1:Government10!N23)</f>
        <v>11920195.777198501</v>
      </c>
    </row>
    <row r="105" spans="5:14" ht="12" x14ac:dyDescent="0.2">
      <c r="F105" s="448"/>
      <c r="G105" s="41" t="str">
        <f>STRAT1_IND5</f>
        <v>Objetivo estratégico 1 Indicador 5</v>
      </c>
      <c r="H105" s="260" t="str">
        <f ca="1">OFFSET(Variables_Lu!$D$10,Basic_Setup!H38,0)</f>
        <v>Governance</v>
      </c>
      <c r="I105" s="286">
        <f>SUM(Government1:Government10!I24)</f>
        <v>0</v>
      </c>
      <c r="J105" s="284">
        <f>SUM(Government1:Government10!J24)</f>
        <v>0</v>
      </c>
      <c r="K105" s="284">
        <f>SUM(Government1:Government10!K24)</f>
        <v>0</v>
      </c>
      <c r="L105" s="284">
        <f>SUM(Government1:Government10!L24)</f>
        <v>0</v>
      </c>
      <c r="M105" s="284">
        <f>SUM(Government1:Government10!M24)</f>
        <v>0</v>
      </c>
      <c r="N105" s="284">
        <f>SUM(Government1:Government10!N24)</f>
        <v>0</v>
      </c>
    </row>
    <row r="106" spans="5:14" ht="12" x14ac:dyDescent="0.2">
      <c r="F106" s="38"/>
      <c r="G106" s="38"/>
      <c r="H106" s="152" t="s">
        <v>538</v>
      </c>
      <c r="I106" s="287">
        <f>SUM(Government1:Government10!I25)</f>
        <v>238403915.54396996</v>
      </c>
      <c r="J106" s="296">
        <f>SUM(Government1:Government10!J25)</f>
        <v>47680783.108794004</v>
      </c>
      <c r="K106" s="296">
        <f>SUM(Government1:Government10!K25)</f>
        <v>47680783.108794004</v>
      </c>
      <c r="L106" s="296">
        <f>SUM(Government1:Government10!L25)</f>
        <v>47680783.108794004</v>
      </c>
      <c r="M106" s="296">
        <f>SUM(Government1:Government10!M25)</f>
        <v>47680783.108794004</v>
      </c>
      <c r="N106" s="296">
        <f>SUM(Government1:Government10!N25)</f>
        <v>47680783.108794004</v>
      </c>
    </row>
    <row r="107" spans="5:14" ht="45.6" x14ac:dyDescent="0.2">
      <c r="F107" s="447" t="str">
        <f>Strategy2</f>
        <v>Objetivo estratégico 2: Fortalecer el acceso al tratamiento y a los servicios de salud y nutrición de calidad, así como al tratamiento de todas las formas de malnutrición</v>
      </c>
      <c r="G107" s="42" t="str">
        <f>STRAT2_IND1</f>
        <v>Se fortalece el acceso y la utilización sostenible de los servicios de salud y nutrición para los niños menores de 5 años, los adolescentes, las mujeres embarazadas y lactantes, y los demás grupos vulnerables</v>
      </c>
      <c r="H107" s="260" t="str">
        <f ca="1">OFFSET(Variables_Lu!$D$10,Basic_Setup!H40,0)</f>
        <v>Nutrition-specific</v>
      </c>
      <c r="I107" s="285">
        <f>SUM(Government1:Government10!I26)</f>
        <v>3153885132.7171035</v>
      </c>
      <c r="J107" s="283">
        <f>SUM(Government1:Government10!J26)</f>
        <v>630777026.54342055</v>
      </c>
      <c r="K107" s="283">
        <f>SUM(Government1:Government10!K26)</f>
        <v>630777026.54342055</v>
      </c>
      <c r="L107" s="283">
        <f>SUM(Government1:Government10!L26)</f>
        <v>630777026.54342055</v>
      </c>
      <c r="M107" s="283">
        <f>SUM(Government1:Government10!M26)</f>
        <v>630777026.54342055</v>
      </c>
      <c r="N107" s="283">
        <f>SUM(Government1:Government10!N26)</f>
        <v>630777026.54342055</v>
      </c>
    </row>
    <row r="108" spans="5:14" ht="45.6" x14ac:dyDescent="0.2">
      <c r="F108" s="447"/>
      <c r="G108" s="42" t="str">
        <f>STRAT2_IND2</f>
        <v xml:space="preserve">Se reduce la prevalencia de enfermedades relacionadas con la prevalencia de la malnutrición (paludismo, diarrea, neumonía, parásitos intestinales, VIH, TNM) en lactantes, adolescentes y mujeres en edad reproductiva. </v>
      </c>
      <c r="H108" s="260" t="str">
        <f ca="1">OFFSET(Variables_Lu!$D$10,Basic_Setup!H41,0)</f>
        <v>Nutrition-sensitive</v>
      </c>
      <c r="I108" s="285">
        <f>SUM(Government1:Government10!I27)</f>
        <v>3153885132.7171035</v>
      </c>
      <c r="J108" s="283">
        <f>SUM(Government1:Government10!J27)</f>
        <v>630777026.54342055</v>
      </c>
      <c r="K108" s="283">
        <f>SUM(Government1:Government10!K27)</f>
        <v>630777026.54342055</v>
      </c>
      <c r="L108" s="283">
        <f>SUM(Government1:Government10!L27)</f>
        <v>630777026.54342055</v>
      </c>
      <c r="M108" s="283">
        <f>SUM(Government1:Government10!M27)</f>
        <v>630777026.54342055</v>
      </c>
      <c r="N108" s="283">
        <f>SUM(Government1:Government10!N27)</f>
        <v>630777026.54342055</v>
      </c>
    </row>
    <row r="109" spans="5:14" ht="22.8" x14ac:dyDescent="0.2">
      <c r="F109" s="447"/>
      <c r="G109" s="42" t="str">
        <f>STRAT2_IND3</f>
        <v>Se refuerzan las intervenciones comunitarias en materia de nutrición.</v>
      </c>
      <c r="H109" s="260" t="str">
        <f ca="1">OFFSET(Variables_Lu!$D$10,Basic_Setup!H42,0)</f>
        <v>Nutrition-specific</v>
      </c>
      <c r="I109" s="285">
        <f>SUM(Government1:Government10!I28)</f>
        <v>3153885132.7171035</v>
      </c>
      <c r="J109" s="283">
        <f>SUM(Government1:Government10!J28)</f>
        <v>630777026.54342055</v>
      </c>
      <c r="K109" s="283">
        <f>SUM(Government1:Government10!K28)</f>
        <v>630777026.54342055</v>
      </c>
      <c r="L109" s="283">
        <f>SUM(Government1:Government10!L28)</f>
        <v>630777026.54342055</v>
      </c>
      <c r="M109" s="283">
        <f>SUM(Government1:Government10!M28)</f>
        <v>630777026.54342055</v>
      </c>
      <c r="N109" s="283">
        <f>SUM(Government1:Government10!N28)</f>
        <v>630777026.54342055</v>
      </c>
    </row>
    <row r="110" spans="5:14" ht="12" x14ac:dyDescent="0.2">
      <c r="F110" s="447"/>
      <c r="G110" s="41" t="str">
        <f>STRAT2_IND4</f>
        <v>Objetivo estratégico 2 Indicador 4</v>
      </c>
      <c r="H110" s="260" t="str">
        <f ca="1">OFFSET(Variables_Lu!$D$10,Basic_Setup!H43,0)</f>
        <v>Nutrition-specific</v>
      </c>
      <c r="I110" s="285">
        <f>SUM(Government1:Government10!I29)</f>
        <v>0</v>
      </c>
      <c r="J110" s="283">
        <f>SUM(Government1:Government10!J29)</f>
        <v>0</v>
      </c>
      <c r="K110" s="283">
        <f>SUM(Government1:Government10!K29)</f>
        <v>0</v>
      </c>
      <c r="L110" s="283">
        <f>SUM(Government1:Government10!L29)</f>
        <v>0</v>
      </c>
      <c r="M110" s="283">
        <f>SUM(Government1:Government10!M29)</f>
        <v>0</v>
      </c>
      <c r="N110" s="283">
        <f>SUM(Government1:Government10!N29)</f>
        <v>0</v>
      </c>
    </row>
    <row r="111" spans="5:14" ht="12" x14ac:dyDescent="0.2">
      <c r="F111" s="448"/>
      <c r="G111" s="41" t="str">
        <f>STRAT2_IND5</f>
        <v>Objetivo estratégico 2 Indicador 5</v>
      </c>
      <c r="H111" s="260" t="str">
        <f ca="1">OFFSET(Variables_Lu!$D$10,Basic_Setup!H44,0)</f>
        <v>Nutrition-specific</v>
      </c>
      <c r="I111" s="286">
        <f>SUM(Government1:Government10!I30)</f>
        <v>0</v>
      </c>
      <c r="J111" s="284">
        <f>SUM(Government1:Government10!J30)</f>
        <v>0</v>
      </c>
      <c r="K111" s="284">
        <f>SUM(Government1:Government10!K30)</f>
        <v>0</v>
      </c>
      <c r="L111" s="284">
        <f>SUM(Government1:Government10!L30)</f>
        <v>0</v>
      </c>
      <c r="M111" s="284">
        <f>SUM(Government1:Government10!M30)</f>
        <v>0</v>
      </c>
      <c r="N111" s="284">
        <f>SUM(Government1:Government10!N30)</f>
        <v>0</v>
      </c>
    </row>
    <row r="112" spans="5:14" ht="12" x14ac:dyDescent="0.2">
      <c r="F112" s="38"/>
      <c r="G112" s="38"/>
      <c r="H112" s="152" t="s">
        <v>539</v>
      </c>
      <c r="I112" s="287">
        <f>SUM(Government1:Government10!I31)</f>
        <v>9461655398.1513081</v>
      </c>
      <c r="J112" s="296">
        <f>SUM(Government1:Government10!J31)</f>
        <v>1892331079.6302621</v>
      </c>
      <c r="K112" s="296">
        <f>SUM(Government1:Government10!K31)</f>
        <v>1892331079.6302621</v>
      </c>
      <c r="L112" s="296">
        <f>SUM(Government1:Government10!L31)</f>
        <v>1892331079.6302621</v>
      </c>
      <c r="M112" s="296">
        <f>SUM(Government1:Government10!M31)</f>
        <v>1892331079.6302621</v>
      </c>
      <c r="N112" s="296">
        <f>SUM(Government1:Government10!N31)</f>
        <v>1892331079.6302621</v>
      </c>
    </row>
    <row r="113" spans="6:14" ht="22.8" x14ac:dyDescent="0.2">
      <c r="F113" s="447" t="str">
        <f>Strategy3</f>
        <v>Objetivo estratégico 3: Aumentar la disponibilidad y el acceso a alimentos nutritivos de alto valor, seguros y diversificados</v>
      </c>
      <c r="G113" s="42" t="str">
        <f>STRAT3_IND1</f>
        <v xml:space="preserve">Aumenta la disponibilidad y el acceso a alimentos de alto valor nutritivo en los hogares. </v>
      </c>
      <c r="H113" s="260" t="str">
        <f ca="1">OFFSET(Variables_Lu!$D$10,Basic_Setup!H46,0)</f>
        <v>Nutrition-specific</v>
      </c>
      <c r="I113" s="285">
        <f>SUM(Government1:Government10!I32)</f>
        <v>37295312537.909805</v>
      </c>
      <c r="J113" s="283">
        <f>SUM(Government1:Government10!J32)</f>
        <v>7459062507.5819616</v>
      </c>
      <c r="K113" s="283">
        <f>SUM(Government1:Government10!K32)</f>
        <v>7459062507.5819616</v>
      </c>
      <c r="L113" s="283">
        <f>SUM(Government1:Government10!L32)</f>
        <v>7459062507.5819616</v>
      </c>
      <c r="M113" s="283">
        <f>SUM(Government1:Government10!M32)</f>
        <v>7459062507.5819616</v>
      </c>
      <c r="N113" s="283">
        <f>SUM(Government1:Government10!N32)</f>
        <v>7459062507.5819616</v>
      </c>
    </row>
    <row r="114" spans="6:14" ht="22.8" x14ac:dyDescent="0.2">
      <c r="F114" s="447"/>
      <c r="G114" s="42" t="str">
        <f>STRAT3_IND2</f>
        <v xml:space="preserve"> La seguridad alimentaria está garantizada para toda la nación.</v>
      </c>
      <c r="H114" s="260" t="str">
        <f ca="1">OFFSET(Variables_Lu!$D$10,Basic_Setup!H47,0)</f>
        <v>Nutrition-sensitive</v>
      </c>
      <c r="I114" s="285">
        <f>SUM(Government1:Government10!I33)</f>
        <v>37295312537.909805</v>
      </c>
      <c r="J114" s="283">
        <f>SUM(Government1:Government10!J33)</f>
        <v>7459062507.5819616</v>
      </c>
      <c r="K114" s="283">
        <f>SUM(Government1:Government10!K33)</f>
        <v>7459062507.5819616</v>
      </c>
      <c r="L114" s="283">
        <f>SUM(Government1:Government10!L33)</f>
        <v>7459062507.5819616</v>
      </c>
      <c r="M114" s="283">
        <f>SUM(Government1:Government10!M33)</f>
        <v>7459062507.5819616</v>
      </c>
      <c r="N114" s="283">
        <f>SUM(Government1:Government10!N33)</f>
        <v>7459062507.5819616</v>
      </c>
    </row>
    <row r="115" spans="6:14" ht="12" x14ac:dyDescent="0.2">
      <c r="F115" s="447"/>
      <c r="G115" s="42" t="str">
        <f>STRAT3_IND3</f>
        <v>Objetivo estratégico 3 Indicador 3</v>
      </c>
      <c r="H115" s="260" t="str">
        <f ca="1">OFFSET(Variables_Lu!$D$10,Basic_Setup!H48,0)</f>
        <v>Nutrition-specific</v>
      </c>
      <c r="I115" s="285">
        <f>SUM(Government1:Government10!I34)</f>
        <v>0</v>
      </c>
      <c r="J115" s="283">
        <f>SUM(Government1:Government10!J34)</f>
        <v>0</v>
      </c>
      <c r="K115" s="283">
        <f>SUM(Government1:Government10!K34)</f>
        <v>0</v>
      </c>
      <c r="L115" s="283">
        <f>SUM(Government1:Government10!L34)</f>
        <v>0</v>
      </c>
      <c r="M115" s="283">
        <f>SUM(Government1:Government10!M34)</f>
        <v>0</v>
      </c>
      <c r="N115" s="283">
        <f>SUM(Government1:Government10!N34)</f>
        <v>0</v>
      </c>
    </row>
    <row r="116" spans="6:14" ht="12" x14ac:dyDescent="0.2">
      <c r="F116" s="447"/>
      <c r="G116" s="41" t="str">
        <f>STRAT3_IND4</f>
        <v>Objetivo estratégico 3 Indicador 4</v>
      </c>
      <c r="H116" s="260" t="str">
        <f ca="1">OFFSET(Variables_Lu!$D$10,Basic_Setup!H49,0)</f>
        <v>Nutrition-specific</v>
      </c>
      <c r="I116" s="285">
        <f>SUM(Government1:Government10!I35)</f>
        <v>0</v>
      </c>
      <c r="J116" s="283">
        <f>SUM(Government1:Government10!J35)</f>
        <v>0</v>
      </c>
      <c r="K116" s="283">
        <f>SUM(Government1:Government10!K35)</f>
        <v>0</v>
      </c>
      <c r="L116" s="283">
        <f>SUM(Government1:Government10!L35)</f>
        <v>0</v>
      </c>
      <c r="M116" s="283">
        <f>SUM(Government1:Government10!M35)</f>
        <v>0</v>
      </c>
      <c r="N116" s="283">
        <f>SUM(Government1:Government10!N35)</f>
        <v>0</v>
      </c>
    </row>
    <row r="117" spans="6:14" ht="12" x14ac:dyDescent="0.2">
      <c r="F117" s="448"/>
      <c r="G117" s="41" t="str">
        <f>STRAT3_IND5</f>
        <v>Objetivo estratégico 3 Indicador 5</v>
      </c>
      <c r="H117" s="260" t="str">
        <f ca="1">OFFSET(Variables_Lu!$D$10,Basic_Setup!H50,0)</f>
        <v>Nutrition-specific</v>
      </c>
      <c r="I117" s="286">
        <f>SUM(Government1:Government10!I36)</f>
        <v>0</v>
      </c>
      <c r="J117" s="284">
        <f>SUM(Government1:Government10!J36)</f>
        <v>0</v>
      </c>
      <c r="K117" s="284">
        <f>SUM(Government1:Government10!K36)</f>
        <v>0</v>
      </c>
      <c r="L117" s="284">
        <f>SUM(Government1:Government10!L36)</f>
        <v>0</v>
      </c>
      <c r="M117" s="284">
        <f>SUM(Government1:Government10!M36)</f>
        <v>0</v>
      </c>
      <c r="N117" s="284">
        <f>SUM(Government1:Government10!N36)</f>
        <v>0</v>
      </c>
    </row>
    <row r="118" spans="6:14" ht="12" x14ac:dyDescent="0.2">
      <c r="H118" s="152" t="s">
        <v>540</v>
      </c>
      <c r="I118" s="287">
        <f>SUM(Government1:Government10!I37)</f>
        <v>74590625075.819611</v>
      </c>
      <c r="J118" s="296">
        <f>SUM(Government1:Government10!J37)</f>
        <v>14918125015.163923</v>
      </c>
      <c r="K118" s="296">
        <f>SUM(Government1:Government10!K37)</f>
        <v>14918125015.163923</v>
      </c>
      <c r="L118" s="296">
        <f>SUM(Government1:Government10!L37)</f>
        <v>14918125015.163923</v>
      </c>
      <c r="M118" s="296">
        <f>SUM(Government1:Government10!M37)</f>
        <v>14918125015.163923</v>
      </c>
      <c r="N118" s="296">
        <f>SUM(Government1:Government10!N37)</f>
        <v>14918125015.163923</v>
      </c>
    </row>
    <row r="119" spans="6:14" ht="22.8" x14ac:dyDescent="0.2">
      <c r="F119" s="447" t="str">
        <f>Strategy4</f>
        <v>Objetivo estratégico 4: Fortalecer la protección social, la resiliencia de la respuesta a las emergencias y los desastres naturales.</v>
      </c>
      <c r="G119" s="42" t="str">
        <f>STRAT4_IND1</f>
        <v xml:space="preserve">Se garantiza la protección social de los niños menores de 5 años, los adolescentes, FE/FA y otros grupos vulnerables. </v>
      </c>
      <c r="H119" s="260" t="str">
        <f ca="1">OFFSET(Variables_Lu!$D$10,Basic_Setup!H52,0)</f>
        <v>Nutrition-sensitive</v>
      </c>
      <c r="I119" s="285">
        <f>SUM(Government1:Government10!I38)</f>
        <v>20994444812.590855</v>
      </c>
      <c r="J119" s="283">
        <f>SUM(Government1:Government10!J38)</f>
        <v>4198888962.5181718</v>
      </c>
      <c r="K119" s="283">
        <f>SUM(Government1:Government10!K38)</f>
        <v>4198888962.5181718</v>
      </c>
      <c r="L119" s="283">
        <f>SUM(Government1:Government10!L38)</f>
        <v>4198888962.5181718</v>
      </c>
      <c r="M119" s="283">
        <f>SUM(Government1:Government10!M38)</f>
        <v>4198888962.5181718</v>
      </c>
      <c r="N119" s="283">
        <f>SUM(Government1:Government10!N38)</f>
        <v>4198888962.5181718</v>
      </c>
    </row>
    <row r="120" spans="6:14" ht="34.200000000000003" x14ac:dyDescent="0.2">
      <c r="F120" s="447"/>
      <c r="G120" s="42" t="str">
        <f>STRAT4_IND2</f>
        <v xml:space="preserve">Se fortalece la capacidad de resiliencia y el estado nutricional de las poblaciones vulnerables, incluidos los niños de las zonas desfavorecidas.  </v>
      </c>
      <c r="H120" s="260" t="str">
        <f ca="1">OFFSET(Variables_Lu!$D$10,Basic_Setup!H53,0)</f>
        <v>Nutrition-specific</v>
      </c>
      <c r="I120" s="285">
        <f>SUM(Government1:Government10!I39)</f>
        <v>20994444812.590855</v>
      </c>
      <c r="J120" s="283">
        <f>SUM(Government1:Government10!J39)</f>
        <v>4198888962.5181718</v>
      </c>
      <c r="K120" s="283">
        <f>SUM(Government1:Government10!K39)</f>
        <v>4198888962.5181718</v>
      </c>
      <c r="L120" s="283">
        <f>SUM(Government1:Government10!L39)</f>
        <v>4198888962.5181718</v>
      </c>
      <c r="M120" s="283">
        <f>SUM(Government1:Government10!M39)</f>
        <v>4198888962.5181718</v>
      </c>
      <c r="N120" s="283">
        <f>SUM(Government1:Government10!N39)</f>
        <v>4198888962.5181718</v>
      </c>
    </row>
    <row r="121" spans="6:14" ht="34.200000000000003" x14ac:dyDescent="0.2">
      <c r="F121" s="447"/>
      <c r="G121" s="42" t="str">
        <f>STRAT4_IND3</f>
        <v xml:space="preserve"> Se introducen eficazmente intervenciones para emergencias y catástrofes naturales integrales de la nutrición.</v>
      </c>
      <c r="H121" s="260" t="str">
        <f ca="1">OFFSET(Variables_Lu!$D$10,Basic_Setup!H54,0)</f>
        <v>Nutrition-specific</v>
      </c>
      <c r="I121" s="285">
        <f>SUM(Government1:Government10!I40)</f>
        <v>20994444812.590855</v>
      </c>
      <c r="J121" s="283">
        <f>SUM(Government1:Government10!J40)</f>
        <v>4198888962.5181718</v>
      </c>
      <c r="K121" s="283">
        <f>SUM(Government1:Government10!K40)</f>
        <v>4198888962.5181718</v>
      </c>
      <c r="L121" s="283">
        <f>SUM(Government1:Government10!L40)</f>
        <v>4198888962.5181718</v>
      </c>
      <c r="M121" s="283">
        <f>SUM(Government1:Government10!M40)</f>
        <v>4198888962.5181718</v>
      </c>
      <c r="N121" s="283">
        <f>SUM(Government1:Government10!N40)</f>
        <v>4198888962.5181718</v>
      </c>
    </row>
    <row r="122" spans="6:14" ht="12" x14ac:dyDescent="0.2">
      <c r="F122" s="447"/>
      <c r="G122" s="41" t="str">
        <f>STRAT4_IND4</f>
        <v>Objetivo estratégico 4 Indicador 4</v>
      </c>
      <c r="H122" s="260" t="str">
        <f ca="1">OFFSET(Variables_Lu!$D$10,Basic_Setup!H55,0)</f>
        <v>Nutrition-specific</v>
      </c>
      <c r="I122" s="285">
        <f>SUM(Government1:Government10!I41)</f>
        <v>0</v>
      </c>
      <c r="J122" s="283">
        <f>SUM(Government1:Government10!J41)</f>
        <v>0</v>
      </c>
      <c r="K122" s="283">
        <f>SUM(Government1:Government10!K41)</f>
        <v>0</v>
      </c>
      <c r="L122" s="283">
        <f>SUM(Government1:Government10!L41)</f>
        <v>0</v>
      </c>
      <c r="M122" s="283">
        <f>SUM(Government1:Government10!M41)</f>
        <v>0</v>
      </c>
      <c r="N122" s="283">
        <f>SUM(Government1:Government10!N41)</f>
        <v>0</v>
      </c>
    </row>
    <row r="123" spans="6:14" ht="12" x14ac:dyDescent="0.2">
      <c r="F123" s="448"/>
      <c r="G123" s="41" t="str">
        <f>STRAT4_IND5</f>
        <v>Objetivo estratégico 4 Indicador 5</v>
      </c>
      <c r="H123" s="260" t="str">
        <f ca="1">OFFSET(Variables_Lu!$D$10,Basic_Setup!H56,0)</f>
        <v>Nutrition-specific</v>
      </c>
      <c r="I123" s="286">
        <f>SUM(Government1:Government10!I42)</f>
        <v>0</v>
      </c>
      <c r="J123" s="284">
        <f>SUM(Government1:Government10!J42)</f>
        <v>0</v>
      </c>
      <c r="K123" s="284">
        <f>SUM(Government1:Government10!K42)</f>
        <v>0</v>
      </c>
      <c r="L123" s="284">
        <f>SUM(Government1:Government10!L42)</f>
        <v>0</v>
      </c>
      <c r="M123" s="284">
        <f>SUM(Government1:Government10!M42)</f>
        <v>0</v>
      </c>
      <c r="N123" s="284">
        <f>SUM(Government1:Government10!N42)</f>
        <v>0</v>
      </c>
    </row>
    <row r="124" spans="6:14" ht="12" x14ac:dyDescent="0.2">
      <c r="H124" s="152" t="s">
        <v>541</v>
      </c>
      <c r="I124" s="287">
        <f>SUM(Government1:Government10!I43)</f>
        <v>62983334437.772575</v>
      </c>
      <c r="J124" s="296">
        <f>SUM(Government1:Government10!J43)</f>
        <v>12596666887.554514</v>
      </c>
      <c r="K124" s="296">
        <f>SUM(Government1:Government10!K43)</f>
        <v>12596666887.554514</v>
      </c>
      <c r="L124" s="296">
        <f>SUM(Government1:Government10!L43)</f>
        <v>12596666887.554514</v>
      </c>
      <c r="M124" s="296">
        <f>SUM(Government1:Government10!M43)</f>
        <v>12596666887.554514</v>
      </c>
      <c r="N124" s="296">
        <f>SUM(Government1:Government10!N43)</f>
        <v>12596666887.554514</v>
      </c>
    </row>
    <row r="125" spans="6:14" ht="34.200000000000003" x14ac:dyDescent="0.2">
      <c r="F125" s="447" t="str">
        <f>Strategy5</f>
        <v xml:space="preserve">Objetivo estratégico 5: Promoción de prácticas favorables a una nutrición óptima, de higiene y saneamiento básico. </v>
      </c>
      <c r="G125" s="42" t="str">
        <f>STRAT5_IND1</f>
        <v>Se mejoran las prácticas nutricionales favorables para los niños menores de 5 años, los adolescentes, las mujeres embarazadas y lactantes, y otros grupos vulnerables.</v>
      </c>
      <c r="H125" s="260" t="str">
        <f ca="1">OFFSET(Variables_Lu!$D$10,Basic_Setup!H58,0)</f>
        <v>Nutrition-specific</v>
      </c>
      <c r="I125" s="285">
        <f>SUM(Government1:Government10!I44)</f>
        <v>576142795.8979274</v>
      </c>
      <c r="J125" s="283">
        <f>SUM(Government1:Government10!J44)</f>
        <v>115228559.17958549</v>
      </c>
      <c r="K125" s="283">
        <f>SUM(Government1:Government10!K44)</f>
        <v>115228559.17958549</v>
      </c>
      <c r="L125" s="283">
        <f>SUM(Government1:Government10!L44)</f>
        <v>115228559.17958549</v>
      </c>
      <c r="M125" s="283">
        <f>SUM(Government1:Government10!M44)</f>
        <v>115228559.17958549</v>
      </c>
      <c r="N125" s="283">
        <f>SUM(Government1:Government10!N44)</f>
        <v>115228559.17958549</v>
      </c>
    </row>
    <row r="126" spans="6:14" ht="22.8" x14ac:dyDescent="0.2">
      <c r="F126" s="447"/>
      <c r="G126" s="42" t="str">
        <f>STRAT5_IND2</f>
        <v>Se promueven dietas saludables y estilos de vida saludables para las personas.</v>
      </c>
      <c r="H126" s="260" t="str">
        <f ca="1">OFFSET(Variables_Lu!$D$10,Basic_Setup!H59,0)</f>
        <v>Nutrition-specific</v>
      </c>
      <c r="I126" s="285">
        <f>SUM(Government1:Government10!I45)</f>
        <v>576142795.8979274</v>
      </c>
      <c r="J126" s="283">
        <f>SUM(Government1:Government10!J45)</f>
        <v>115228559.17958549</v>
      </c>
      <c r="K126" s="283">
        <f>SUM(Government1:Government10!K45)</f>
        <v>115228559.17958549</v>
      </c>
      <c r="L126" s="283">
        <f>SUM(Government1:Government10!L45)</f>
        <v>115228559.17958549</v>
      </c>
      <c r="M126" s="283">
        <f>SUM(Government1:Government10!M45)</f>
        <v>115228559.17958549</v>
      </c>
      <c r="N126" s="283">
        <f>SUM(Government1:Government10!N45)</f>
        <v>115228559.17958549</v>
      </c>
    </row>
    <row r="127" spans="6:14" ht="22.8" x14ac:dyDescent="0.2">
      <c r="F127" s="447"/>
      <c r="G127" s="42" t="str">
        <f>STRAT5_IND3</f>
        <v>Se promueven las buenas prácticas WASH a nivel comunitario y doméstico</v>
      </c>
      <c r="H127" s="260" t="str">
        <f ca="1">OFFSET(Variables_Lu!$D$10,Basic_Setup!H60,0)</f>
        <v>Nutrition-sensitive</v>
      </c>
      <c r="I127" s="285">
        <f>SUM(Government1:Government10!I46)</f>
        <v>576142795.8979274</v>
      </c>
      <c r="J127" s="283">
        <f>SUM(Government1:Government10!J46)</f>
        <v>115228559.17958549</v>
      </c>
      <c r="K127" s="283">
        <f>SUM(Government1:Government10!K46)</f>
        <v>115228559.17958549</v>
      </c>
      <c r="L127" s="283">
        <f>SUM(Government1:Government10!L46)</f>
        <v>115228559.17958549</v>
      </c>
      <c r="M127" s="283">
        <f>SUM(Government1:Government10!M46)</f>
        <v>115228559.17958549</v>
      </c>
      <c r="N127" s="283">
        <f>SUM(Government1:Government10!N46)</f>
        <v>115228559.17958549</v>
      </c>
    </row>
    <row r="128" spans="6:14" ht="12" x14ac:dyDescent="0.2">
      <c r="F128" s="447"/>
      <c r="G128" s="41" t="str">
        <f>STRAT5_IND4</f>
        <v>Objetivo estratégico 5 Indicador 4</v>
      </c>
      <c r="H128" s="260" t="str">
        <f ca="1">OFFSET(Variables_Lu!$D$10,Basic_Setup!H61,0)</f>
        <v>Nutrition-specific</v>
      </c>
      <c r="I128" s="285">
        <f>SUM(Government1:Government10!I47)</f>
        <v>0</v>
      </c>
      <c r="J128" s="283">
        <f>SUM(Government1:Government10!J47)</f>
        <v>0</v>
      </c>
      <c r="K128" s="283">
        <f>SUM(Government1:Government10!K47)</f>
        <v>0</v>
      </c>
      <c r="L128" s="283">
        <f>SUM(Government1:Government10!L47)</f>
        <v>0</v>
      </c>
      <c r="M128" s="283">
        <f>SUM(Government1:Government10!M47)</f>
        <v>0</v>
      </c>
      <c r="N128" s="283">
        <f>SUM(Government1:Government10!N47)</f>
        <v>0</v>
      </c>
    </row>
    <row r="129" spans="6:14" ht="12" x14ac:dyDescent="0.2">
      <c r="F129" s="448"/>
      <c r="G129" s="41" t="str">
        <f>STRAT5_IND5</f>
        <v>Objetivo estratégico 5 Indicador 5</v>
      </c>
      <c r="H129" s="260" t="str">
        <f ca="1">OFFSET(Variables_Lu!$D$10,Basic_Setup!H62,0)</f>
        <v>Nutrition-specific</v>
      </c>
      <c r="I129" s="286">
        <f>SUM(Government1:Government10!I48)</f>
        <v>0</v>
      </c>
      <c r="J129" s="284">
        <f>SUM(Government1:Government10!J48)</f>
        <v>0</v>
      </c>
      <c r="K129" s="284">
        <f>SUM(Government1:Government10!K48)</f>
        <v>0</v>
      </c>
      <c r="L129" s="284">
        <f>SUM(Government1:Government10!L48)</f>
        <v>0</v>
      </c>
      <c r="M129" s="284">
        <f>SUM(Government1:Government10!M48)</f>
        <v>0</v>
      </c>
      <c r="N129" s="284">
        <f>SUM(Government1:Government10!N48)</f>
        <v>0</v>
      </c>
    </row>
    <row r="130" spans="6:14" ht="12" x14ac:dyDescent="0.2">
      <c r="H130" s="152" t="s">
        <v>542</v>
      </c>
      <c r="I130" s="287">
        <f>SUM(Government1:Government10!I49)</f>
        <v>1728428387.6937823</v>
      </c>
      <c r="J130" s="296">
        <f>SUM(Government1:Government10!J49)</f>
        <v>345685677.53875643</v>
      </c>
      <c r="K130" s="296">
        <f>SUM(Government1:Government10!K49)</f>
        <v>345685677.53875643</v>
      </c>
      <c r="L130" s="296">
        <f>SUM(Government1:Government10!L49)</f>
        <v>345685677.53875643</v>
      </c>
      <c r="M130" s="296">
        <f>SUM(Government1:Government10!M49)</f>
        <v>345685677.53875643</v>
      </c>
      <c r="N130" s="296">
        <f>SUM(Government1:Government10!N49)</f>
        <v>345685677.53875643</v>
      </c>
    </row>
    <row r="131" spans="6:14" ht="12" x14ac:dyDescent="0.2">
      <c r="F131" s="447" t="str">
        <f>Strategy6</f>
        <v>Objetivo estratégico 6: [No está en uso]</v>
      </c>
      <c r="G131" s="42" t="str">
        <f>STRAT6_IND1</f>
        <v>Objetivo estratégico 6 Indicador 1</v>
      </c>
      <c r="H131" s="260" t="str">
        <f ca="1">OFFSET(Variables_Lu!$D$10,Basic_Setup!H64,0)</f>
        <v>Nutrition-specific</v>
      </c>
      <c r="I131" s="285">
        <f>SUM(Government1:Government10!I50)</f>
        <v>0</v>
      </c>
      <c r="J131" s="283">
        <f>SUM(Government1:Government10!J50)</f>
        <v>0</v>
      </c>
      <c r="K131" s="283">
        <f>SUM(Government1:Government10!K50)</f>
        <v>0</v>
      </c>
      <c r="L131" s="283">
        <f>SUM(Government1:Government10!L50)</f>
        <v>0</v>
      </c>
      <c r="M131" s="283">
        <f>SUM(Government1:Government10!M50)</f>
        <v>0</v>
      </c>
      <c r="N131" s="283">
        <f>SUM(Government1:Government10!N50)</f>
        <v>0</v>
      </c>
    </row>
    <row r="132" spans="6:14" ht="12" x14ac:dyDescent="0.2">
      <c r="F132" s="447"/>
      <c r="G132" s="42" t="str">
        <f>STRAT6_IND2</f>
        <v>Objetivo estratégico 6 Indicador 2</v>
      </c>
      <c r="H132" s="260" t="str">
        <f ca="1">OFFSET(Variables_Lu!$D$10,Basic_Setup!H65,0)</f>
        <v>Nutrition-specific</v>
      </c>
      <c r="I132" s="285">
        <f>SUM(Government1:Government10!I51)</f>
        <v>0</v>
      </c>
      <c r="J132" s="283">
        <f>SUM(Government1:Government10!J51)</f>
        <v>0</v>
      </c>
      <c r="K132" s="283">
        <f>SUM(Government1:Government10!K51)</f>
        <v>0</v>
      </c>
      <c r="L132" s="283">
        <f>SUM(Government1:Government10!L51)</f>
        <v>0</v>
      </c>
      <c r="M132" s="283">
        <f>SUM(Government1:Government10!M51)</f>
        <v>0</v>
      </c>
      <c r="N132" s="283">
        <f>SUM(Government1:Government10!N51)</f>
        <v>0</v>
      </c>
    </row>
    <row r="133" spans="6:14" ht="12" x14ac:dyDescent="0.2">
      <c r="F133" s="447"/>
      <c r="G133" s="42" t="str">
        <f>STRAT6_IND3</f>
        <v>Objetivo estratégico 6 Indicador 3</v>
      </c>
      <c r="H133" s="260" t="str">
        <f ca="1">OFFSET(Variables_Lu!$D$10,Basic_Setup!H66,0)</f>
        <v>Nutrition-specific</v>
      </c>
      <c r="I133" s="285">
        <f>SUM(Government1:Government10!I52)</f>
        <v>0</v>
      </c>
      <c r="J133" s="283">
        <f>SUM(Government1:Government10!J52)</f>
        <v>0</v>
      </c>
      <c r="K133" s="283">
        <f>SUM(Government1:Government10!K52)</f>
        <v>0</v>
      </c>
      <c r="L133" s="283">
        <f>SUM(Government1:Government10!L52)</f>
        <v>0</v>
      </c>
      <c r="M133" s="283">
        <f>SUM(Government1:Government10!M52)</f>
        <v>0</v>
      </c>
      <c r="N133" s="283">
        <f>SUM(Government1:Government10!N52)</f>
        <v>0</v>
      </c>
    </row>
    <row r="134" spans="6:14" ht="12" x14ac:dyDescent="0.2">
      <c r="F134" s="447"/>
      <c r="G134" s="41" t="str">
        <f>STRAT6_IND4</f>
        <v>Objetivo estratégico 6 Indicador 4</v>
      </c>
      <c r="H134" s="260" t="str">
        <f ca="1">OFFSET(Variables_Lu!$D$10,Basic_Setup!H67,0)</f>
        <v>Nutrition-specific</v>
      </c>
      <c r="I134" s="285">
        <f>SUM(Government1:Government10!I53)</f>
        <v>0</v>
      </c>
      <c r="J134" s="283">
        <f>SUM(Government1:Government10!J53)</f>
        <v>0</v>
      </c>
      <c r="K134" s="283">
        <f>SUM(Government1:Government10!K53)</f>
        <v>0</v>
      </c>
      <c r="L134" s="283">
        <f>SUM(Government1:Government10!L53)</f>
        <v>0</v>
      </c>
      <c r="M134" s="283">
        <f>SUM(Government1:Government10!M53)</f>
        <v>0</v>
      </c>
      <c r="N134" s="283">
        <f>SUM(Government1:Government10!N53)</f>
        <v>0</v>
      </c>
    </row>
    <row r="135" spans="6:14" ht="12" x14ac:dyDescent="0.2">
      <c r="F135" s="448"/>
      <c r="G135" s="41" t="str">
        <f>STRAT6_IND5</f>
        <v>Objetivo estratégico 6 Indicador 5</v>
      </c>
      <c r="H135" s="260" t="str">
        <f ca="1">OFFSET(Variables_Lu!$D$10,Basic_Setup!H68,0)</f>
        <v>Nutrition-specific</v>
      </c>
      <c r="I135" s="286">
        <f>SUM(Government1:Government10!I54)</f>
        <v>0</v>
      </c>
      <c r="J135" s="284">
        <f>SUM(Government1:Government10!J54)</f>
        <v>0</v>
      </c>
      <c r="K135" s="284">
        <f>SUM(Government1:Government10!K54)</f>
        <v>0</v>
      </c>
      <c r="L135" s="284">
        <f>SUM(Government1:Government10!L54)</f>
        <v>0</v>
      </c>
      <c r="M135" s="284">
        <f>SUM(Government1:Government10!M54)</f>
        <v>0</v>
      </c>
      <c r="N135" s="284">
        <f>SUM(Government1:Government10!N54)</f>
        <v>0</v>
      </c>
    </row>
    <row r="136" spans="6:14" ht="12" x14ac:dyDescent="0.2">
      <c r="H136" s="152" t="s">
        <v>543</v>
      </c>
      <c r="I136" s="287">
        <f>SUM(Government1:Government10!I55)</f>
        <v>0</v>
      </c>
      <c r="J136" s="296">
        <f>SUM(Government1:Government10!J55)</f>
        <v>0</v>
      </c>
      <c r="K136" s="296">
        <f>SUM(Government1:Government10!K55)</f>
        <v>0</v>
      </c>
      <c r="L136" s="296">
        <f>SUM(Government1:Government10!L55)</f>
        <v>0</v>
      </c>
      <c r="M136" s="296">
        <f>SUM(Government1:Government10!M55)</f>
        <v>0</v>
      </c>
      <c r="N136" s="296">
        <f>SUM(Government1:Government10!N55)</f>
        <v>0</v>
      </c>
    </row>
    <row r="137" spans="6:14" ht="12" x14ac:dyDescent="0.2">
      <c r="F137" s="447" t="str">
        <f>Strategy7</f>
        <v>Objetivo estratégico 7: [No está en uso]</v>
      </c>
      <c r="G137" s="42" t="str">
        <f>STRAT7_IND1</f>
        <v>Objetivo estratégico 7 Indicador 1</v>
      </c>
      <c r="H137" s="260" t="str">
        <f ca="1">OFFSET(Variables_Lu!$D$10,Basic_Setup!H70,0)</f>
        <v>Nutrition-specific</v>
      </c>
      <c r="I137" s="285">
        <f>SUM(Government1:Government10!I56)</f>
        <v>0</v>
      </c>
      <c r="J137" s="283">
        <f>SUM(Government1:Government10!J56)</f>
        <v>0</v>
      </c>
      <c r="K137" s="283">
        <f>SUM(Government1:Government10!K56)</f>
        <v>0</v>
      </c>
      <c r="L137" s="283">
        <f>SUM(Government1:Government10!L56)</f>
        <v>0</v>
      </c>
      <c r="M137" s="283">
        <f>SUM(Government1:Government10!M56)</f>
        <v>0</v>
      </c>
      <c r="N137" s="283">
        <f>SUM(Government1:Government10!N56)</f>
        <v>0</v>
      </c>
    </row>
    <row r="138" spans="6:14" ht="12" x14ac:dyDescent="0.2">
      <c r="F138" s="447"/>
      <c r="G138" s="42" t="str">
        <f>STRAT7_IND2</f>
        <v>Objetivo estratégico 7 Indicador 2</v>
      </c>
      <c r="H138" s="260" t="str">
        <f ca="1">OFFSET(Variables_Lu!$D$10,Basic_Setup!H71,0)</f>
        <v>Nutrition-specific</v>
      </c>
      <c r="I138" s="285">
        <f>SUM(Government1:Government10!I57)</f>
        <v>0</v>
      </c>
      <c r="J138" s="283">
        <f>SUM(Government1:Government10!J57)</f>
        <v>0</v>
      </c>
      <c r="K138" s="283">
        <f>SUM(Government1:Government10!K57)</f>
        <v>0</v>
      </c>
      <c r="L138" s="283">
        <f>SUM(Government1:Government10!L57)</f>
        <v>0</v>
      </c>
      <c r="M138" s="283">
        <f>SUM(Government1:Government10!M57)</f>
        <v>0</v>
      </c>
      <c r="N138" s="283">
        <f>SUM(Government1:Government10!N57)</f>
        <v>0</v>
      </c>
    </row>
    <row r="139" spans="6:14" ht="12" x14ac:dyDescent="0.2">
      <c r="F139" s="447"/>
      <c r="G139" s="42" t="str">
        <f>STRAT7_IND3</f>
        <v>Objetivo estratégico 7 Indicador 3</v>
      </c>
      <c r="H139" s="260" t="str">
        <f ca="1">OFFSET(Variables_Lu!$D$10,Basic_Setup!H72,0)</f>
        <v>Nutrition-specific</v>
      </c>
      <c r="I139" s="285">
        <f>SUM(Government1:Government10!I58)</f>
        <v>0</v>
      </c>
      <c r="J139" s="283">
        <f>SUM(Government1:Government10!J58)</f>
        <v>0</v>
      </c>
      <c r="K139" s="283">
        <f>SUM(Government1:Government10!K58)</f>
        <v>0</v>
      </c>
      <c r="L139" s="283">
        <f>SUM(Government1:Government10!L58)</f>
        <v>0</v>
      </c>
      <c r="M139" s="283">
        <f>SUM(Government1:Government10!M58)</f>
        <v>0</v>
      </c>
      <c r="N139" s="283">
        <f>SUM(Government1:Government10!N58)</f>
        <v>0</v>
      </c>
    </row>
    <row r="140" spans="6:14" ht="12" x14ac:dyDescent="0.2">
      <c r="F140" s="447"/>
      <c r="G140" s="41" t="str">
        <f>STRAT7_IND4</f>
        <v>Objetivo estratégico 7 Indicador 4</v>
      </c>
      <c r="H140" s="260" t="str">
        <f ca="1">OFFSET(Variables_Lu!$D$10,Basic_Setup!H73,0)</f>
        <v>Nutrition-specific</v>
      </c>
      <c r="I140" s="285">
        <f>SUM(Government1:Government10!I59)</f>
        <v>0</v>
      </c>
      <c r="J140" s="283">
        <f>SUM(Government1:Government10!J59)</f>
        <v>0</v>
      </c>
      <c r="K140" s="283">
        <f>SUM(Government1:Government10!K59)</f>
        <v>0</v>
      </c>
      <c r="L140" s="283">
        <f>SUM(Government1:Government10!L59)</f>
        <v>0</v>
      </c>
      <c r="M140" s="283">
        <f>SUM(Government1:Government10!M59)</f>
        <v>0</v>
      </c>
      <c r="N140" s="283">
        <f>SUM(Government1:Government10!N59)</f>
        <v>0</v>
      </c>
    </row>
    <row r="141" spans="6:14" ht="12" x14ac:dyDescent="0.2">
      <c r="F141" s="448"/>
      <c r="G141" s="41" t="str">
        <f>STRAT7_IND5</f>
        <v>Objetivo estratégico 7 Indicador 5</v>
      </c>
      <c r="H141" s="260" t="str">
        <f ca="1">OFFSET(Variables_Lu!$D$10,Basic_Setup!H74,0)</f>
        <v>Nutrition-specific</v>
      </c>
      <c r="I141" s="286">
        <f>SUM(Government1:Government10!I60)</f>
        <v>0</v>
      </c>
      <c r="J141" s="284">
        <f>SUM(Government1:Government10!J60)</f>
        <v>0</v>
      </c>
      <c r="K141" s="284">
        <f>SUM(Government1:Government10!K60)</f>
        <v>0</v>
      </c>
      <c r="L141" s="284">
        <f>SUM(Government1:Government10!L60)</f>
        <v>0</v>
      </c>
      <c r="M141" s="284">
        <f>SUM(Government1:Government10!M60)</f>
        <v>0</v>
      </c>
      <c r="N141" s="284">
        <f>SUM(Government1:Government10!N60)</f>
        <v>0</v>
      </c>
    </row>
    <row r="142" spans="6:14" ht="12" x14ac:dyDescent="0.2">
      <c r="H142" s="152" t="s">
        <v>544</v>
      </c>
      <c r="I142" s="287">
        <f>SUM(Government1:Government10!I61)</f>
        <v>0</v>
      </c>
      <c r="J142" s="296">
        <f>SUM(Government1:Government10!J61)</f>
        <v>0</v>
      </c>
      <c r="K142" s="296">
        <f>SUM(Government1:Government10!K61)</f>
        <v>0</v>
      </c>
      <c r="L142" s="296">
        <f>SUM(Government1:Government10!L61)</f>
        <v>0</v>
      </c>
      <c r="M142" s="296">
        <f>SUM(Government1:Government10!M61)</f>
        <v>0</v>
      </c>
      <c r="N142" s="296">
        <f>SUM(Government1:Government10!N61)</f>
        <v>0</v>
      </c>
    </row>
    <row r="143" spans="6:14" ht="12" x14ac:dyDescent="0.2">
      <c r="F143" s="447" t="str">
        <f>Strategy8</f>
        <v>Objetivo estratégico 8: [No está en uso]</v>
      </c>
      <c r="G143" s="42" t="str">
        <f>STRAT8_IND1</f>
        <v>Objetivo estratégico 8 Indicador 1</v>
      </c>
      <c r="H143" s="260" t="str">
        <f ca="1">OFFSET(Variables_Lu!$D$10,Basic_Setup!H76,0)</f>
        <v>Nutrition-specific</v>
      </c>
      <c r="I143" s="285">
        <f>SUM(Government1:Government10!I62)</f>
        <v>0</v>
      </c>
      <c r="J143" s="283">
        <f>SUM(Government1:Government10!J62)</f>
        <v>0</v>
      </c>
      <c r="K143" s="283">
        <f>SUM(Government1:Government10!K62)</f>
        <v>0</v>
      </c>
      <c r="L143" s="283">
        <f>SUM(Government1:Government10!L62)</f>
        <v>0</v>
      </c>
      <c r="M143" s="283">
        <f>SUM(Government1:Government10!M62)</f>
        <v>0</v>
      </c>
      <c r="N143" s="283">
        <f>SUM(Government1:Government10!N62)</f>
        <v>0</v>
      </c>
    </row>
    <row r="144" spans="6:14" ht="12" x14ac:dyDescent="0.2">
      <c r="F144" s="447"/>
      <c r="G144" s="42" t="str">
        <f>STRAT8_IND2</f>
        <v>Objetivo estratégico 8 Indicador 2</v>
      </c>
      <c r="H144" s="260" t="str">
        <f ca="1">OFFSET(Variables_Lu!$D$10,Basic_Setup!H77,0)</f>
        <v>Nutrition-specific</v>
      </c>
      <c r="I144" s="285">
        <f>SUM(Government1:Government10!I63)</f>
        <v>0</v>
      </c>
      <c r="J144" s="283">
        <f>SUM(Government1:Government10!J63)</f>
        <v>0</v>
      </c>
      <c r="K144" s="283">
        <f>SUM(Government1:Government10!K63)</f>
        <v>0</v>
      </c>
      <c r="L144" s="283">
        <f>SUM(Government1:Government10!L63)</f>
        <v>0</v>
      </c>
      <c r="M144" s="283">
        <f>SUM(Government1:Government10!M63)</f>
        <v>0</v>
      </c>
      <c r="N144" s="283">
        <f>SUM(Government1:Government10!N63)</f>
        <v>0</v>
      </c>
    </row>
    <row r="145" spans="6:14" ht="12" x14ac:dyDescent="0.2">
      <c r="F145" s="447"/>
      <c r="G145" s="42" t="str">
        <f>STRAT8_IND3</f>
        <v>Objetivo estratégico 8 Indicador 3</v>
      </c>
      <c r="H145" s="260" t="str">
        <f ca="1">OFFSET(Variables_Lu!$D$10,Basic_Setup!H78,0)</f>
        <v>Nutrition-specific</v>
      </c>
      <c r="I145" s="285">
        <f>SUM(Government1:Government10!I64)</f>
        <v>0</v>
      </c>
      <c r="J145" s="283">
        <f>SUM(Government1:Government10!J64)</f>
        <v>0</v>
      </c>
      <c r="K145" s="283">
        <f>SUM(Government1:Government10!K64)</f>
        <v>0</v>
      </c>
      <c r="L145" s="283">
        <f>SUM(Government1:Government10!L64)</f>
        <v>0</v>
      </c>
      <c r="M145" s="283">
        <f>SUM(Government1:Government10!M64)</f>
        <v>0</v>
      </c>
      <c r="N145" s="283">
        <f>SUM(Government1:Government10!N64)</f>
        <v>0</v>
      </c>
    </row>
    <row r="146" spans="6:14" ht="12" x14ac:dyDescent="0.2">
      <c r="F146" s="447"/>
      <c r="G146" s="41" t="str">
        <f>STRAT8_IND4</f>
        <v>Objetivo estratégico 8 Indicador 4</v>
      </c>
      <c r="H146" s="260" t="str">
        <f ca="1">OFFSET(Variables_Lu!$D$10,Basic_Setup!H79,0)</f>
        <v>Nutrition-specific</v>
      </c>
      <c r="I146" s="285">
        <f>SUM(Government1:Government10!I65)</f>
        <v>0</v>
      </c>
      <c r="J146" s="283">
        <f>SUM(Government1:Government10!J65)</f>
        <v>0</v>
      </c>
      <c r="K146" s="283">
        <f>SUM(Government1:Government10!K65)</f>
        <v>0</v>
      </c>
      <c r="L146" s="283">
        <f>SUM(Government1:Government10!L65)</f>
        <v>0</v>
      </c>
      <c r="M146" s="283">
        <f>SUM(Government1:Government10!M65)</f>
        <v>0</v>
      </c>
      <c r="N146" s="283">
        <f>SUM(Government1:Government10!N65)</f>
        <v>0</v>
      </c>
    </row>
    <row r="147" spans="6:14" ht="12" x14ac:dyDescent="0.2">
      <c r="F147" s="448"/>
      <c r="G147" s="41" t="str">
        <f>STRAT8_IND5</f>
        <v>Objetivo estratégico 8 Indicador 5</v>
      </c>
      <c r="H147" s="260" t="str">
        <f ca="1">OFFSET(Variables_Lu!$D$10,Basic_Setup!H80,0)</f>
        <v>Nutrition-specific</v>
      </c>
      <c r="I147" s="286">
        <f>SUM(Government1:Government10!I66)</f>
        <v>0</v>
      </c>
      <c r="J147" s="284">
        <f>SUM(Government1:Government10!J66)</f>
        <v>0</v>
      </c>
      <c r="K147" s="284">
        <f>SUM(Government1:Government10!K66)</f>
        <v>0</v>
      </c>
      <c r="L147" s="284">
        <f>SUM(Government1:Government10!L66)</f>
        <v>0</v>
      </c>
      <c r="M147" s="284">
        <f>SUM(Government1:Government10!M66)</f>
        <v>0</v>
      </c>
      <c r="N147" s="284">
        <f>SUM(Government1:Government10!N66)</f>
        <v>0</v>
      </c>
    </row>
    <row r="148" spans="6:14" ht="12" x14ac:dyDescent="0.2">
      <c r="H148" s="152" t="s">
        <v>545</v>
      </c>
      <c r="I148" s="287">
        <f>SUM(Government1:Government10!I67)</f>
        <v>0</v>
      </c>
      <c r="J148" s="296">
        <f>SUM(Government1:Government10!J67)</f>
        <v>0</v>
      </c>
      <c r="K148" s="296">
        <f>SUM(Government1:Government10!K67)</f>
        <v>0</v>
      </c>
      <c r="L148" s="296">
        <f>SUM(Government1:Government10!L67)</f>
        <v>0</v>
      </c>
      <c r="M148" s="296">
        <f>SUM(Government1:Government10!M67)</f>
        <v>0</v>
      </c>
      <c r="N148" s="296">
        <f>SUM(Government1:Government10!N67)</f>
        <v>0</v>
      </c>
    </row>
    <row r="149" spans="6:14" ht="12" x14ac:dyDescent="0.2">
      <c r="F149" s="447" t="str">
        <f>Strategy9</f>
        <v>Objetivo estratégico 9: [No está en uso]</v>
      </c>
      <c r="G149" s="42" t="str">
        <f>STRAT9_IND1</f>
        <v>Objetivo estratégico 9 Indicador 1</v>
      </c>
      <c r="H149" s="260" t="str">
        <f ca="1">OFFSET(Variables_Lu!$D$10,Basic_Setup!H82,0)</f>
        <v>Nutrition-specific</v>
      </c>
      <c r="I149" s="285">
        <f>SUM(Government1:Government10!I68)</f>
        <v>0</v>
      </c>
      <c r="J149" s="283">
        <f>SUM(Government1:Government10!J68)</f>
        <v>0</v>
      </c>
      <c r="K149" s="283">
        <f>SUM(Government1:Government10!K68)</f>
        <v>0</v>
      </c>
      <c r="L149" s="283">
        <f>SUM(Government1:Government10!L68)</f>
        <v>0</v>
      </c>
      <c r="M149" s="283">
        <f>SUM(Government1:Government10!M68)</f>
        <v>0</v>
      </c>
      <c r="N149" s="283">
        <f>SUM(Government1:Government10!N68)</f>
        <v>0</v>
      </c>
    </row>
    <row r="150" spans="6:14" ht="12" x14ac:dyDescent="0.2">
      <c r="F150" s="447"/>
      <c r="G150" s="42" t="str">
        <f>STRAT9_IND2</f>
        <v>Objetivo estratégico 9 Indicador 2</v>
      </c>
      <c r="H150" s="260" t="str">
        <f ca="1">OFFSET(Variables_Lu!$D$10,Basic_Setup!H83,0)</f>
        <v>Nutrition-specific</v>
      </c>
      <c r="I150" s="285">
        <f>SUM(Government1:Government10!I69)</f>
        <v>0</v>
      </c>
      <c r="J150" s="283">
        <f>SUM(Government1:Government10!J69)</f>
        <v>0</v>
      </c>
      <c r="K150" s="283">
        <f>SUM(Government1:Government10!K69)</f>
        <v>0</v>
      </c>
      <c r="L150" s="283">
        <f>SUM(Government1:Government10!L69)</f>
        <v>0</v>
      </c>
      <c r="M150" s="283">
        <f>SUM(Government1:Government10!M69)</f>
        <v>0</v>
      </c>
      <c r="N150" s="283">
        <f>SUM(Government1:Government10!N69)</f>
        <v>0</v>
      </c>
    </row>
    <row r="151" spans="6:14" ht="12" x14ac:dyDescent="0.2">
      <c r="F151" s="447"/>
      <c r="G151" s="42" t="str">
        <f>STRAT9_IND3</f>
        <v>Objetivo estratégico 9 Indicador 3</v>
      </c>
      <c r="H151" s="260" t="str">
        <f ca="1">OFFSET(Variables_Lu!$D$10,Basic_Setup!H84,0)</f>
        <v>Nutrition-specific</v>
      </c>
      <c r="I151" s="285">
        <f>SUM(Government1:Government10!I70)</f>
        <v>0</v>
      </c>
      <c r="J151" s="283">
        <f>SUM(Government1:Government10!J70)</f>
        <v>0</v>
      </c>
      <c r="K151" s="283">
        <f>SUM(Government1:Government10!K70)</f>
        <v>0</v>
      </c>
      <c r="L151" s="283">
        <f>SUM(Government1:Government10!L70)</f>
        <v>0</v>
      </c>
      <c r="M151" s="283">
        <f>SUM(Government1:Government10!M70)</f>
        <v>0</v>
      </c>
      <c r="N151" s="283">
        <f>SUM(Government1:Government10!N70)</f>
        <v>0</v>
      </c>
    </row>
    <row r="152" spans="6:14" ht="12" x14ac:dyDescent="0.2">
      <c r="F152" s="447"/>
      <c r="G152" s="41" t="str">
        <f>STRAT9_IND4</f>
        <v>Objetivo estratégico 9 Indicador 4</v>
      </c>
      <c r="H152" s="260" t="str">
        <f ca="1">OFFSET(Variables_Lu!$D$10,Basic_Setup!H85,0)</f>
        <v>Nutrition-specific</v>
      </c>
      <c r="I152" s="285">
        <f>SUM(Government1:Government10!I71)</f>
        <v>0</v>
      </c>
      <c r="J152" s="283">
        <f>SUM(Government1:Government10!J71)</f>
        <v>0</v>
      </c>
      <c r="K152" s="283">
        <f>SUM(Government1:Government10!K71)</f>
        <v>0</v>
      </c>
      <c r="L152" s="283">
        <f>SUM(Government1:Government10!L71)</f>
        <v>0</v>
      </c>
      <c r="M152" s="283">
        <f>SUM(Government1:Government10!M71)</f>
        <v>0</v>
      </c>
      <c r="N152" s="283">
        <f>SUM(Government1:Government10!N71)</f>
        <v>0</v>
      </c>
    </row>
    <row r="153" spans="6:14" ht="12" x14ac:dyDescent="0.2">
      <c r="F153" s="448"/>
      <c r="G153" s="41" t="str">
        <f>STRAT9_IND5</f>
        <v>Objetivo estratégico 9 Indicador 5</v>
      </c>
      <c r="H153" s="260" t="str">
        <f ca="1">OFFSET(Variables_Lu!$D$10,Basic_Setup!H86,0)</f>
        <v>Nutrition-specific</v>
      </c>
      <c r="I153" s="286">
        <f>SUM(Government1:Government10!I72)</f>
        <v>0</v>
      </c>
      <c r="J153" s="284">
        <f>SUM(Government1:Government10!J72)</f>
        <v>0</v>
      </c>
      <c r="K153" s="284">
        <f>SUM(Government1:Government10!K72)</f>
        <v>0</v>
      </c>
      <c r="L153" s="284">
        <f>SUM(Government1:Government10!L72)</f>
        <v>0</v>
      </c>
      <c r="M153" s="284">
        <f>SUM(Government1:Government10!M72)</f>
        <v>0</v>
      </c>
      <c r="N153" s="284">
        <f>SUM(Government1:Government10!N72)</f>
        <v>0</v>
      </c>
    </row>
    <row r="154" spans="6:14" ht="12" x14ac:dyDescent="0.2">
      <c r="H154" s="152" t="s">
        <v>546</v>
      </c>
      <c r="I154" s="287">
        <f>SUM(Government1:Government10!I73)</f>
        <v>0</v>
      </c>
      <c r="J154" s="296">
        <f>SUM(Government1:Government10!J73)</f>
        <v>0</v>
      </c>
      <c r="K154" s="296">
        <f>SUM(Government1:Government10!K73)</f>
        <v>0</v>
      </c>
      <c r="L154" s="296">
        <f>SUM(Government1:Government10!L73)</f>
        <v>0</v>
      </c>
      <c r="M154" s="296">
        <f>SUM(Government1:Government10!M73)</f>
        <v>0</v>
      </c>
      <c r="N154" s="296">
        <f>SUM(Government1:Government10!N73)</f>
        <v>0</v>
      </c>
    </row>
    <row r="155" spans="6:14" ht="12" x14ac:dyDescent="0.2">
      <c r="F155" s="447" t="str">
        <f>Strategy10</f>
        <v>Objetivo estratégico 10: [No está en uso]</v>
      </c>
      <c r="G155" s="42" t="str">
        <f>STRAT10_IND1</f>
        <v>Objetivo estratégico 10 Indicador 1</v>
      </c>
      <c r="H155" s="260" t="str">
        <f ca="1">OFFSET(Variables_Lu!$D$10,Basic_Setup!H88,0)</f>
        <v>Nutrition-specific</v>
      </c>
      <c r="I155" s="285">
        <f>SUM(Government1:Government10!I74)</f>
        <v>0</v>
      </c>
      <c r="J155" s="283">
        <f>SUM(Government1:Government10!J74)</f>
        <v>0</v>
      </c>
      <c r="K155" s="283">
        <f>SUM(Government1:Government10!K74)</f>
        <v>0</v>
      </c>
      <c r="L155" s="283">
        <f>SUM(Government1:Government10!L74)</f>
        <v>0</v>
      </c>
      <c r="M155" s="283">
        <f>SUM(Government1:Government10!M74)</f>
        <v>0</v>
      </c>
      <c r="N155" s="283">
        <f>SUM(Government1:Government10!N74)</f>
        <v>0</v>
      </c>
    </row>
    <row r="156" spans="6:14" ht="12" x14ac:dyDescent="0.2">
      <c r="F156" s="447"/>
      <c r="G156" s="42" t="str">
        <f>STRAT10_IND2</f>
        <v>Objetivo estratégico 10 Indicador 2</v>
      </c>
      <c r="H156" s="260" t="str">
        <f ca="1">OFFSET(Variables_Lu!$D$10,Basic_Setup!H89,0)</f>
        <v>Nutrition-specific</v>
      </c>
      <c r="I156" s="285">
        <f>SUM(Government1:Government10!I75)</f>
        <v>0</v>
      </c>
      <c r="J156" s="283">
        <f>SUM(Government1:Government10!J75)</f>
        <v>0</v>
      </c>
      <c r="K156" s="283">
        <f>SUM(Government1:Government10!K75)</f>
        <v>0</v>
      </c>
      <c r="L156" s="283">
        <f>SUM(Government1:Government10!L75)</f>
        <v>0</v>
      </c>
      <c r="M156" s="283">
        <f>SUM(Government1:Government10!M75)</f>
        <v>0</v>
      </c>
      <c r="N156" s="283">
        <f>SUM(Government1:Government10!N75)</f>
        <v>0</v>
      </c>
    </row>
    <row r="157" spans="6:14" ht="12" x14ac:dyDescent="0.2">
      <c r="F157" s="447"/>
      <c r="G157" s="42" t="str">
        <f>STRAT10_IND3</f>
        <v>Objetivo estratégico 10 Indicador 3</v>
      </c>
      <c r="H157" s="260" t="str">
        <f ca="1">OFFSET(Variables_Lu!$D$10,Basic_Setup!H90,0)</f>
        <v>Nutrition-specific</v>
      </c>
      <c r="I157" s="285">
        <f>SUM(Government1:Government10!I76)</f>
        <v>0</v>
      </c>
      <c r="J157" s="283">
        <f>SUM(Government1:Government10!J76)</f>
        <v>0</v>
      </c>
      <c r="K157" s="283">
        <f>SUM(Government1:Government10!K76)</f>
        <v>0</v>
      </c>
      <c r="L157" s="283">
        <f>SUM(Government1:Government10!L76)</f>
        <v>0</v>
      </c>
      <c r="M157" s="283">
        <f>SUM(Government1:Government10!M76)</f>
        <v>0</v>
      </c>
      <c r="N157" s="283">
        <f>SUM(Government1:Government10!N76)</f>
        <v>0</v>
      </c>
    </row>
    <row r="158" spans="6:14" ht="12" x14ac:dyDescent="0.2">
      <c r="F158" s="447"/>
      <c r="G158" s="41" t="str">
        <f>STRAT10_IND4</f>
        <v>Objetivo estratégico 10 Indicador 4</v>
      </c>
      <c r="H158" s="260" t="str">
        <f ca="1">OFFSET(Variables_Lu!$D$10,Basic_Setup!H91,0)</f>
        <v>Nutrition-specific</v>
      </c>
      <c r="I158" s="285">
        <f>SUM(Government1:Government10!I77)</f>
        <v>0</v>
      </c>
      <c r="J158" s="283">
        <f>SUM(Government1:Government10!J77)</f>
        <v>0</v>
      </c>
      <c r="K158" s="283">
        <f>SUM(Government1:Government10!K77)</f>
        <v>0</v>
      </c>
      <c r="L158" s="283">
        <f>SUM(Government1:Government10!L77)</f>
        <v>0</v>
      </c>
      <c r="M158" s="283">
        <f>SUM(Government1:Government10!M77)</f>
        <v>0</v>
      </c>
      <c r="N158" s="283">
        <f>SUM(Government1:Government10!N77)</f>
        <v>0</v>
      </c>
    </row>
    <row r="159" spans="6:14" ht="12" x14ac:dyDescent="0.2">
      <c r="F159" s="448"/>
      <c r="G159" s="41" t="str">
        <f>STRAT10_IND5</f>
        <v>Objetivo estratégico 10 Indicador 5</v>
      </c>
      <c r="H159" s="260" t="str">
        <f ca="1">OFFSET(Variables_Lu!$D$10,Basic_Setup!H92,0)</f>
        <v>Nutrition-specific</v>
      </c>
      <c r="I159" s="286">
        <f>SUM(Government1:Government10!I78)</f>
        <v>0</v>
      </c>
      <c r="J159" s="284">
        <f>SUM(Government1:Government10!J78)</f>
        <v>0</v>
      </c>
      <c r="K159" s="284">
        <f>SUM(Government1:Government10!K78)</f>
        <v>0</v>
      </c>
      <c r="L159" s="284">
        <f>SUM(Government1:Government10!L78)</f>
        <v>0</v>
      </c>
      <c r="M159" s="284">
        <f>SUM(Government1:Government10!M78)</f>
        <v>0</v>
      </c>
      <c r="N159" s="284">
        <f>SUM(Government1:Government10!N78)</f>
        <v>0</v>
      </c>
    </row>
    <row r="160" spans="6:14" ht="12" x14ac:dyDescent="0.2">
      <c r="H160" s="152" t="s">
        <v>547</v>
      </c>
      <c r="I160" s="287">
        <f>SUM(Government1:Government10!I79)</f>
        <v>0</v>
      </c>
      <c r="J160" s="296">
        <f>SUM(Government1:Government10!J79)</f>
        <v>0</v>
      </c>
      <c r="K160" s="296">
        <f>SUM(Government1:Government10!K79)</f>
        <v>0</v>
      </c>
      <c r="L160" s="296">
        <f>SUM(Government1:Government10!L79)</f>
        <v>0</v>
      </c>
      <c r="M160" s="296">
        <f>SUM(Government1:Government10!M79)</f>
        <v>0</v>
      </c>
      <c r="N160" s="296">
        <f>SUM(Government1:Government10!N79)</f>
        <v>0</v>
      </c>
    </row>
    <row r="161" spans="5:14" ht="12" x14ac:dyDescent="0.2">
      <c r="I161" s="240"/>
      <c r="J161" s="231"/>
      <c r="K161" s="231"/>
      <c r="L161" s="231"/>
      <c r="M161" s="231"/>
      <c r="N161" s="231"/>
    </row>
    <row r="162" spans="5:14" ht="12.6" thickBot="1" x14ac:dyDescent="0.25">
      <c r="H162" s="151" t="str">
        <f>"TOTAL - ALL Govt Contributions"&amp;" ("&amp;CURR_LCU_ABBR&amp;")"</f>
        <v>TOTAL - ALL Govt Contributions (GOZ)</v>
      </c>
      <c r="I162" s="400">
        <f>SUM(Government1:Government10!I81)</f>
        <v>149002447214.98126</v>
      </c>
      <c r="J162" s="222">
        <f>SUM(Government1:Government10!J81)</f>
        <v>29800489442.996246</v>
      </c>
      <c r="K162" s="222">
        <f>SUM(Government1:Government10!K81)</f>
        <v>29800489442.996246</v>
      </c>
      <c r="L162" s="222">
        <f>SUM(Government1:Government10!L81)</f>
        <v>29800489442.996246</v>
      </c>
      <c r="M162" s="222">
        <f>SUM(Government1:Government10!M81)</f>
        <v>29800489442.996246</v>
      </c>
      <c r="N162" s="222">
        <f>SUM(Government1:Government10!N81)</f>
        <v>29800489442.996246</v>
      </c>
    </row>
    <row r="165" spans="5:14" ht="15.6" x14ac:dyDescent="0.2">
      <c r="E165" s="86" t="str">
        <f>CURR_INT_ABBR</f>
        <v>USD</v>
      </c>
    </row>
    <row r="167" spans="5:14" s="38" customFormat="1" ht="12" x14ac:dyDescent="0.2">
      <c r="F167" s="1" t="s">
        <v>389</v>
      </c>
      <c r="G167" s="1" t="s">
        <v>399</v>
      </c>
      <c r="H167" s="1" t="s">
        <v>387</v>
      </c>
      <c r="I167" s="297" t="s">
        <v>106</v>
      </c>
      <c r="J167" s="298" t="str">
        <f>CURR_INT_ABBR</f>
        <v>USD</v>
      </c>
      <c r="K167" s="298" t="str">
        <f>CURR_INT_ABBR</f>
        <v>USD</v>
      </c>
      <c r="L167" s="298" t="str">
        <f>CURR_INT_ABBR</f>
        <v>USD</v>
      </c>
      <c r="M167" s="298" t="str">
        <f>CURR_INT_ABBR</f>
        <v>USD</v>
      </c>
      <c r="N167" s="298" t="str">
        <f>CURR_INT_ABBR</f>
        <v>USD</v>
      </c>
    </row>
    <row r="168" spans="5:14" s="38" customFormat="1" ht="22.8" x14ac:dyDescent="0.2">
      <c r="F168" s="447" t="str">
        <f>Strategy1</f>
        <v>Objetivo estratégico 1: Fortalecer la gobernanza de la nutrición</v>
      </c>
      <c r="G168" s="42" t="str">
        <f>STRAT1_IND1</f>
        <v>Se refuerza la coordinación multisectorial en materia de nutrición</v>
      </c>
      <c r="H168" s="260"/>
      <c r="I168" s="308">
        <f>I101/EXCHANGE_RATE</f>
        <v>33111.654936662497</v>
      </c>
      <c r="J168" s="150">
        <f t="shared" ref="I168:N177" si="28">J101/EXCHANGE_RATE</f>
        <v>6622.3309873325006</v>
      </c>
      <c r="K168" s="150">
        <f t="shared" si="28"/>
        <v>6622.3309873325006</v>
      </c>
      <c r="L168" s="150">
        <f t="shared" si="28"/>
        <v>6622.3309873325006</v>
      </c>
      <c r="M168" s="150">
        <f t="shared" si="28"/>
        <v>6622.3309873325006</v>
      </c>
      <c r="N168" s="150">
        <f t="shared" si="28"/>
        <v>6622.3309873325006</v>
      </c>
    </row>
    <row r="169" spans="5:14" s="38" customFormat="1" ht="34.200000000000003" x14ac:dyDescent="0.2">
      <c r="F169" s="447"/>
      <c r="G169" s="42" t="str">
        <f>STRAT1_IND2</f>
        <v>Está en funcionamiento el sistema multisectorial de información sobre nutrición para la adopción de decisiones eficaces.</v>
      </c>
      <c r="H169" s="260" t="str">
        <f ca="1">OFFSET(Variables_Lu!$D$10,Basic_Setup!H35,0)</f>
        <v>Governance</v>
      </c>
      <c r="I169" s="308">
        <f t="shared" si="28"/>
        <v>33111.654936662497</v>
      </c>
      <c r="J169" s="150">
        <f t="shared" si="28"/>
        <v>6622.3309873325006</v>
      </c>
      <c r="K169" s="150">
        <f t="shared" si="28"/>
        <v>6622.3309873325006</v>
      </c>
      <c r="L169" s="150">
        <f t="shared" si="28"/>
        <v>6622.3309873325006</v>
      </c>
      <c r="M169" s="150">
        <f t="shared" si="28"/>
        <v>6622.3309873325006</v>
      </c>
      <c r="N169" s="150">
        <f t="shared" si="28"/>
        <v>6622.3309873325006</v>
      </c>
    </row>
    <row r="170" spans="5:14" s="38" customFormat="1" ht="22.8" x14ac:dyDescent="0.2">
      <c r="F170" s="447"/>
      <c r="G170" s="42" t="str">
        <f>STRAT1_IND3</f>
        <v>La investigación en nutrición se utiliza para aclarar que la toma de decisiones se mejora y se refuerza.</v>
      </c>
      <c r="H170" s="260" t="str">
        <f ca="1">OFFSET(Variables_Lu!$D$10,Basic_Setup!H36,0)</f>
        <v>Governance</v>
      </c>
      <c r="I170" s="308">
        <f t="shared" si="28"/>
        <v>33111.654936662497</v>
      </c>
      <c r="J170" s="150">
        <f t="shared" si="28"/>
        <v>6622.3309873325006</v>
      </c>
      <c r="K170" s="150">
        <f t="shared" si="28"/>
        <v>6622.3309873325006</v>
      </c>
      <c r="L170" s="150">
        <f t="shared" si="28"/>
        <v>6622.3309873325006</v>
      </c>
      <c r="M170" s="150">
        <f t="shared" si="28"/>
        <v>6622.3309873325006</v>
      </c>
      <c r="N170" s="150">
        <f t="shared" si="28"/>
        <v>6622.3309873325006</v>
      </c>
    </row>
    <row r="171" spans="5:14" s="38" customFormat="1" ht="22.8" x14ac:dyDescent="0.2">
      <c r="F171" s="447"/>
      <c r="G171" s="41" t="str">
        <f>STRAT1_IND4</f>
        <v>El marco legislativo y reglamentario de la nutrición se ha fortalecido y está en funcionamiento.</v>
      </c>
      <c r="H171" s="260" t="str">
        <f ca="1">OFFSET(Variables_Lu!$D$10,Basic_Setup!H37,0)</f>
        <v>Governance</v>
      </c>
      <c r="I171" s="308">
        <f t="shared" si="28"/>
        <v>33111.654936662497</v>
      </c>
      <c r="J171" s="150">
        <f t="shared" si="28"/>
        <v>6622.3309873325006</v>
      </c>
      <c r="K171" s="150">
        <f t="shared" si="28"/>
        <v>6622.3309873325006</v>
      </c>
      <c r="L171" s="150">
        <f t="shared" si="28"/>
        <v>6622.3309873325006</v>
      </c>
      <c r="M171" s="150">
        <f t="shared" si="28"/>
        <v>6622.3309873325006</v>
      </c>
      <c r="N171" s="150">
        <f t="shared" si="28"/>
        <v>6622.3309873325006</v>
      </c>
    </row>
    <row r="172" spans="5:14" s="38" customFormat="1" ht="12" x14ac:dyDescent="0.2">
      <c r="F172" s="448"/>
      <c r="G172" s="41" t="str">
        <f>STRAT1_IND5</f>
        <v>Objetivo estratégico 1 Indicador 5</v>
      </c>
      <c r="H172" s="260" t="str">
        <f ca="1">OFFSET(Variables_Lu!$D$10,Basic_Setup!H38,0)</f>
        <v>Governance</v>
      </c>
      <c r="I172" s="309">
        <f t="shared" si="28"/>
        <v>0</v>
      </c>
      <c r="J172" s="150">
        <f t="shared" si="28"/>
        <v>0</v>
      </c>
      <c r="K172" s="150">
        <f t="shared" si="28"/>
        <v>0</v>
      </c>
      <c r="L172" s="150">
        <f t="shared" si="28"/>
        <v>0</v>
      </c>
      <c r="M172" s="150">
        <f t="shared" si="28"/>
        <v>0</v>
      </c>
      <c r="N172" s="150">
        <f t="shared" si="28"/>
        <v>0</v>
      </c>
    </row>
    <row r="173" spans="5:14" s="38" customFormat="1" ht="12" x14ac:dyDescent="0.2">
      <c r="H173" s="152" t="s">
        <v>538</v>
      </c>
      <c r="I173" s="308">
        <f t="shared" si="28"/>
        <v>132446.61974664999</v>
      </c>
      <c r="J173" s="63">
        <f t="shared" si="28"/>
        <v>26489.323949330003</v>
      </c>
      <c r="K173" s="63">
        <f t="shared" si="28"/>
        <v>26489.323949330003</v>
      </c>
      <c r="L173" s="63">
        <f t="shared" si="28"/>
        <v>26489.323949330003</v>
      </c>
      <c r="M173" s="63">
        <f t="shared" si="28"/>
        <v>26489.323949330003</v>
      </c>
      <c r="N173" s="63">
        <f t="shared" si="28"/>
        <v>26489.323949330003</v>
      </c>
    </row>
    <row r="174" spans="5:14" s="38" customFormat="1" ht="45.6" x14ac:dyDescent="0.2">
      <c r="F174" s="447" t="str">
        <f>Strategy2</f>
        <v>Objetivo estratégico 2: Fortalecer el acceso al tratamiento y a los servicios de salud y nutrición de calidad, así como al tratamiento de todas las formas de malnutrición</v>
      </c>
      <c r="G174" s="42" t="str">
        <f>STRAT2_IND1</f>
        <v>Se fortalece el acceso y la utilización sostenible de los servicios de salud y nutrición para los niños menores de 5 años, los adolescentes, las mujeres embarazadas y lactantes, y los demás grupos vulnerables</v>
      </c>
      <c r="H174" s="260" t="str">
        <f ca="1">OFFSET(Variables_Lu!$D$10,Basic_Setup!H40,0)</f>
        <v>Nutrition-specific</v>
      </c>
      <c r="I174" s="308">
        <f t="shared" si="28"/>
        <v>1752158.4070650574</v>
      </c>
      <c r="J174" s="150">
        <f t="shared" si="28"/>
        <v>350431.68141301139</v>
      </c>
      <c r="K174" s="150">
        <f t="shared" si="28"/>
        <v>350431.68141301139</v>
      </c>
      <c r="L174" s="150">
        <f t="shared" si="28"/>
        <v>350431.68141301139</v>
      </c>
      <c r="M174" s="150">
        <f t="shared" si="28"/>
        <v>350431.68141301139</v>
      </c>
      <c r="N174" s="150">
        <f t="shared" si="28"/>
        <v>350431.68141301139</v>
      </c>
    </row>
    <row r="175" spans="5:14" s="38" customFormat="1" ht="45.6" x14ac:dyDescent="0.2">
      <c r="F175" s="447"/>
      <c r="G175" s="42" t="str">
        <f>STRAT2_IND2</f>
        <v xml:space="preserve">Se reduce la prevalencia de enfermedades relacionadas con la prevalencia de la malnutrición (paludismo, diarrea, neumonía, parásitos intestinales, VIH, TNM) en lactantes, adolescentes y mujeres en edad reproductiva. </v>
      </c>
      <c r="H175" s="260" t="str">
        <f ca="1">OFFSET(Variables_Lu!$D$10,Basic_Setup!H41,0)</f>
        <v>Nutrition-sensitive</v>
      </c>
      <c r="I175" s="308">
        <f t="shared" si="28"/>
        <v>1752158.4070650574</v>
      </c>
      <c r="J175" s="150">
        <f t="shared" si="28"/>
        <v>350431.68141301139</v>
      </c>
      <c r="K175" s="150">
        <f t="shared" si="28"/>
        <v>350431.68141301139</v>
      </c>
      <c r="L175" s="150">
        <f t="shared" si="28"/>
        <v>350431.68141301139</v>
      </c>
      <c r="M175" s="150">
        <f t="shared" si="28"/>
        <v>350431.68141301139</v>
      </c>
      <c r="N175" s="150">
        <f t="shared" si="28"/>
        <v>350431.68141301139</v>
      </c>
    </row>
    <row r="176" spans="5:14" s="38" customFormat="1" ht="22.8" x14ac:dyDescent="0.2">
      <c r="F176" s="447"/>
      <c r="G176" s="42" t="str">
        <f>STRAT2_IND3</f>
        <v>Se refuerzan las intervenciones comunitarias en materia de nutrición.</v>
      </c>
      <c r="H176" s="260" t="str">
        <f ca="1">OFFSET(Variables_Lu!$D$10,Basic_Setup!H42,0)</f>
        <v>Nutrition-specific</v>
      </c>
      <c r="I176" s="308">
        <f t="shared" si="28"/>
        <v>1752158.4070650574</v>
      </c>
      <c r="J176" s="150">
        <f t="shared" si="28"/>
        <v>350431.68141301139</v>
      </c>
      <c r="K176" s="150">
        <f t="shared" si="28"/>
        <v>350431.68141301139</v>
      </c>
      <c r="L176" s="150">
        <f t="shared" si="28"/>
        <v>350431.68141301139</v>
      </c>
      <c r="M176" s="150">
        <f t="shared" si="28"/>
        <v>350431.68141301139</v>
      </c>
      <c r="N176" s="150">
        <f t="shared" si="28"/>
        <v>350431.68141301139</v>
      </c>
    </row>
    <row r="177" spans="6:14" s="38" customFormat="1" ht="12" x14ac:dyDescent="0.2">
      <c r="F177" s="447"/>
      <c r="G177" s="41" t="str">
        <f>STRAT2_IND4</f>
        <v>Objetivo estratégico 2 Indicador 4</v>
      </c>
      <c r="H177" s="260" t="str">
        <f ca="1">OFFSET(Variables_Lu!$D$10,Basic_Setup!H43,0)</f>
        <v>Nutrition-specific</v>
      </c>
      <c r="I177" s="308">
        <f t="shared" si="28"/>
        <v>0</v>
      </c>
      <c r="J177" s="150">
        <f t="shared" si="28"/>
        <v>0</v>
      </c>
      <c r="K177" s="150">
        <f t="shared" si="28"/>
        <v>0</v>
      </c>
      <c r="L177" s="150">
        <f t="shared" si="28"/>
        <v>0</v>
      </c>
      <c r="M177" s="150">
        <f t="shared" si="28"/>
        <v>0</v>
      </c>
      <c r="N177" s="150">
        <f t="shared" si="28"/>
        <v>0</v>
      </c>
    </row>
    <row r="178" spans="6:14" s="38" customFormat="1" ht="12" x14ac:dyDescent="0.2">
      <c r="F178" s="448"/>
      <c r="G178" s="41" t="str">
        <f>STRAT2_IND5</f>
        <v>Objetivo estratégico 2 Indicador 5</v>
      </c>
      <c r="H178" s="260" t="str">
        <f ca="1">OFFSET(Variables_Lu!$D$10,Basic_Setup!H44,0)</f>
        <v>Nutrition-specific</v>
      </c>
      <c r="I178" s="309">
        <f t="shared" ref="I178:N187" si="29">I111/EXCHANGE_RATE</f>
        <v>0</v>
      </c>
      <c r="J178" s="150">
        <f t="shared" si="29"/>
        <v>0</v>
      </c>
      <c r="K178" s="150">
        <f t="shared" si="29"/>
        <v>0</v>
      </c>
      <c r="L178" s="150">
        <f t="shared" si="29"/>
        <v>0</v>
      </c>
      <c r="M178" s="150">
        <f t="shared" si="29"/>
        <v>0</v>
      </c>
      <c r="N178" s="150">
        <f t="shared" si="29"/>
        <v>0</v>
      </c>
    </row>
    <row r="179" spans="6:14" s="38" customFormat="1" ht="12" x14ac:dyDescent="0.2">
      <c r="H179" s="152" t="s">
        <v>539</v>
      </c>
      <c r="I179" s="308">
        <f t="shared" si="29"/>
        <v>5256475.2211951716</v>
      </c>
      <c r="J179" s="63">
        <f t="shared" si="29"/>
        <v>1051295.0442390344</v>
      </c>
      <c r="K179" s="63">
        <f t="shared" si="29"/>
        <v>1051295.0442390344</v>
      </c>
      <c r="L179" s="63">
        <f t="shared" si="29"/>
        <v>1051295.0442390344</v>
      </c>
      <c r="M179" s="63">
        <f t="shared" si="29"/>
        <v>1051295.0442390344</v>
      </c>
      <c r="N179" s="63">
        <f t="shared" si="29"/>
        <v>1051295.0442390344</v>
      </c>
    </row>
    <row r="180" spans="6:14" s="38" customFormat="1" ht="22.8" x14ac:dyDescent="0.2">
      <c r="F180" s="447" t="str">
        <f>Strategy3</f>
        <v>Objetivo estratégico 3: Aumentar la disponibilidad y el acceso a alimentos nutritivos de alto valor, seguros y diversificados</v>
      </c>
      <c r="G180" s="42" t="str">
        <f>STRAT3_IND1</f>
        <v xml:space="preserve">Aumenta la disponibilidad y el acceso a alimentos de alto valor nutritivo en los hogares. </v>
      </c>
      <c r="H180" s="260" t="str">
        <f ca="1">OFFSET(Variables_Lu!$D$10,Basic_Setup!H46,0)</f>
        <v>Nutrition-specific</v>
      </c>
      <c r="I180" s="308">
        <f t="shared" si="29"/>
        <v>20719618.076616559</v>
      </c>
      <c r="J180" s="150">
        <f t="shared" si="29"/>
        <v>4143923.6153233121</v>
      </c>
      <c r="K180" s="150">
        <f t="shared" si="29"/>
        <v>4143923.6153233121</v>
      </c>
      <c r="L180" s="150">
        <f t="shared" si="29"/>
        <v>4143923.6153233121</v>
      </c>
      <c r="M180" s="150">
        <f t="shared" si="29"/>
        <v>4143923.6153233121</v>
      </c>
      <c r="N180" s="150">
        <f t="shared" si="29"/>
        <v>4143923.6153233121</v>
      </c>
    </row>
    <row r="181" spans="6:14" s="38" customFormat="1" ht="22.8" x14ac:dyDescent="0.2">
      <c r="F181" s="447"/>
      <c r="G181" s="42" t="str">
        <f>STRAT3_IND2</f>
        <v xml:space="preserve"> La seguridad alimentaria está garantizada para toda la nación.</v>
      </c>
      <c r="H181" s="260" t="str">
        <f ca="1">OFFSET(Variables_Lu!$D$10,Basic_Setup!H47,0)</f>
        <v>Nutrition-sensitive</v>
      </c>
      <c r="I181" s="308">
        <f t="shared" si="29"/>
        <v>20719618.076616559</v>
      </c>
      <c r="J181" s="150">
        <f t="shared" si="29"/>
        <v>4143923.6153233121</v>
      </c>
      <c r="K181" s="150">
        <f t="shared" si="29"/>
        <v>4143923.6153233121</v>
      </c>
      <c r="L181" s="150">
        <f t="shared" si="29"/>
        <v>4143923.6153233121</v>
      </c>
      <c r="M181" s="150">
        <f t="shared" si="29"/>
        <v>4143923.6153233121</v>
      </c>
      <c r="N181" s="150">
        <f t="shared" si="29"/>
        <v>4143923.6153233121</v>
      </c>
    </row>
    <row r="182" spans="6:14" ht="12" x14ac:dyDescent="0.2">
      <c r="F182" s="447"/>
      <c r="G182" s="42" t="str">
        <f>STRAT3_IND3</f>
        <v>Objetivo estratégico 3 Indicador 3</v>
      </c>
      <c r="H182" s="260" t="str">
        <f ca="1">OFFSET(Variables_Lu!$D$10,Basic_Setup!H48,0)</f>
        <v>Nutrition-specific</v>
      </c>
      <c r="I182" s="308">
        <f t="shared" si="29"/>
        <v>0</v>
      </c>
      <c r="J182" s="150">
        <f t="shared" si="29"/>
        <v>0</v>
      </c>
      <c r="K182" s="150">
        <f t="shared" si="29"/>
        <v>0</v>
      </c>
      <c r="L182" s="150">
        <f t="shared" si="29"/>
        <v>0</v>
      </c>
      <c r="M182" s="150">
        <f t="shared" si="29"/>
        <v>0</v>
      </c>
      <c r="N182" s="150">
        <f t="shared" si="29"/>
        <v>0</v>
      </c>
    </row>
    <row r="183" spans="6:14" ht="12" x14ac:dyDescent="0.2">
      <c r="F183" s="447"/>
      <c r="G183" s="41" t="str">
        <f>STRAT3_IND4</f>
        <v>Objetivo estratégico 3 Indicador 4</v>
      </c>
      <c r="H183" s="260" t="str">
        <f ca="1">OFFSET(Variables_Lu!$D$10,Basic_Setup!H49,0)</f>
        <v>Nutrition-specific</v>
      </c>
      <c r="I183" s="308">
        <f t="shared" si="29"/>
        <v>0</v>
      </c>
      <c r="J183" s="150">
        <f t="shared" si="29"/>
        <v>0</v>
      </c>
      <c r="K183" s="150">
        <f t="shared" si="29"/>
        <v>0</v>
      </c>
      <c r="L183" s="150">
        <f t="shared" si="29"/>
        <v>0</v>
      </c>
      <c r="M183" s="150">
        <f t="shared" si="29"/>
        <v>0</v>
      </c>
      <c r="N183" s="150">
        <f t="shared" si="29"/>
        <v>0</v>
      </c>
    </row>
    <row r="184" spans="6:14" ht="12" x14ac:dyDescent="0.2">
      <c r="F184" s="448"/>
      <c r="G184" s="41" t="str">
        <f>STRAT3_IND5</f>
        <v>Objetivo estratégico 3 Indicador 5</v>
      </c>
      <c r="H184" s="260" t="str">
        <f ca="1">OFFSET(Variables_Lu!$D$10,Basic_Setup!H50,0)</f>
        <v>Nutrition-specific</v>
      </c>
      <c r="I184" s="309">
        <f t="shared" si="29"/>
        <v>0</v>
      </c>
      <c r="J184" s="150">
        <f t="shared" si="29"/>
        <v>0</v>
      </c>
      <c r="K184" s="150">
        <f t="shared" si="29"/>
        <v>0</v>
      </c>
      <c r="L184" s="150">
        <f t="shared" si="29"/>
        <v>0</v>
      </c>
      <c r="M184" s="150">
        <f t="shared" si="29"/>
        <v>0</v>
      </c>
      <c r="N184" s="150">
        <f t="shared" si="29"/>
        <v>0</v>
      </c>
    </row>
    <row r="185" spans="6:14" ht="12" x14ac:dyDescent="0.2">
      <c r="H185" s="152" t="s">
        <v>540</v>
      </c>
      <c r="I185" s="308">
        <f t="shared" si="29"/>
        <v>41439236.153233118</v>
      </c>
      <c r="J185" s="63">
        <f t="shared" si="29"/>
        <v>8287847.2306466242</v>
      </c>
      <c r="K185" s="63">
        <f t="shared" si="29"/>
        <v>8287847.2306466242</v>
      </c>
      <c r="L185" s="63">
        <f t="shared" si="29"/>
        <v>8287847.2306466242</v>
      </c>
      <c r="M185" s="63">
        <f t="shared" si="29"/>
        <v>8287847.2306466242</v>
      </c>
      <c r="N185" s="63">
        <f t="shared" si="29"/>
        <v>8287847.2306466242</v>
      </c>
    </row>
    <row r="186" spans="6:14" ht="22.8" x14ac:dyDescent="0.2">
      <c r="F186" s="447" t="str">
        <f>Strategy4</f>
        <v>Objetivo estratégico 4: Fortalecer la protección social, la resiliencia de la respuesta a las emergencias y los desastres naturales.</v>
      </c>
      <c r="G186" s="42" t="str">
        <f>STRAT4_IND1</f>
        <v xml:space="preserve">Se garantiza la protección social de los niños menores de 5 años, los adolescentes, FE/FA y otros grupos vulnerables. </v>
      </c>
      <c r="H186" s="260" t="str">
        <f ca="1">OFFSET(Variables_Lu!$D$10,Basic_Setup!H52,0)</f>
        <v>Nutrition-sensitive</v>
      </c>
      <c r="I186" s="308">
        <f t="shared" si="29"/>
        <v>11663580.451439364</v>
      </c>
      <c r="J186" s="150">
        <f t="shared" si="29"/>
        <v>2332716.0902878731</v>
      </c>
      <c r="K186" s="150">
        <f t="shared" si="29"/>
        <v>2332716.0902878731</v>
      </c>
      <c r="L186" s="150">
        <f t="shared" si="29"/>
        <v>2332716.0902878731</v>
      </c>
      <c r="M186" s="150">
        <f t="shared" si="29"/>
        <v>2332716.0902878731</v>
      </c>
      <c r="N186" s="150">
        <f t="shared" si="29"/>
        <v>2332716.0902878731</v>
      </c>
    </row>
    <row r="187" spans="6:14" ht="34.200000000000003" x14ac:dyDescent="0.2">
      <c r="F187" s="447"/>
      <c r="G187" s="42" t="str">
        <f>STRAT4_IND2</f>
        <v xml:space="preserve">Se fortalece la capacidad de resiliencia y el estado nutricional de las poblaciones vulnerables, incluidos los niños de las zonas desfavorecidas.  </v>
      </c>
      <c r="H187" s="260" t="str">
        <f ca="1">OFFSET(Variables_Lu!$D$10,Basic_Setup!H53,0)</f>
        <v>Nutrition-specific</v>
      </c>
      <c r="I187" s="308">
        <f t="shared" si="29"/>
        <v>11663580.451439364</v>
      </c>
      <c r="J187" s="150">
        <f t="shared" si="29"/>
        <v>2332716.0902878731</v>
      </c>
      <c r="K187" s="150">
        <f t="shared" si="29"/>
        <v>2332716.0902878731</v>
      </c>
      <c r="L187" s="150">
        <f t="shared" si="29"/>
        <v>2332716.0902878731</v>
      </c>
      <c r="M187" s="150">
        <f t="shared" si="29"/>
        <v>2332716.0902878731</v>
      </c>
      <c r="N187" s="150">
        <f t="shared" si="29"/>
        <v>2332716.0902878731</v>
      </c>
    </row>
    <row r="188" spans="6:14" ht="34.200000000000003" x14ac:dyDescent="0.2">
      <c r="F188" s="447"/>
      <c r="G188" s="42" t="str">
        <f>STRAT4_IND3</f>
        <v xml:space="preserve"> Se introducen eficazmente intervenciones para emergencias y catástrofes naturales integrales de la nutrición.</v>
      </c>
      <c r="H188" s="260" t="str">
        <f ca="1">OFFSET(Variables_Lu!$D$10,Basic_Setup!H54,0)</f>
        <v>Nutrition-specific</v>
      </c>
      <c r="I188" s="308">
        <f t="shared" ref="I188:N197" si="30">I121/EXCHANGE_RATE</f>
        <v>11663580.451439364</v>
      </c>
      <c r="J188" s="150">
        <f t="shared" si="30"/>
        <v>2332716.0902878731</v>
      </c>
      <c r="K188" s="150">
        <f t="shared" si="30"/>
        <v>2332716.0902878731</v>
      </c>
      <c r="L188" s="150">
        <f t="shared" si="30"/>
        <v>2332716.0902878731</v>
      </c>
      <c r="M188" s="150">
        <f t="shared" si="30"/>
        <v>2332716.0902878731</v>
      </c>
      <c r="N188" s="150">
        <f t="shared" si="30"/>
        <v>2332716.0902878731</v>
      </c>
    </row>
    <row r="189" spans="6:14" ht="12" x14ac:dyDescent="0.2">
      <c r="F189" s="447"/>
      <c r="G189" s="41" t="str">
        <f>STRAT4_IND4</f>
        <v>Objetivo estratégico 4 Indicador 4</v>
      </c>
      <c r="H189" s="260" t="str">
        <f ca="1">OFFSET(Variables_Lu!$D$10,Basic_Setup!H55,0)</f>
        <v>Nutrition-specific</v>
      </c>
      <c r="I189" s="308">
        <f t="shared" si="30"/>
        <v>0</v>
      </c>
      <c r="J189" s="150">
        <f t="shared" si="30"/>
        <v>0</v>
      </c>
      <c r="K189" s="150">
        <f t="shared" si="30"/>
        <v>0</v>
      </c>
      <c r="L189" s="150">
        <f t="shared" si="30"/>
        <v>0</v>
      </c>
      <c r="M189" s="150">
        <f t="shared" si="30"/>
        <v>0</v>
      </c>
      <c r="N189" s="150">
        <f t="shared" si="30"/>
        <v>0</v>
      </c>
    </row>
    <row r="190" spans="6:14" ht="12" x14ac:dyDescent="0.2">
      <c r="F190" s="448"/>
      <c r="G190" s="41" t="str">
        <f>STRAT4_IND5</f>
        <v>Objetivo estratégico 4 Indicador 5</v>
      </c>
      <c r="H190" s="260" t="str">
        <f ca="1">OFFSET(Variables_Lu!$D$10,Basic_Setup!H56,0)</f>
        <v>Nutrition-specific</v>
      </c>
      <c r="I190" s="309">
        <f t="shared" si="30"/>
        <v>0</v>
      </c>
      <c r="J190" s="150">
        <f t="shared" si="30"/>
        <v>0</v>
      </c>
      <c r="K190" s="150">
        <f t="shared" si="30"/>
        <v>0</v>
      </c>
      <c r="L190" s="150">
        <f t="shared" si="30"/>
        <v>0</v>
      </c>
      <c r="M190" s="150">
        <f t="shared" si="30"/>
        <v>0</v>
      </c>
      <c r="N190" s="150">
        <f t="shared" si="30"/>
        <v>0</v>
      </c>
    </row>
    <row r="191" spans="6:14" ht="12" x14ac:dyDescent="0.2">
      <c r="H191" s="152" t="s">
        <v>541</v>
      </c>
      <c r="I191" s="308">
        <f t="shared" si="30"/>
        <v>34990741.354318097</v>
      </c>
      <c r="J191" s="63">
        <f t="shared" si="30"/>
        <v>6998148.2708636187</v>
      </c>
      <c r="K191" s="63">
        <f t="shared" si="30"/>
        <v>6998148.2708636187</v>
      </c>
      <c r="L191" s="63">
        <f t="shared" si="30"/>
        <v>6998148.2708636187</v>
      </c>
      <c r="M191" s="63">
        <f t="shared" si="30"/>
        <v>6998148.2708636187</v>
      </c>
      <c r="N191" s="63">
        <f t="shared" si="30"/>
        <v>6998148.2708636187</v>
      </c>
    </row>
    <row r="192" spans="6:14" ht="34.200000000000003" x14ac:dyDescent="0.2">
      <c r="F192" s="447" t="str">
        <f>Strategy5</f>
        <v xml:space="preserve">Objetivo estratégico 5: Promoción de prácticas favorables a una nutrición óptima, de higiene y saneamiento básico. </v>
      </c>
      <c r="G192" s="42" t="str">
        <f>STRAT5_IND1</f>
        <v>Se mejoran las prácticas nutricionales favorables para los niños menores de 5 años, los adolescentes, las mujeres embarazadas y lactantes, y otros grupos vulnerables.</v>
      </c>
      <c r="H192" s="260" t="str">
        <f ca="1">OFFSET(Variables_Lu!$D$10,Basic_Setup!H58,0)</f>
        <v>Nutrition-specific</v>
      </c>
      <c r="I192" s="308">
        <f t="shared" si="30"/>
        <v>320079.33105440409</v>
      </c>
      <c r="J192" s="150">
        <f t="shared" si="30"/>
        <v>64015.866210880828</v>
      </c>
      <c r="K192" s="150">
        <f t="shared" si="30"/>
        <v>64015.866210880828</v>
      </c>
      <c r="L192" s="150">
        <f t="shared" si="30"/>
        <v>64015.866210880828</v>
      </c>
      <c r="M192" s="150">
        <f t="shared" si="30"/>
        <v>64015.866210880828</v>
      </c>
      <c r="N192" s="150">
        <f t="shared" si="30"/>
        <v>64015.866210880828</v>
      </c>
    </row>
    <row r="193" spans="6:14" ht="22.8" x14ac:dyDescent="0.2">
      <c r="F193" s="447"/>
      <c r="G193" s="42" t="str">
        <f>STRAT5_IND2</f>
        <v>Se promueven dietas saludables y estilos de vida saludables para las personas.</v>
      </c>
      <c r="H193" s="260" t="str">
        <f ca="1">OFFSET(Variables_Lu!$D$10,Basic_Setup!H59,0)</f>
        <v>Nutrition-specific</v>
      </c>
      <c r="I193" s="308">
        <f t="shared" si="30"/>
        <v>320079.33105440409</v>
      </c>
      <c r="J193" s="150">
        <f t="shared" si="30"/>
        <v>64015.866210880828</v>
      </c>
      <c r="K193" s="150">
        <f t="shared" si="30"/>
        <v>64015.866210880828</v>
      </c>
      <c r="L193" s="150">
        <f t="shared" si="30"/>
        <v>64015.866210880828</v>
      </c>
      <c r="M193" s="150">
        <f t="shared" si="30"/>
        <v>64015.866210880828</v>
      </c>
      <c r="N193" s="150">
        <f t="shared" si="30"/>
        <v>64015.866210880828</v>
      </c>
    </row>
    <row r="194" spans="6:14" ht="22.8" x14ac:dyDescent="0.2">
      <c r="F194" s="447"/>
      <c r="G194" s="42" t="str">
        <f>STRAT5_IND3</f>
        <v>Se promueven las buenas prácticas WASH a nivel comunitario y doméstico</v>
      </c>
      <c r="H194" s="260" t="str">
        <f ca="1">OFFSET(Variables_Lu!$D$10,Basic_Setup!H60,0)</f>
        <v>Nutrition-sensitive</v>
      </c>
      <c r="I194" s="308">
        <f t="shared" si="30"/>
        <v>320079.33105440409</v>
      </c>
      <c r="J194" s="150">
        <f t="shared" si="30"/>
        <v>64015.866210880828</v>
      </c>
      <c r="K194" s="150">
        <f t="shared" si="30"/>
        <v>64015.866210880828</v>
      </c>
      <c r="L194" s="150">
        <f t="shared" si="30"/>
        <v>64015.866210880828</v>
      </c>
      <c r="M194" s="150">
        <f t="shared" si="30"/>
        <v>64015.866210880828</v>
      </c>
      <c r="N194" s="150">
        <f t="shared" si="30"/>
        <v>64015.866210880828</v>
      </c>
    </row>
    <row r="195" spans="6:14" ht="12" x14ac:dyDescent="0.2">
      <c r="F195" s="447"/>
      <c r="G195" s="41" t="str">
        <f>STRAT5_IND4</f>
        <v>Objetivo estratégico 5 Indicador 4</v>
      </c>
      <c r="H195" s="260" t="str">
        <f ca="1">OFFSET(Variables_Lu!$D$10,Basic_Setup!H61,0)</f>
        <v>Nutrition-specific</v>
      </c>
      <c r="I195" s="308">
        <f t="shared" si="30"/>
        <v>0</v>
      </c>
      <c r="J195" s="150">
        <f t="shared" si="30"/>
        <v>0</v>
      </c>
      <c r="K195" s="150">
        <f t="shared" si="30"/>
        <v>0</v>
      </c>
      <c r="L195" s="150">
        <f t="shared" si="30"/>
        <v>0</v>
      </c>
      <c r="M195" s="150">
        <f t="shared" si="30"/>
        <v>0</v>
      </c>
      <c r="N195" s="150">
        <f t="shared" si="30"/>
        <v>0</v>
      </c>
    </row>
    <row r="196" spans="6:14" ht="12" x14ac:dyDescent="0.2">
      <c r="F196" s="448"/>
      <c r="G196" s="41" t="str">
        <f>STRAT5_IND5</f>
        <v>Objetivo estratégico 5 Indicador 5</v>
      </c>
      <c r="H196" s="260" t="str">
        <f ca="1">OFFSET(Variables_Lu!$D$10,Basic_Setup!H62,0)</f>
        <v>Nutrition-specific</v>
      </c>
      <c r="I196" s="309">
        <f t="shared" si="30"/>
        <v>0</v>
      </c>
      <c r="J196" s="150">
        <f t="shared" si="30"/>
        <v>0</v>
      </c>
      <c r="K196" s="150">
        <f t="shared" si="30"/>
        <v>0</v>
      </c>
      <c r="L196" s="150">
        <f t="shared" si="30"/>
        <v>0</v>
      </c>
      <c r="M196" s="150">
        <f t="shared" si="30"/>
        <v>0</v>
      </c>
      <c r="N196" s="150">
        <f t="shared" si="30"/>
        <v>0</v>
      </c>
    </row>
    <row r="197" spans="6:14" ht="12" x14ac:dyDescent="0.2">
      <c r="F197" s="66"/>
      <c r="G197" s="261"/>
      <c r="H197" s="152" t="s">
        <v>542</v>
      </c>
      <c r="I197" s="308">
        <f t="shared" si="30"/>
        <v>960237.99316321244</v>
      </c>
      <c r="J197" s="63">
        <f t="shared" si="30"/>
        <v>192047.59863264248</v>
      </c>
      <c r="K197" s="63">
        <f t="shared" si="30"/>
        <v>192047.59863264248</v>
      </c>
      <c r="L197" s="63">
        <f t="shared" si="30"/>
        <v>192047.59863264248</v>
      </c>
      <c r="M197" s="63">
        <f t="shared" si="30"/>
        <v>192047.59863264248</v>
      </c>
      <c r="N197" s="63">
        <f t="shared" si="30"/>
        <v>192047.59863264248</v>
      </c>
    </row>
    <row r="198" spans="6:14" ht="12" x14ac:dyDescent="0.2">
      <c r="F198" s="447" t="str">
        <f>Strategy6</f>
        <v>Objetivo estratégico 6: [No está en uso]</v>
      </c>
      <c r="G198" s="42" t="str">
        <f>STRAT6_IND1</f>
        <v>Objetivo estratégico 6 Indicador 1</v>
      </c>
      <c r="H198" s="260" t="str">
        <f ca="1">OFFSET(Variables_Lu!$D$10,Basic_Setup!H64,0)</f>
        <v>Nutrition-specific</v>
      </c>
      <c r="I198" s="308">
        <f t="shared" ref="I198:N207" si="31">I131/EXCHANGE_RATE</f>
        <v>0</v>
      </c>
      <c r="J198" s="150">
        <f t="shared" si="31"/>
        <v>0</v>
      </c>
      <c r="K198" s="150">
        <f t="shared" si="31"/>
        <v>0</v>
      </c>
      <c r="L198" s="150">
        <f t="shared" si="31"/>
        <v>0</v>
      </c>
      <c r="M198" s="150">
        <f t="shared" si="31"/>
        <v>0</v>
      </c>
      <c r="N198" s="150">
        <f t="shared" si="31"/>
        <v>0</v>
      </c>
    </row>
    <row r="199" spans="6:14" ht="12" x14ac:dyDescent="0.2">
      <c r="F199" s="447"/>
      <c r="G199" s="42" t="str">
        <f>STRAT6_IND2</f>
        <v>Objetivo estratégico 6 Indicador 2</v>
      </c>
      <c r="H199" s="260" t="str">
        <f ca="1">OFFSET(Variables_Lu!$D$10,Basic_Setup!H65,0)</f>
        <v>Nutrition-specific</v>
      </c>
      <c r="I199" s="308">
        <f t="shared" si="31"/>
        <v>0</v>
      </c>
      <c r="J199" s="150">
        <f t="shared" si="31"/>
        <v>0</v>
      </c>
      <c r="K199" s="150">
        <f t="shared" si="31"/>
        <v>0</v>
      </c>
      <c r="L199" s="150">
        <f t="shared" si="31"/>
        <v>0</v>
      </c>
      <c r="M199" s="150">
        <f t="shared" si="31"/>
        <v>0</v>
      </c>
      <c r="N199" s="150">
        <f t="shared" si="31"/>
        <v>0</v>
      </c>
    </row>
    <row r="200" spans="6:14" s="38" customFormat="1" ht="12" x14ac:dyDescent="0.2">
      <c r="F200" s="447"/>
      <c r="G200" s="42" t="str">
        <f>STRAT6_IND3</f>
        <v>Objetivo estratégico 6 Indicador 3</v>
      </c>
      <c r="H200" s="260" t="str">
        <f ca="1">OFFSET(Variables_Lu!$D$10,Basic_Setup!H66,0)</f>
        <v>Nutrition-specific</v>
      </c>
      <c r="I200" s="308">
        <f t="shared" si="31"/>
        <v>0</v>
      </c>
      <c r="J200" s="150">
        <f t="shared" si="31"/>
        <v>0</v>
      </c>
      <c r="K200" s="150">
        <f t="shared" si="31"/>
        <v>0</v>
      </c>
      <c r="L200" s="150">
        <f t="shared" si="31"/>
        <v>0</v>
      </c>
      <c r="M200" s="150">
        <f t="shared" si="31"/>
        <v>0</v>
      </c>
      <c r="N200" s="150">
        <f t="shared" si="31"/>
        <v>0</v>
      </c>
    </row>
    <row r="201" spans="6:14" s="38" customFormat="1" ht="12" x14ac:dyDescent="0.2">
      <c r="F201" s="447"/>
      <c r="G201" s="41" t="str">
        <f>STRAT6_IND4</f>
        <v>Objetivo estratégico 6 Indicador 4</v>
      </c>
      <c r="H201" s="260" t="str">
        <f ca="1">OFFSET(Variables_Lu!$D$10,Basic_Setup!H67,0)</f>
        <v>Nutrition-specific</v>
      </c>
      <c r="I201" s="308">
        <f t="shared" si="31"/>
        <v>0</v>
      </c>
      <c r="J201" s="150">
        <f t="shared" si="31"/>
        <v>0</v>
      </c>
      <c r="K201" s="150">
        <f t="shared" si="31"/>
        <v>0</v>
      </c>
      <c r="L201" s="150">
        <f t="shared" si="31"/>
        <v>0</v>
      </c>
      <c r="M201" s="150">
        <f t="shared" si="31"/>
        <v>0</v>
      </c>
      <c r="N201" s="150">
        <f t="shared" si="31"/>
        <v>0</v>
      </c>
    </row>
    <row r="202" spans="6:14" s="38" customFormat="1" ht="12" x14ac:dyDescent="0.2">
      <c r="F202" s="448"/>
      <c r="G202" s="41" t="str">
        <f>STRAT6_IND5</f>
        <v>Objetivo estratégico 6 Indicador 5</v>
      </c>
      <c r="H202" s="260" t="str">
        <f ca="1">OFFSET(Variables_Lu!$D$10,Basic_Setup!H68,0)</f>
        <v>Nutrition-specific</v>
      </c>
      <c r="I202" s="309">
        <f t="shared" si="31"/>
        <v>0</v>
      </c>
      <c r="J202" s="150">
        <f t="shared" si="31"/>
        <v>0</v>
      </c>
      <c r="K202" s="150">
        <f t="shared" si="31"/>
        <v>0</v>
      </c>
      <c r="L202" s="150">
        <f t="shared" si="31"/>
        <v>0</v>
      </c>
      <c r="M202" s="150">
        <f t="shared" si="31"/>
        <v>0</v>
      </c>
      <c r="N202" s="150">
        <f t="shared" si="31"/>
        <v>0</v>
      </c>
    </row>
    <row r="203" spans="6:14" s="38" customFormat="1" ht="12" x14ac:dyDescent="0.2">
      <c r="F203"/>
      <c r="G203"/>
      <c r="H203" s="152" t="s">
        <v>543</v>
      </c>
      <c r="I203" s="308">
        <f t="shared" si="31"/>
        <v>0</v>
      </c>
      <c r="J203" s="63">
        <f t="shared" si="31"/>
        <v>0</v>
      </c>
      <c r="K203" s="63">
        <f t="shared" si="31"/>
        <v>0</v>
      </c>
      <c r="L203" s="63">
        <f t="shared" si="31"/>
        <v>0</v>
      </c>
      <c r="M203" s="63">
        <f t="shared" si="31"/>
        <v>0</v>
      </c>
      <c r="N203" s="63">
        <f t="shared" si="31"/>
        <v>0</v>
      </c>
    </row>
    <row r="204" spans="6:14" s="38" customFormat="1" ht="12" x14ac:dyDescent="0.2">
      <c r="F204" s="447" t="str">
        <f>Strategy7</f>
        <v>Objetivo estratégico 7: [No está en uso]</v>
      </c>
      <c r="G204" s="42" t="str">
        <f>STRAT7_IND1</f>
        <v>Objetivo estratégico 7 Indicador 1</v>
      </c>
      <c r="H204" s="260" t="str">
        <f ca="1">OFFSET(Variables_Lu!$D$10,Basic_Setup!H70,0)</f>
        <v>Nutrition-specific</v>
      </c>
      <c r="I204" s="308">
        <f t="shared" si="31"/>
        <v>0</v>
      </c>
      <c r="J204" s="150">
        <f t="shared" si="31"/>
        <v>0</v>
      </c>
      <c r="K204" s="150">
        <f t="shared" si="31"/>
        <v>0</v>
      </c>
      <c r="L204" s="150">
        <f t="shared" si="31"/>
        <v>0</v>
      </c>
      <c r="M204" s="150">
        <f t="shared" si="31"/>
        <v>0</v>
      </c>
      <c r="N204" s="150">
        <f t="shared" si="31"/>
        <v>0</v>
      </c>
    </row>
    <row r="205" spans="6:14" s="38" customFormat="1" ht="12" x14ac:dyDescent="0.2">
      <c r="F205" s="447"/>
      <c r="G205" s="42" t="str">
        <f>STRAT7_IND2</f>
        <v>Objetivo estratégico 7 Indicador 2</v>
      </c>
      <c r="H205" s="260" t="str">
        <f ca="1">OFFSET(Variables_Lu!$D$10,Basic_Setup!H71,0)</f>
        <v>Nutrition-specific</v>
      </c>
      <c r="I205" s="308">
        <f t="shared" si="31"/>
        <v>0</v>
      </c>
      <c r="J205" s="150">
        <f t="shared" si="31"/>
        <v>0</v>
      </c>
      <c r="K205" s="150">
        <f t="shared" si="31"/>
        <v>0</v>
      </c>
      <c r="L205" s="150">
        <f t="shared" si="31"/>
        <v>0</v>
      </c>
      <c r="M205" s="150">
        <f t="shared" si="31"/>
        <v>0</v>
      </c>
      <c r="N205" s="150">
        <f t="shared" si="31"/>
        <v>0</v>
      </c>
    </row>
    <row r="206" spans="6:14" s="38" customFormat="1" ht="12" x14ac:dyDescent="0.2">
      <c r="F206" s="447"/>
      <c r="G206" s="42" t="str">
        <f>STRAT7_IND3</f>
        <v>Objetivo estratégico 7 Indicador 3</v>
      </c>
      <c r="H206" s="260" t="str">
        <f ca="1">OFFSET(Variables_Lu!$D$10,Basic_Setup!H72,0)</f>
        <v>Nutrition-specific</v>
      </c>
      <c r="I206" s="308">
        <f t="shared" si="31"/>
        <v>0</v>
      </c>
      <c r="J206" s="150">
        <f t="shared" si="31"/>
        <v>0</v>
      </c>
      <c r="K206" s="150">
        <f t="shared" si="31"/>
        <v>0</v>
      </c>
      <c r="L206" s="150">
        <f t="shared" si="31"/>
        <v>0</v>
      </c>
      <c r="M206" s="150">
        <f t="shared" si="31"/>
        <v>0</v>
      </c>
      <c r="N206" s="150">
        <f t="shared" si="31"/>
        <v>0</v>
      </c>
    </row>
    <row r="207" spans="6:14" s="38" customFormat="1" ht="12" x14ac:dyDescent="0.2">
      <c r="F207" s="447"/>
      <c r="G207" s="41" t="str">
        <f>STRAT7_IND4</f>
        <v>Objetivo estratégico 7 Indicador 4</v>
      </c>
      <c r="H207" s="260" t="str">
        <f ca="1">OFFSET(Variables_Lu!$D$10,Basic_Setup!H73,0)</f>
        <v>Nutrition-specific</v>
      </c>
      <c r="I207" s="308">
        <f t="shared" si="31"/>
        <v>0</v>
      </c>
      <c r="J207" s="150">
        <f t="shared" si="31"/>
        <v>0</v>
      </c>
      <c r="K207" s="150">
        <f t="shared" si="31"/>
        <v>0</v>
      </c>
      <c r="L207" s="150">
        <f t="shared" si="31"/>
        <v>0</v>
      </c>
      <c r="M207" s="150">
        <f t="shared" si="31"/>
        <v>0</v>
      </c>
      <c r="N207" s="150">
        <f t="shared" si="31"/>
        <v>0</v>
      </c>
    </row>
    <row r="208" spans="6:14" s="38" customFormat="1" ht="12" x14ac:dyDescent="0.2">
      <c r="F208" s="448"/>
      <c r="G208" s="41" t="str">
        <f>STRAT7_IND5</f>
        <v>Objetivo estratégico 7 Indicador 5</v>
      </c>
      <c r="H208" s="260" t="str">
        <f ca="1">OFFSET(Variables_Lu!$D$10,Basic_Setup!H74,0)</f>
        <v>Nutrition-specific</v>
      </c>
      <c r="I208" s="309">
        <f t="shared" ref="I208:N217" si="32">I141/EXCHANGE_RATE</f>
        <v>0</v>
      </c>
      <c r="J208" s="150">
        <f t="shared" si="32"/>
        <v>0</v>
      </c>
      <c r="K208" s="150">
        <f t="shared" si="32"/>
        <v>0</v>
      </c>
      <c r="L208" s="150">
        <f t="shared" si="32"/>
        <v>0</v>
      </c>
      <c r="M208" s="150">
        <f t="shared" si="32"/>
        <v>0</v>
      </c>
      <c r="N208" s="150">
        <f t="shared" si="32"/>
        <v>0</v>
      </c>
    </row>
    <row r="209" spans="6:14" s="38" customFormat="1" ht="12" x14ac:dyDescent="0.2">
      <c r="F209"/>
      <c r="G209"/>
      <c r="H209" s="152" t="s">
        <v>544</v>
      </c>
      <c r="I209" s="308">
        <f t="shared" si="32"/>
        <v>0</v>
      </c>
      <c r="J209" s="63">
        <f t="shared" si="32"/>
        <v>0</v>
      </c>
      <c r="K209" s="63">
        <f t="shared" si="32"/>
        <v>0</v>
      </c>
      <c r="L209" s="63">
        <f t="shared" si="32"/>
        <v>0</v>
      </c>
      <c r="M209" s="63">
        <f t="shared" si="32"/>
        <v>0</v>
      </c>
      <c r="N209" s="63">
        <f t="shared" si="32"/>
        <v>0</v>
      </c>
    </row>
    <row r="210" spans="6:14" s="38" customFormat="1" ht="12" x14ac:dyDescent="0.2">
      <c r="F210" s="447" t="str">
        <f>Strategy8</f>
        <v>Objetivo estratégico 8: [No está en uso]</v>
      </c>
      <c r="G210" s="42" t="str">
        <f>STRAT8_IND1</f>
        <v>Objetivo estratégico 8 Indicador 1</v>
      </c>
      <c r="H210" s="260" t="str">
        <f ca="1">OFFSET(Variables_Lu!$D$10,Basic_Setup!H76,0)</f>
        <v>Nutrition-specific</v>
      </c>
      <c r="I210" s="308">
        <f t="shared" si="32"/>
        <v>0</v>
      </c>
      <c r="J210" s="150">
        <f t="shared" si="32"/>
        <v>0</v>
      </c>
      <c r="K210" s="150">
        <f t="shared" si="32"/>
        <v>0</v>
      </c>
      <c r="L210" s="150">
        <f t="shared" si="32"/>
        <v>0</v>
      </c>
      <c r="M210" s="150">
        <f t="shared" si="32"/>
        <v>0</v>
      </c>
      <c r="N210" s="150">
        <f t="shared" si="32"/>
        <v>0</v>
      </c>
    </row>
    <row r="211" spans="6:14" s="38" customFormat="1" ht="12" x14ac:dyDescent="0.2">
      <c r="F211" s="447"/>
      <c r="G211" s="42" t="str">
        <f>STRAT8_IND2</f>
        <v>Objetivo estratégico 8 Indicador 2</v>
      </c>
      <c r="H211" s="260" t="str">
        <f ca="1">OFFSET(Variables_Lu!$D$10,Basic_Setup!H77,0)</f>
        <v>Nutrition-specific</v>
      </c>
      <c r="I211" s="308">
        <f t="shared" si="32"/>
        <v>0</v>
      </c>
      <c r="J211" s="150">
        <f t="shared" si="32"/>
        <v>0</v>
      </c>
      <c r="K211" s="150">
        <f t="shared" si="32"/>
        <v>0</v>
      </c>
      <c r="L211" s="150">
        <f t="shared" si="32"/>
        <v>0</v>
      </c>
      <c r="M211" s="150">
        <f t="shared" si="32"/>
        <v>0</v>
      </c>
      <c r="N211" s="150">
        <f t="shared" si="32"/>
        <v>0</v>
      </c>
    </row>
    <row r="212" spans="6:14" s="38" customFormat="1" ht="12" x14ac:dyDescent="0.2">
      <c r="F212" s="447"/>
      <c r="G212" s="42" t="str">
        <f>STRAT8_IND3</f>
        <v>Objetivo estratégico 8 Indicador 3</v>
      </c>
      <c r="H212" s="260" t="str">
        <f ca="1">OFFSET(Variables_Lu!$D$10,Basic_Setup!H78,0)</f>
        <v>Nutrition-specific</v>
      </c>
      <c r="I212" s="308">
        <f t="shared" si="32"/>
        <v>0</v>
      </c>
      <c r="J212" s="150">
        <f t="shared" si="32"/>
        <v>0</v>
      </c>
      <c r="K212" s="150">
        <f t="shared" si="32"/>
        <v>0</v>
      </c>
      <c r="L212" s="150">
        <f t="shared" si="32"/>
        <v>0</v>
      </c>
      <c r="M212" s="150">
        <f t="shared" si="32"/>
        <v>0</v>
      </c>
      <c r="N212" s="150">
        <f t="shared" si="32"/>
        <v>0</v>
      </c>
    </row>
    <row r="213" spans="6:14" s="38" customFormat="1" ht="12" x14ac:dyDescent="0.2">
      <c r="F213" s="447"/>
      <c r="G213" s="41" t="str">
        <f>STRAT8_IND4</f>
        <v>Objetivo estratégico 8 Indicador 4</v>
      </c>
      <c r="H213" s="260" t="str">
        <f ca="1">OFFSET(Variables_Lu!$D$10,Basic_Setup!H79,0)</f>
        <v>Nutrition-specific</v>
      </c>
      <c r="I213" s="308">
        <f t="shared" si="32"/>
        <v>0</v>
      </c>
      <c r="J213" s="150">
        <f t="shared" si="32"/>
        <v>0</v>
      </c>
      <c r="K213" s="150">
        <f t="shared" si="32"/>
        <v>0</v>
      </c>
      <c r="L213" s="150">
        <f t="shared" si="32"/>
        <v>0</v>
      </c>
      <c r="M213" s="150">
        <f t="shared" si="32"/>
        <v>0</v>
      </c>
      <c r="N213" s="150">
        <f t="shared" si="32"/>
        <v>0</v>
      </c>
    </row>
    <row r="214" spans="6:14" s="38" customFormat="1" ht="12" x14ac:dyDescent="0.2">
      <c r="F214" s="448"/>
      <c r="G214" s="41" t="str">
        <f>STRAT8_IND5</f>
        <v>Objetivo estratégico 8 Indicador 5</v>
      </c>
      <c r="H214" s="260" t="str">
        <f ca="1">OFFSET(Variables_Lu!$D$10,Basic_Setup!H80,0)</f>
        <v>Nutrition-specific</v>
      </c>
      <c r="I214" s="309">
        <f t="shared" si="32"/>
        <v>0</v>
      </c>
      <c r="J214" s="150">
        <f t="shared" si="32"/>
        <v>0</v>
      </c>
      <c r="K214" s="150">
        <f t="shared" si="32"/>
        <v>0</v>
      </c>
      <c r="L214" s="150">
        <f t="shared" si="32"/>
        <v>0</v>
      </c>
      <c r="M214" s="150">
        <f t="shared" si="32"/>
        <v>0</v>
      </c>
      <c r="N214" s="150">
        <f t="shared" si="32"/>
        <v>0</v>
      </c>
    </row>
    <row r="215" spans="6:14" ht="12" x14ac:dyDescent="0.2">
      <c r="H215" s="152" t="s">
        <v>545</v>
      </c>
      <c r="I215" s="308">
        <f t="shared" si="32"/>
        <v>0</v>
      </c>
      <c r="J215" s="63">
        <f t="shared" si="32"/>
        <v>0</v>
      </c>
      <c r="K215" s="63">
        <f t="shared" si="32"/>
        <v>0</v>
      </c>
      <c r="L215" s="63">
        <f t="shared" si="32"/>
        <v>0</v>
      </c>
      <c r="M215" s="63">
        <f t="shared" si="32"/>
        <v>0</v>
      </c>
      <c r="N215" s="63">
        <f t="shared" si="32"/>
        <v>0</v>
      </c>
    </row>
    <row r="216" spans="6:14" ht="12" x14ac:dyDescent="0.2">
      <c r="F216" s="447" t="str">
        <f>Strategy9</f>
        <v>Objetivo estratégico 9: [No está en uso]</v>
      </c>
      <c r="G216" s="42" t="str">
        <f>STRAT9_IND1</f>
        <v>Objetivo estratégico 9 Indicador 1</v>
      </c>
      <c r="H216" s="260" t="str">
        <f ca="1">OFFSET(Variables_Lu!$D$10,Basic_Setup!H82,0)</f>
        <v>Nutrition-specific</v>
      </c>
      <c r="I216" s="308">
        <f t="shared" si="32"/>
        <v>0</v>
      </c>
      <c r="J216" s="150">
        <f t="shared" si="32"/>
        <v>0</v>
      </c>
      <c r="K216" s="150">
        <f t="shared" si="32"/>
        <v>0</v>
      </c>
      <c r="L216" s="150">
        <f t="shared" si="32"/>
        <v>0</v>
      </c>
      <c r="M216" s="150">
        <f t="shared" si="32"/>
        <v>0</v>
      </c>
      <c r="N216" s="150">
        <f t="shared" si="32"/>
        <v>0</v>
      </c>
    </row>
    <row r="217" spans="6:14" ht="12" x14ac:dyDescent="0.2">
      <c r="F217" s="447"/>
      <c r="G217" s="42" t="str">
        <f>STRAT9_IND2</f>
        <v>Objetivo estratégico 9 Indicador 2</v>
      </c>
      <c r="H217" s="260" t="str">
        <f ca="1">OFFSET(Variables_Lu!$D$10,Basic_Setup!H83,0)</f>
        <v>Nutrition-specific</v>
      </c>
      <c r="I217" s="308">
        <f t="shared" si="32"/>
        <v>0</v>
      </c>
      <c r="J217" s="150">
        <f t="shared" si="32"/>
        <v>0</v>
      </c>
      <c r="K217" s="150">
        <f t="shared" si="32"/>
        <v>0</v>
      </c>
      <c r="L217" s="150">
        <f t="shared" si="32"/>
        <v>0</v>
      </c>
      <c r="M217" s="150">
        <f t="shared" si="32"/>
        <v>0</v>
      </c>
      <c r="N217" s="150">
        <f t="shared" si="32"/>
        <v>0</v>
      </c>
    </row>
    <row r="218" spans="6:14" ht="12" x14ac:dyDescent="0.2">
      <c r="F218" s="447"/>
      <c r="G218" s="42" t="str">
        <f>STRAT9_IND3</f>
        <v>Objetivo estratégico 9 Indicador 3</v>
      </c>
      <c r="H218" s="260" t="str">
        <f ca="1">OFFSET(Variables_Lu!$D$10,Basic_Setup!H84,0)</f>
        <v>Nutrition-specific</v>
      </c>
      <c r="I218" s="308">
        <f t="shared" ref="I218:N227" si="33">I151/EXCHANGE_RATE</f>
        <v>0</v>
      </c>
      <c r="J218" s="150">
        <f t="shared" si="33"/>
        <v>0</v>
      </c>
      <c r="K218" s="150">
        <f t="shared" si="33"/>
        <v>0</v>
      </c>
      <c r="L218" s="150">
        <f t="shared" si="33"/>
        <v>0</v>
      </c>
      <c r="M218" s="150">
        <f t="shared" si="33"/>
        <v>0</v>
      </c>
      <c r="N218" s="150">
        <f t="shared" si="33"/>
        <v>0</v>
      </c>
    </row>
    <row r="219" spans="6:14" ht="12" x14ac:dyDescent="0.2">
      <c r="F219" s="447"/>
      <c r="G219" s="41" t="str">
        <f>STRAT9_IND4</f>
        <v>Objetivo estratégico 9 Indicador 4</v>
      </c>
      <c r="H219" s="260" t="str">
        <f ca="1">OFFSET(Variables_Lu!$D$10,Basic_Setup!H85,0)</f>
        <v>Nutrition-specific</v>
      </c>
      <c r="I219" s="308">
        <f t="shared" si="33"/>
        <v>0</v>
      </c>
      <c r="J219" s="150">
        <f t="shared" si="33"/>
        <v>0</v>
      </c>
      <c r="K219" s="150">
        <f t="shared" si="33"/>
        <v>0</v>
      </c>
      <c r="L219" s="150">
        <f t="shared" si="33"/>
        <v>0</v>
      </c>
      <c r="M219" s="150">
        <f t="shared" si="33"/>
        <v>0</v>
      </c>
      <c r="N219" s="150">
        <f t="shared" si="33"/>
        <v>0</v>
      </c>
    </row>
    <row r="220" spans="6:14" ht="12" x14ac:dyDescent="0.2">
      <c r="F220" s="448"/>
      <c r="G220" s="41" t="str">
        <f>STRAT9_IND5</f>
        <v>Objetivo estratégico 9 Indicador 5</v>
      </c>
      <c r="H220" s="260" t="str">
        <f ca="1">OFFSET(Variables_Lu!$D$10,Basic_Setup!H86,0)</f>
        <v>Nutrition-specific</v>
      </c>
      <c r="I220" s="309">
        <f t="shared" si="33"/>
        <v>0</v>
      </c>
      <c r="J220" s="150">
        <f t="shared" si="33"/>
        <v>0</v>
      </c>
      <c r="K220" s="150">
        <f t="shared" si="33"/>
        <v>0</v>
      </c>
      <c r="L220" s="150">
        <f t="shared" si="33"/>
        <v>0</v>
      </c>
      <c r="M220" s="150">
        <f t="shared" si="33"/>
        <v>0</v>
      </c>
      <c r="N220" s="150">
        <f t="shared" si="33"/>
        <v>0</v>
      </c>
    </row>
    <row r="221" spans="6:14" ht="12" x14ac:dyDescent="0.2">
      <c r="H221" s="152" t="s">
        <v>546</v>
      </c>
      <c r="I221" s="308">
        <f t="shared" si="33"/>
        <v>0</v>
      </c>
      <c r="J221" s="63">
        <f t="shared" si="33"/>
        <v>0</v>
      </c>
      <c r="K221" s="63">
        <f t="shared" si="33"/>
        <v>0</v>
      </c>
      <c r="L221" s="63">
        <f t="shared" si="33"/>
        <v>0</v>
      </c>
      <c r="M221" s="63">
        <f t="shared" si="33"/>
        <v>0</v>
      </c>
      <c r="N221" s="63">
        <f t="shared" si="33"/>
        <v>0</v>
      </c>
    </row>
    <row r="222" spans="6:14" ht="12" x14ac:dyDescent="0.2">
      <c r="F222" s="447" t="str">
        <f>Strategy10</f>
        <v>Objetivo estratégico 10: [No está en uso]</v>
      </c>
      <c r="G222" s="42" t="str">
        <f>STRAT10_IND1</f>
        <v>Objetivo estratégico 10 Indicador 1</v>
      </c>
      <c r="H222" s="260" t="str">
        <f ca="1">OFFSET(Variables_Lu!$D$10,Basic_Setup!H88,0)</f>
        <v>Nutrition-specific</v>
      </c>
      <c r="I222" s="308">
        <f t="shared" si="33"/>
        <v>0</v>
      </c>
      <c r="J222" s="150">
        <f t="shared" si="33"/>
        <v>0</v>
      </c>
      <c r="K222" s="150">
        <f t="shared" si="33"/>
        <v>0</v>
      </c>
      <c r="L222" s="150">
        <f t="shared" si="33"/>
        <v>0</v>
      </c>
      <c r="M222" s="150">
        <f t="shared" si="33"/>
        <v>0</v>
      </c>
      <c r="N222" s="150">
        <f t="shared" si="33"/>
        <v>0</v>
      </c>
    </row>
    <row r="223" spans="6:14" ht="12" x14ac:dyDescent="0.2">
      <c r="F223" s="447"/>
      <c r="G223" s="42" t="str">
        <f>STRAT10_IND2</f>
        <v>Objetivo estratégico 10 Indicador 2</v>
      </c>
      <c r="H223" s="260" t="str">
        <f ca="1">OFFSET(Variables_Lu!$D$10,Basic_Setup!H89,0)</f>
        <v>Nutrition-specific</v>
      </c>
      <c r="I223" s="308">
        <f t="shared" si="33"/>
        <v>0</v>
      </c>
      <c r="J223" s="150">
        <f t="shared" si="33"/>
        <v>0</v>
      </c>
      <c r="K223" s="150">
        <f t="shared" si="33"/>
        <v>0</v>
      </c>
      <c r="L223" s="150">
        <f t="shared" si="33"/>
        <v>0</v>
      </c>
      <c r="M223" s="150">
        <f t="shared" si="33"/>
        <v>0</v>
      </c>
      <c r="N223" s="150">
        <f t="shared" si="33"/>
        <v>0</v>
      </c>
    </row>
    <row r="224" spans="6:14" ht="12" x14ac:dyDescent="0.2">
      <c r="F224" s="447"/>
      <c r="G224" s="42" t="str">
        <f>STRAT10_IND3</f>
        <v>Objetivo estratégico 10 Indicador 3</v>
      </c>
      <c r="H224" s="260" t="str">
        <f ca="1">OFFSET(Variables_Lu!$D$10,Basic_Setup!H90,0)</f>
        <v>Nutrition-specific</v>
      </c>
      <c r="I224" s="308">
        <f t="shared" si="33"/>
        <v>0</v>
      </c>
      <c r="J224" s="150">
        <f t="shared" si="33"/>
        <v>0</v>
      </c>
      <c r="K224" s="150">
        <f t="shared" si="33"/>
        <v>0</v>
      </c>
      <c r="L224" s="150">
        <f t="shared" si="33"/>
        <v>0</v>
      </c>
      <c r="M224" s="150">
        <f t="shared" si="33"/>
        <v>0</v>
      </c>
      <c r="N224" s="150">
        <f t="shared" si="33"/>
        <v>0</v>
      </c>
    </row>
    <row r="225" spans="6:14" ht="12" x14ac:dyDescent="0.2">
      <c r="F225" s="447"/>
      <c r="G225" s="41" t="str">
        <f>STRAT10_IND4</f>
        <v>Objetivo estratégico 10 Indicador 4</v>
      </c>
      <c r="H225" s="260" t="str">
        <f ca="1">OFFSET(Variables_Lu!$D$10,Basic_Setup!H91,0)</f>
        <v>Nutrition-specific</v>
      </c>
      <c r="I225" s="308">
        <f t="shared" si="33"/>
        <v>0</v>
      </c>
      <c r="J225" s="150">
        <f t="shared" si="33"/>
        <v>0</v>
      </c>
      <c r="K225" s="150">
        <f t="shared" si="33"/>
        <v>0</v>
      </c>
      <c r="L225" s="150">
        <f t="shared" si="33"/>
        <v>0</v>
      </c>
      <c r="M225" s="150">
        <f t="shared" si="33"/>
        <v>0</v>
      </c>
      <c r="N225" s="150">
        <f t="shared" si="33"/>
        <v>0</v>
      </c>
    </row>
    <row r="226" spans="6:14" ht="12" x14ac:dyDescent="0.2">
      <c r="F226" s="448"/>
      <c r="G226" s="41" t="str">
        <f>STRAT10_IND5</f>
        <v>Objetivo estratégico 10 Indicador 5</v>
      </c>
      <c r="H226" s="260" t="str">
        <f ca="1">OFFSET(Variables_Lu!$D$10,Basic_Setup!H92,0)</f>
        <v>Nutrition-specific</v>
      </c>
      <c r="I226" s="309">
        <f t="shared" si="33"/>
        <v>0</v>
      </c>
      <c r="J226" s="150">
        <f t="shared" si="33"/>
        <v>0</v>
      </c>
      <c r="K226" s="150">
        <f t="shared" si="33"/>
        <v>0</v>
      </c>
      <c r="L226" s="150">
        <f t="shared" si="33"/>
        <v>0</v>
      </c>
      <c r="M226" s="150">
        <f t="shared" si="33"/>
        <v>0</v>
      </c>
      <c r="N226" s="150">
        <f t="shared" si="33"/>
        <v>0</v>
      </c>
    </row>
    <row r="227" spans="6:14" ht="12" x14ac:dyDescent="0.2">
      <c r="H227" s="152" t="s">
        <v>547</v>
      </c>
      <c r="I227" s="308">
        <f t="shared" si="33"/>
        <v>0</v>
      </c>
      <c r="J227" s="317">
        <f t="shared" si="33"/>
        <v>0</v>
      </c>
      <c r="K227" s="318">
        <f t="shared" si="33"/>
        <v>0</v>
      </c>
      <c r="L227" s="318">
        <f t="shared" si="33"/>
        <v>0</v>
      </c>
      <c r="M227" s="318">
        <f t="shared" si="33"/>
        <v>0</v>
      </c>
      <c r="N227" s="318">
        <f>N160/EXCHANGE_RATE</f>
        <v>0</v>
      </c>
    </row>
    <row r="228" spans="6:14" ht="12" x14ac:dyDescent="0.2">
      <c r="H228" s="53"/>
      <c r="I228" s="240"/>
      <c r="J228" s="64"/>
      <c r="K228" s="64"/>
      <c r="L228" s="64"/>
      <c r="M228" s="64"/>
      <c r="N228" s="64"/>
    </row>
    <row r="229" spans="6:14" ht="12" x14ac:dyDescent="0.2">
      <c r="H229" s="149" t="str">
        <f>"TOTAL - "&amp;Summary_Govt_Contributions!$F$12&amp;" ("&amp;CURR_INT_ABBR&amp;")"</f>
        <v>TOTAL - TODAS las contribuciones de las agencias gubernamentales (USD)</v>
      </c>
      <c r="I229" s="315">
        <f>I162/EXCHANGE_RATE</f>
        <v>82779137.341656253</v>
      </c>
      <c r="J229" s="288">
        <f>SUM(J173,J179,J185,J191,J197,J203,J209,J215,J221,J227)</f>
        <v>16555827.468331249</v>
      </c>
      <c r="K229" s="288">
        <f>SUM(K173,K179,K185,K191,K197,K203,K209,K215,K221,K227)</f>
        <v>16555827.468331249</v>
      </c>
      <c r="L229" s="288">
        <f t="shared" ref="L229:N229" si="34">SUM(L173,L179,L185,L191,L197,L203,L209,L215,L221,L227)</f>
        <v>16555827.468331249</v>
      </c>
      <c r="M229" s="288">
        <f t="shared" si="34"/>
        <v>16555827.468331249</v>
      </c>
      <c r="N229" s="288">
        <f t="shared" si="34"/>
        <v>16555827.468331249</v>
      </c>
    </row>
    <row r="230" spans="6:14" ht="12" x14ac:dyDescent="0.2">
      <c r="H230" s="151" t="s">
        <v>467</v>
      </c>
      <c r="I230" s="413">
        <f>IF(ISERROR(SUM(J230:N230)),1,MIN(SUM(J230:N230),1))</f>
        <v>0</v>
      </c>
      <c r="J230" s="414">
        <f t="shared" ref="J230:M230" si="35">IF(ABS(J29-J60)&gt;0.001,1,0)</f>
        <v>0</v>
      </c>
      <c r="K230" s="414">
        <f t="shared" si="35"/>
        <v>0</v>
      </c>
      <c r="L230" s="414">
        <f t="shared" si="35"/>
        <v>0</v>
      </c>
      <c r="M230" s="414">
        <f t="shared" si="35"/>
        <v>0</v>
      </c>
      <c r="N230" s="414">
        <f>IF(ABS(N29-N60)&gt;0.001,1,0)</f>
        <v>0</v>
      </c>
    </row>
    <row r="232" spans="6:14" x14ac:dyDescent="0.2">
      <c r="I232" s="105"/>
    </row>
    <row r="240" spans="6:14" ht="12" customHeight="1" x14ac:dyDescent="0.2"/>
  </sheetData>
  <sheetProtection algorithmName="SHA-512" hashValue="XrImcbTty9OC9+62X6rQFL9rnrQo0GkLQSrQ7Ym5410pgmVuPzUQQKGKe1D44VbXOi4SnbQAQPKxrNFjeMNfPg==" saltValue="kxMscFHOo3scfzpZCW0yRQ==" spinCount="100000" sheet="1" objects="1" scenarios="1"/>
  <mergeCells count="21">
    <mergeCell ref="F186:F190"/>
    <mergeCell ref="F192:F196"/>
    <mergeCell ref="F101:F105"/>
    <mergeCell ref="B3:F3"/>
    <mergeCell ref="F168:F172"/>
    <mergeCell ref="F174:F178"/>
    <mergeCell ref="F180:F184"/>
    <mergeCell ref="F143:F147"/>
    <mergeCell ref="F149:F153"/>
    <mergeCell ref="F155:F159"/>
    <mergeCell ref="F107:F111"/>
    <mergeCell ref="F113:F117"/>
    <mergeCell ref="F119:F123"/>
    <mergeCell ref="F125:F129"/>
    <mergeCell ref="F131:F135"/>
    <mergeCell ref="F137:F141"/>
    <mergeCell ref="F198:F202"/>
    <mergeCell ref="F204:F208"/>
    <mergeCell ref="F210:F214"/>
    <mergeCell ref="F216:F220"/>
    <mergeCell ref="F222:F226"/>
  </mergeCells>
  <conditionalFormatting sqref="I230">
    <cfRule type="cellIs" dxfId="2" priority="2" stopIfTrue="1" operator="notEqual">
      <formula>0</formula>
    </cfRule>
  </conditionalFormatting>
  <conditionalFormatting sqref="J230:N230">
    <cfRule type="cellIs" dxfId="1" priority="3" stopIfTrue="1" operator="notEqual">
      <formula>0</formula>
    </cfRule>
  </conditionalFormatting>
  <dataValidations count="1">
    <dataValidation type="custom" showErrorMessage="1" errorTitle="Invalid Assumption" error="Assumption must be a number." sqref="I101:N160 J174:N178 J168:N172 I162 J180:N184 J186:N190 J198:N202 J204:N208 J210:N214 J216:N220 J192:N196 J222:N226" xr:uid="{00000000-0002-0000-2000-000000000000}">
      <formula1>NOT(ISERROR(I101/1))</formula1>
    </dataValidation>
  </dataValidations>
  <hyperlinks>
    <hyperlink ref="B4" location="HL_Sheet_Main_3" tooltip="Go to Previous Sheet" display="ç" xr:uid="{00000000-0004-0000-2000-000000000000}"/>
    <hyperlink ref="A4" r:id="rId1" tooltip="Go to Top of Sheet" xr:uid="{00000000-0004-0000-2000-000001000000}"/>
    <hyperlink ref="C4" location="HL_Sheet_Main_14" tooltip="Go to Next Sheet" display="è" xr:uid="{00000000-0004-0000-2000-000002000000}"/>
    <hyperlink ref="B3" location="HL_Home" tooltip="Go to Table of Contents" display="Ir al índice" xr:uid="{00000000-0004-0000-2000-000003000000}"/>
    <hyperlink ref="A14" location="Outputs!A1" tooltip="Click to follow hyperlink." display="ï" xr:uid="{00000000-0004-0000-2000-000004000000}"/>
    <hyperlink ref="A46" location="Outputs!A1" tooltip="Click to follow hyperlink." display="ï" xr:uid="{00000000-0004-0000-2000-000005000000}"/>
    <hyperlink ref="A78" location="Outputs!A1" tooltip="Click to follow hyperlink." display="ï" xr:uid="{00000000-0004-0000-2000-000006000000}"/>
    <hyperlink ref="A96" location="Outputs!A1" tooltip="Click to follow hyperlink." display="ï" xr:uid="{00000000-0004-0000-2000-000007000000}"/>
  </hyperlinks>
  <pageMargins left="0.4" right="0.4" top="0.6" bottom="1" header="0" footer="0.3"/>
  <pageSetup orientation="landscape" r:id="rId2"/>
  <headerFooter>
    <oddFooter>&amp;L&amp;F
&amp;A
Impreso: &amp;T en &amp;D&amp;C&amp;",Bold"Sheet 3.a.
Página &amp;P de &amp;N</oddFooter>
  </headerFooter>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theme="4"/>
  </sheetPr>
  <dimension ref="A1:N230"/>
  <sheetViews>
    <sheetView showGridLines="0" workbookViewId="0">
      <pane ySplit="12" topLeftCell="A211" activePane="bottomLeft" state="frozen"/>
      <selection pane="bottomLeft"/>
    </sheetView>
  </sheetViews>
  <sheetFormatPr defaultColWidth="11.75" defaultRowHeight="11.4" x14ac:dyDescent="0.2"/>
  <cols>
    <col min="1" max="5" width="3.75" customWidth="1"/>
    <col min="6" max="6" width="31.375" customWidth="1"/>
    <col min="7" max="7" width="40.625" customWidth="1"/>
    <col min="8" max="8" width="29.125" customWidth="1"/>
    <col min="9" max="9" width="21.875" customWidth="1"/>
    <col min="10" max="14" width="20.75" customWidth="1"/>
  </cols>
  <sheetData>
    <row r="1" spans="1:14" ht="13.8" x14ac:dyDescent="0.2">
      <c r="B1" s="143" t="str">
        <f ca="1">IF(ISERROR(RIGHT(CELL("filename",$A$1),LEN(CELL("filename",$A$1))-FIND("]",CELL("filename",$A$1)))),"This workbook never saved",RIGHT(CELL("filename",$A$1),LEN(CELL("filename",$A$1))-FIND("]",CELL("filename",$A$1))))&amp;" :Planned Contributions"</f>
        <v>Summary_Partner_Contributions :Planned Contributions</v>
      </c>
    </row>
    <row r="2" spans="1:14" ht="13.2" x14ac:dyDescent="0.2">
      <c r="B2" s="5" t="str">
        <f>Model_Name</f>
        <v>Financial Gap Analysis Tool - País X (Datos de la muestra)</v>
      </c>
    </row>
    <row r="3" spans="1:14" x14ac:dyDescent="0.2">
      <c r="B3" s="425" t="s">
        <v>524</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ht="10.5" customHeight="1" collapsed="1" x14ac:dyDescent="0.2"/>
    <row r="12" spans="1:14" ht="10.5" customHeight="1" x14ac:dyDescent="0.2">
      <c r="F12" s="48" t="s">
        <v>112</v>
      </c>
    </row>
    <row r="13" spans="1:14" ht="10.5" customHeight="1" x14ac:dyDescent="0.2"/>
    <row r="14" spans="1:14" x14ac:dyDescent="0.2">
      <c r="A14" s="35" t="s">
        <v>77</v>
      </c>
      <c r="B14" s="1" t="s">
        <v>415</v>
      </c>
      <c r="C14" s="1"/>
      <c r="D14" s="1"/>
      <c r="E14" s="1"/>
      <c r="F14" s="1"/>
      <c r="G14" s="1"/>
      <c r="H14" s="1"/>
      <c r="I14" s="1"/>
      <c r="J14" s="1"/>
      <c r="K14" s="1"/>
      <c r="L14" s="1"/>
      <c r="M14" s="1"/>
      <c r="N14" s="1"/>
    </row>
    <row r="16" spans="1:14" ht="12" x14ac:dyDescent="0.2">
      <c r="F16" s="148" t="str">
        <f>"Contributions - "&amp;CURR_INT_ABBR</f>
        <v>Contributions - USD</v>
      </c>
    </row>
    <row r="17" spans="6:14" x14ac:dyDescent="0.2">
      <c r="I17" s="75"/>
    </row>
    <row r="18" spans="6:14" ht="12" x14ac:dyDescent="0.2">
      <c r="H18" s="136" t="s">
        <v>548</v>
      </c>
      <c r="I18" s="145" t="s">
        <v>106</v>
      </c>
      <c r="J18" s="56" t="str">
        <f>CURR_INT_ABBR</f>
        <v>USD</v>
      </c>
      <c r="K18" s="56" t="str">
        <f>CURR_INT_ABBR</f>
        <v>USD</v>
      </c>
      <c r="L18" s="56" t="str">
        <f>CURR_INT_ABBR</f>
        <v>USD</v>
      </c>
      <c r="M18" s="56" t="str">
        <f>CURR_INT_ABBR</f>
        <v>USD</v>
      </c>
      <c r="N18" s="56" t="str">
        <f>CURR_INT_ABBR</f>
        <v>USD</v>
      </c>
    </row>
    <row r="19" spans="6:14" ht="12" x14ac:dyDescent="0.2">
      <c r="F19" t="str">
        <f>Partner1</f>
        <v>UNICEF</v>
      </c>
      <c r="H19" s="58">
        <f>I19/$I$29</f>
        <v>0.23718533879356762</v>
      </c>
      <c r="I19" s="77">
        <f>SUM(J19:N19)</f>
        <v>38040000</v>
      </c>
      <c r="J19" s="76">
        <f>Partner1!J$81</f>
        <v>7608000</v>
      </c>
      <c r="K19" s="76">
        <f>Partner1!K$81</f>
        <v>7608000</v>
      </c>
      <c r="L19" s="76">
        <f>Partner1!L$81</f>
        <v>7608000</v>
      </c>
      <c r="M19" s="76">
        <f>Partner1!M$81</f>
        <v>7608000</v>
      </c>
      <c r="N19" s="76">
        <f>Partner1!N$81</f>
        <v>7608000</v>
      </c>
    </row>
    <row r="20" spans="6:14" ht="12" x14ac:dyDescent="0.2">
      <c r="F20" t="str">
        <f>Partner2</f>
        <v>Organización Mundial de la Salud</v>
      </c>
      <c r="H20" s="58">
        <f>I20/$I$29</f>
        <v>6.2351561197047218E-4</v>
      </c>
      <c r="I20" s="77">
        <f t="shared" ref="I20:I23" si="2">SUM(J20:N20)</f>
        <v>100000</v>
      </c>
      <c r="J20" s="76">
        <f>Partner2!J$81</f>
        <v>20000</v>
      </c>
      <c r="K20" s="76">
        <f>Partner2!K$81</f>
        <v>35000</v>
      </c>
      <c r="L20" s="76">
        <f>Partner2!L$81</f>
        <v>35000</v>
      </c>
      <c r="M20" s="76">
        <f>Partner2!M$81</f>
        <v>10000</v>
      </c>
      <c r="N20" s="76">
        <f>Partner2!N$81</f>
        <v>0</v>
      </c>
    </row>
    <row r="21" spans="6:14" ht="12" x14ac:dyDescent="0.2">
      <c r="F21" t="str">
        <f>Partner3</f>
        <v>Banco Mundial</v>
      </c>
      <c r="H21" s="58">
        <f>I21/$I$29</f>
        <v>0.62558910066776774</v>
      </c>
      <c r="I21" s="77">
        <f t="shared" si="2"/>
        <v>100332548</v>
      </c>
      <c r="J21" s="76">
        <f>Partner3!J$81</f>
        <v>24909278</v>
      </c>
      <c r="K21" s="76">
        <f>Partner3!K$81</f>
        <v>50513992</v>
      </c>
      <c r="L21" s="76">
        <f>Partner3!L$81</f>
        <v>24909278</v>
      </c>
      <c r="M21" s="76">
        <f>Partner3!M$81</f>
        <v>0</v>
      </c>
      <c r="N21" s="76">
        <f>Partner3!N$81</f>
        <v>0</v>
      </c>
    </row>
    <row r="22" spans="6:14" ht="12" x14ac:dyDescent="0.2">
      <c r="F22" t="str">
        <f>Partner4</f>
        <v>Organización de las Naciones Unidas para la Alimentación y la Agricultura</v>
      </c>
      <c r="H22" s="58">
        <f>I22/$I$29</f>
        <v>1.7354684137341335E-2</v>
      </c>
      <c r="I22" s="77">
        <f t="shared" si="2"/>
        <v>2783360</v>
      </c>
      <c r="J22" s="76">
        <f>Partner4!J$81</f>
        <v>1787286</v>
      </c>
      <c r="K22" s="76">
        <f>Partner4!K$81</f>
        <v>641524</v>
      </c>
      <c r="L22" s="76">
        <f>Partner4!L$81</f>
        <v>354550</v>
      </c>
      <c r="M22" s="76">
        <f>Partner4!M$81</f>
        <v>0</v>
      </c>
      <c r="N22" s="76">
        <f>Partner4!N$81</f>
        <v>0</v>
      </c>
    </row>
    <row r="23" spans="6:14" ht="12" x14ac:dyDescent="0.2">
      <c r="F23" t="str">
        <f>Partner5</f>
        <v>Programa Mundial de Alimentos</v>
      </c>
      <c r="H23" s="58">
        <f>I23/$I$29</f>
        <v>0.1192473607893528</v>
      </c>
      <c r="I23" s="77">
        <f t="shared" si="2"/>
        <v>19125000</v>
      </c>
      <c r="J23" s="76">
        <f>Partner5!J$81</f>
        <v>3825000</v>
      </c>
      <c r="K23" s="76">
        <f>Partner5!K$81</f>
        <v>3825000</v>
      </c>
      <c r="L23" s="76">
        <f>Partner5!L$81</f>
        <v>3825000</v>
      </c>
      <c r="M23" s="76">
        <f>Partner5!M$81</f>
        <v>3825000</v>
      </c>
      <c r="N23" s="76">
        <f>Partner5!N$81</f>
        <v>3825000</v>
      </c>
    </row>
    <row r="24" spans="6:14" ht="12" x14ac:dyDescent="0.2">
      <c r="F24" t="str">
        <f>Partner6</f>
        <v>[No está en uso]</v>
      </c>
      <c r="H24" s="58">
        <f t="shared" ref="H24:H28" si="3">I24/$I$29</f>
        <v>0</v>
      </c>
      <c r="I24" s="77">
        <f t="shared" ref="I24:I28" si="4">SUM(J24:N24)</f>
        <v>0</v>
      </c>
      <c r="J24" s="76">
        <f>Partner6!J$81</f>
        <v>0</v>
      </c>
      <c r="K24" s="76">
        <f>Partner6!K$81</f>
        <v>0</v>
      </c>
      <c r="L24" s="76">
        <f>Partner6!L$81</f>
        <v>0</v>
      </c>
      <c r="M24" s="76">
        <f>Partner6!M$81</f>
        <v>0</v>
      </c>
      <c r="N24" s="76">
        <f>Partner6!N$81</f>
        <v>0</v>
      </c>
    </row>
    <row r="25" spans="6:14" ht="12" x14ac:dyDescent="0.2">
      <c r="F25" t="str">
        <f>Partner7</f>
        <v>[No está en uso]</v>
      </c>
      <c r="H25" s="58">
        <f t="shared" si="3"/>
        <v>0</v>
      </c>
      <c r="I25" s="77">
        <f t="shared" si="4"/>
        <v>0</v>
      </c>
      <c r="J25" s="76">
        <f>Partner7!J$81</f>
        <v>0</v>
      </c>
      <c r="K25" s="76">
        <f>Partner7!K$81</f>
        <v>0</v>
      </c>
      <c r="L25" s="76">
        <f>Partner7!L$81</f>
        <v>0</v>
      </c>
      <c r="M25" s="76">
        <f>Partner7!M$81</f>
        <v>0</v>
      </c>
      <c r="N25" s="76">
        <f>Partner7!N$81</f>
        <v>0</v>
      </c>
    </row>
    <row r="26" spans="6:14" ht="12" x14ac:dyDescent="0.2">
      <c r="F26" t="str">
        <f>Partner8</f>
        <v>[No está en uso]</v>
      </c>
      <c r="H26" s="58">
        <f t="shared" si="3"/>
        <v>0</v>
      </c>
      <c r="I26" s="77">
        <f t="shared" si="4"/>
        <v>0</v>
      </c>
      <c r="J26" s="76">
        <f>Partner8!J$81</f>
        <v>0</v>
      </c>
      <c r="K26" s="76">
        <f>Partner8!K$81</f>
        <v>0</v>
      </c>
      <c r="L26" s="76">
        <f>Partner8!L$81</f>
        <v>0</v>
      </c>
      <c r="M26" s="76">
        <f>Partner8!M$81</f>
        <v>0</v>
      </c>
      <c r="N26" s="76">
        <f>Partner8!N$81</f>
        <v>0</v>
      </c>
    </row>
    <row r="27" spans="6:14" ht="12" x14ac:dyDescent="0.2">
      <c r="F27" t="str">
        <f>Partner9</f>
        <v>[No está en uso]</v>
      </c>
      <c r="H27" s="58">
        <f t="shared" si="3"/>
        <v>0</v>
      </c>
      <c r="I27" s="77">
        <f t="shared" si="4"/>
        <v>0</v>
      </c>
      <c r="J27" s="76">
        <f>Partner9!J$81</f>
        <v>0</v>
      </c>
      <c r="K27" s="76">
        <f>Partner9!K$81</f>
        <v>0</v>
      </c>
      <c r="L27" s="76">
        <f>Partner9!L$81</f>
        <v>0</v>
      </c>
      <c r="M27" s="76">
        <f>Partner9!M$81</f>
        <v>0</v>
      </c>
      <c r="N27" s="76">
        <f>Partner9!N$81</f>
        <v>0</v>
      </c>
    </row>
    <row r="28" spans="6:14" ht="12" x14ac:dyDescent="0.2">
      <c r="F28" t="str">
        <f>Partner10</f>
        <v>[No está en uso]</v>
      </c>
      <c r="H28" s="58">
        <f t="shared" si="3"/>
        <v>0</v>
      </c>
      <c r="I28" s="77">
        <f t="shared" si="4"/>
        <v>0</v>
      </c>
      <c r="J28" s="76">
        <f>Partner10!J$81</f>
        <v>0</v>
      </c>
      <c r="K28" s="76">
        <f>Partner10!K$81</f>
        <v>0</v>
      </c>
      <c r="L28" s="76">
        <f>Partner10!L$81</f>
        <v>0</v>
      </c>
      <c r="M28" s="76">
        <f>Partner10!M$81</f>
        <v>0</v>
      </c>
      <c r="N28" s="76">
        <f>Partner10!N$81</f>
        <v>0</v>
      </c>
    </row>
    <row r="29" spans="6:14" ht="12" x14ac:dyDescent="0.2">
      <c r="F29" s="153" t="s">
        <v>106</v>
      </c>
      <c r="G29" s="74"/>
      <c r="H29" s="59">
        <f>I29/$I$29</f>
        <v>1</v>
      </c>
      <c r="I29" s="78">
        <f>SUM(I19:I28)</f>
        <v>160380908</v>
      </c>
      <c r="J29" s="79">
        <f>SUM(J19:J28)</f>
        <v>38149564</v>
      </c>
      <c r="K29" s="79">
        <f t="shared" ref="K29:N29" si="5">SUM(K19:K28)</f>
        <v>62623516</v>
      </c>
      <c r="L29" s="79">
        <f t="shared" si="5"/>
        <v>36731828</v>
      </c>
      <c r="M29" s="79">
        <f t="shared" si="5"/>
        <v>11443000</v>
      </c>
      <c r="N29" s="79">
        <f t="shared" si="5"/>
        <v>11433000</v>
      </c>
    </row>
    <row r="30" spans="6:14" ht="12" x14ac:dyDescent="0.2">
      <c r="F30" s="72"/>
      <c r="G30" s="50"/>
      <c r="H30" s="73"/>
      <c r="I30" s="80"/>
      <c r="J30" s="80"/>
      <c r="K30" s="80"/>
      <c r="L30" s="80"/>
      <c r="M30" s="80"/>
      <c r="N30" s="80"/>
    </row>
    <row r="31" spans="6:14" ht="12" x14ac:dyDescent="0.2">
      <c r="F31" s="148" t="str">
        <f>"Contributions - "&amp;CURR_LCU_ABBR</f>
        <v>Contributions - GOZ</v>
      </c>
      <c r="G31" s="50"/>
      <c r="H31" s="73"/>
      <c r="I31" s="80"/>
      <c r="J31" s="80"/>
      <c r="K31" s="80"/>
      <c r="L31" s="80"/>
      <c r="M31" s="80"/>
      <c r="N31" s="80"/>
    </row>
    <row r="32" spans="6:14" ht="12" x14ac:dyDescent="0.2">
      <c r="G32" s="50"/>
      <c r="H32" s="73"/>
      <c r="I32" s="80"/>
      <c r="J32" s="80"/>
      <c r="K32" s="80"/>
      <c r="L32" s="80"/>
      <c r="M32" s="80"/>
      <c r="N32" s="80"/>
    </row>
    <row r="33" spans="1:14" ht="12" x14ac:dyDescent="0.2">
      <c r="G33" s="50"/>
      <c r="H33" s="136" t="s">
        <v>548</v>
      </c>
      <c r="I33" s="145" t="s">
        <v>106</v>
      </c>
      <c r="J33" s="56" t="str">
        <f>CURR_LCU_ABBR</f>
        <v>GOZ</v>
      </c>
      <c r="K33" s="56" t="str">
        <f>CURR_LCU_ABBR</f>
        <v>GOZ</v>
      </c>
      <c r="L33" s="56" t="str">
        <f>CURR_LCU_ABBR</f>
        <v>GOZ</v>
      </c>
      <c r="M33" s="56" t="str">
        <f>CURR_LCU_ABBR</f>
        <v>GOZ</v>
      </c>
      <c r="N33" s="56" t="str">
        <f>CURR_LCU_ABBR</f>
        <v>GOZ</v>
      </c>
    </row>
    <row r="34" spans="1:14" ht="12" x14ac:dyDescent="0.2">
      <c r="F34" t="str">
        <f>Partner1</f>
        <v>UNICEF</v>
      </c>
      <c r="G34" s="50"/>
      <c r="H34" s="58">
        <f>I34/$I$44</f>
        <v>0.23718533879356762</v>
      </c>
      <c r="I34" s="82">
        <f>SUM(J34:N34)</f>
        <v>68472000000</v>
      </c>
      <c r="J34" s="81">
        <f t="shared" ref="J34:N44" si="6">J19*EXCHANGE_RATE</f>
        <v>13694400000</v>
      </c>
      <c r="K34" s="81">
        <f t="shared" si="6"/>
        <v>13694400000</v>
      </c>
      <c r="L34" s="81">
        <f t="shared" si="6"/>
        <v>13694400000</v>
      </c>
      <c r="M34" s="81">
        <f t="shared" si="6"/>
        <v>13694400000</v>
      </c>
      <c r="N34" s="81">
        <f t="shared" si="6"/>
        <v>13694400000</v>
      </c>
    </row>
    <row r="35" spans="1:14" ht="12" x14ac:dyDescent="0.2">
      <c r="F35" t="str">
        <f>Partner2</f>
        <v>Organización Mundial de la Salud</v>
      </c>
      <c r="G35" s="50"/>
      <c r="H35" s="58">
        <f t="shared" ref="H35:H43" si="7">I35/$I$44</f>
        <v>6.2351561197047218E-4</v>
      </c>
      <c r="I35" s="82">
        <f t="shared" ref="I35:I43" si="8">SUM(J35:N35)</f>
        <v>180000000</v>
      </c>
      <c r="J35" s="81">
        <f t="shared" si="6"/>
        <v>36000000</v>
      </c>
      <c r="K35" s="81">
        <f t="shared" si="6"/>
        <v>63000000</v>
      </c>
      <c r="L35" s="81">
        <f t="shared" si="6"/>
        <v>63000000</v>
      </c>
      <c r="M35" s="81">
        <f t="shared" si="6"/>
        <v>18000000</v>
      </c>
      <c r="N35" s="81">
        <f t="shared" si="6"/>
        <v>0</v>
      </c>
    </row>
    <row r="36" spans="1:14" ht="12" x14ac:dyDescent="0.2">
      <c r="F36" t="str">
        <f>Partner3</f>
        <v>Banco Mundial</v>
      </c>
      <c r="G36" s="50"/>
      <c r="H36" s="58">
        <f t="shared" si="7"/>
        <v>0.62558910066776774</v>
      </c>
      <c r="I36" s="82">
        <f t="shared" si="8"/>
        <v>180598586400</v>
      </c>
      <c r="J36" s="81">
        <f t="shared" si="6"/>
        <v>44836700400</v>
      </c>
      <c r="K36" s="81">
        <f t="shared" si="6"/>
        <v>90925185600</v>
      </c>
      <c r="L36" s="81">
        <f t="shared" si="6"/>
        <v>44836700400</v>
      </c>
      <c r="M36" s="81">
        <f t="shared" si="6"/>
        <v>0</v>
      </c>
      <c r="N36" s="81">
        <f t="shared" si="6"/>
        <v>0</v>
      </c>
    </row>
    <row r="37" spans="1:14" ht="12" x14ac:dyDescent="0.2">
      <c r="F37" t="str">
        <f>Partner4</f>
        <v>Organización de las Naciones Unidas para la Alimentación y la Agricultura</v>
      </c>
      <c r="G37" s="50"/>
      <c r="H37" s="58">
        <f t="shared" si="7"/>
        <v>1.7354684137341335E-2</v>
      </c>
      <c r="I37" s="82">
        <f t="shared" si="8"/>
        <v>5010048000</v>
      </c>
      <c r="J37" s="81">
        <f t="shared" si="6"/>
        <v>3217114800</v>
      </c>
      <c r="K37" s="81">
        <f t="shared" si="6"/>
        <v>1154743200</v>
      </c>
      <c r="L37" s="81">
        <f t="shared" si="6"/>
        <v>638190000</v>
      </c>
      <c r="M37" s="81">
        <f t="shared" si="6"/>
        <v>0</v>
      </c>
      <c r="N37" s="81">
        <f t="shared" si="6"/>
        <v>0</v>
      </c>
    </row>
    <row r="38" spans="1:14" ht="12" x14ac:dyDescent="0.2">
      <c r="F38" t="str">
        <f>Partner5</f>
        <v>Programa Mundial de Alimentos</v>
      </c>
      <c r="G38" s="50"/>
      <c r="H38" s="58">
        <f t="shared" si="7"/>
        <v>0.1192473607893528</v>
      </c>
      <c r="I38" s="82">
        <f t="shared" si="8"/>
        <v>34425000000</v>
      </c>
      <c r="J38" s="81">
        <f t="shared" si="6"/>
        <v>6885000000</v>
      </c>
      <c r="K38" s="81">
        <f t="shared" si="6"/>
        <v>6885000000</v>
      </c>
      <c r="L38" s="81">
        <f t="shared" si="6"/>
        <v>6885000000</v>
      </c>
      <c r="M38" s="81">
        <f t="shared" si="6"/>
        <v>6885000000</v>
      </c>
      <c r="N38" s="81">
        <f t="shared" si="6"/>
        <v>6885000000</v>
      </c>
    </row>
    <row r="39" spans="1:14" ht="12" x14ac:dyDescent="0.2">
      <c r="F39" t="str">
        <f>Partner6</f>
        <v>[No está en uso]</v>
      </c>
      <c r="G39" s="50"/>
      <c r="H39" s="58">
        <f t="shared" si="7"/>
        <v>0</v>
      </c>
      <c r="I39" s="82">
        <f t="shared" si="8"/>
        <v>0</v>
      </c>
      <c r="J39" s="81">
        <f t="shared" si="6"/>
        <v>0</v>
      </c>
      <c r="K39" s="81">
        <f t="shared" si="6"/>
        <v>0</v>
      </c>
      <c r="L39" s="81">
        <f t="shared" si="6"/>
        <v>0</v>
      </c>
      <c r="M39" s="81">
        <f t="shared" si="6"/>
        <v>0</v>
      </c>
      <c r="N39" s="81">
        <f t="shared" si="6"/>
        <v>0</v>
      </c>
    </row>
    <row r="40" spans="1:14" ht="12" x14ac:dyDescent="0.2">
      <c r="F40" t="str">
        <f>Partner7</f>
        <v>[No está en uso]</v>
      </c>
      <c r="G40" s="50"/>
      <c r="H40" s="58">
        <f t="shared" si="7"/>
        <v>0</v>
      </c>
      <c r="I40" s="82">
        <f t="shared" si="8"/>
        <v>0</v>
      </c>
      <c r="J40" s="81">
        <f t="shared" si="6"/>
        <v>0</v>
      </c>
      <c r="K40" s="81">
        <f t="shared" si="6"/>
        <v>0</v>
      </c>
      <c r="L40" s="81">
        <f t="shared" si="6"/>
        <v>0</v>
      </c>
      <c r="M40" s="81">
        <f t="shared" si="6"/>
        <v>0</v>
      </c>
      <c r="N40" s="81">
        <f t="shared" si="6"/>
        <v>0</v>
      </c>
    </row>
    <row r="41" spans="1:14" ht="12" x14ac:dyDescent="0.2">
      <c r="F41" t="str">
        <f>Partner8</f>
        <v>[No está en uso]</v>
      </c>
      <c r="G41" s="50"/>
      <c r="H41" s="58">
        <f t="shared" si="7"/>
        <v>0</v>
      </c>
      <c r="I41" s="82">
        <f t="shared" si="8"/>
        <v>0</v>
      </c>
      <c r="J41" s="81">
        <f t="shared" si="6"/>
        <v>0</v>
      </c>
      <c r="K41" s="81">
        <f t="shared" si="6"/>
        <v>0</v>
      </c>
      <c r="L41" s="81">
        <f t="shared" si="6"/>
        <v>0</v>
      </c>
      <c r="M41" s="81">
        <f t="shared" si="6"/>
        <v>0</v>
      </c>
      <c r="N41" s="81">
        <f t="shared" si="6"/>
        <v>0</v>
      </c>
    </row>
    <row r="42" spans="1:14" ht="12" x14ac:dyDescent="0.2">
      <c r="F42" t="str">
        <f>Partner9</f>
        <v>[No está en uso]</v>
      </c>
      <c r="G42" s="50"/>
      <c r="H42" s="58">
        <f t="shared" si="7"/>
        <v>0</v>
      </c>
      <c r="I42" s="82">
        <f t="shared" si="8"/>
        <v>0</v>
      </c>
      <c r="J42" s="81">
        <f t="shared" si="6"/>
        <v>0</v>
      </c>
      <c r="K42" s="81">
        <f t="shared" si="6"/>
        <v>0</v>
      </c>
      <c r="L42" s="81">
        <f t="shared" si="6"/>
        <v>0</v>
      </c>
      <c r="M42" s="81">
        <f t="shared" si="6"/>
        <v>0</v>
      </c>
      <c r="N42" s="81">
        <f t="shared" si="6"/>
        <v>0</v>
      </c>
    </row>
    <row r="43" spans="1:14" ht="12" x14ac:dyDescent="0.2">
      <c r="F43" t="str">
        <f>Partner10</f>
        <v>[No está en uso]</v>
      </c>
      <c r="G43" s="50"/>
      <c r="H43" s="58">
        <f t="shared" si="7"/>
        <v>0</v>
      </c>
      <c r="I43" s="82">
        <f t="shared" si="8"/>
        <v>0</v>
      </c>
      <c r="J43" s="81">
        <f t="shared" si="6"/>
        <v>0</v>
      </c>
      <c r="K43" s="81">
        <f t="shared" si="6"/>
        <v>0</v>
      </c>
      <c r="L43" s="81">
        <f t="shared" si="6"/>
        <v>0</v>
      </c>
      <c r="M43" s="81">
        <f t="shared" si="6"/>
        <v>0</v>
      </c>
      <c r="N43" s="81">
        <f t="shared" si="6"/>
        <v>0</v>
      </c>
    </row>
    <row r="44" spans="1:14" ht="12" x14ac:dyDescent="0.2">
      <c r="F44" s="153" t="s">
        <v>106</v>
      </c>
      <c r="H44" s="59">
        <f>I44/$I$44</f>
        <v>1</v>
      </c>
      <c r="I44" s="83">
        <f>SUM(I34:I43)</f>
        <v>288685634400</v>
      </c>
      <c r="J44" s="84">
        <f t="shared" si="6"/>
        <v>68669215200</v>
      </c>
      <c r="K44" s="84">
        <f t="shared" si="6"/>
        <v>112722328800</v>
      </c>
      <c r="L44" s="84">
        <f t="shared" si="6"/>
        <v>66117290400</v>
      </c>
      <c r="M44" s="84">
        <f t="shared" si="6"/>
        <v>20597400000</v>
      </c>
      <c r="N44" s="84">
        <f t="shared" si="6"/>
        <v>20579400000</v>
      </c>
    </row>
    <row r="46" spans="1:14" x14ac:dyDescent="0.2">
      <c r="A46" s="35" t="s">
        <v>77</v>
      </c>
      <c r="B46" s="1" t="s">
        <v>486</v>
      </c>
      <c r="C46" s="1"/>
      <c r="D46" s="1"/>
      <c r="E46" s="1"/>
      <c r="F46" s="1"/>
      <c r="G46" s="1"/>
      <c r="H46" s="1"/>
      <c r="I46" s="1"/>
      <c r="J46" s="1"/>
      <c r="K46" s="1"/>
      <c r="L46" s="1"/>
      <c r="M46" s="1"/>
      <c r="N46" s="1"/>
    </row>
    <row r="48" spans="1:14" ht="12.75" customHeight="1" x14ac:dyDescent="0.2">
      <c r="F48" s="148" t="str">
        <f>"Contributions - "&amp;CURR_LCU_ABBR</f>
        <v>Contributions - GOZ</v>
      </c>
    </row>
    <row r="49" spans="6:14" ht="12" x14ac:dyDescent="0.2">
      <c r="H49" s="136" t="s">
        <v>548</v>
      </c>
      <c r="I49" s="145" t="s">
        <v>106</v>
      </c>
      <c r="J49" s="56" t="str">
        <f>CURR_LCU_ABBR</f>
        <v>GOZ</v>
      </c>
      <c r="K49" s="56" t="str">
        <f>CURR_LCU_ABBR</f>
        <v>GOZ</v>
      </c>
      <c r="L49" s="56" t="str">
        <f>CURR_LCU_ABBR</f>
        <v>GOZ</v>
      </c>
      <c r="M49" s="56" t="str">
        <f>CURR_LCU_ABBR</f>
        <v>GOZ</v>
      </c>
      <c r="N49" s="56" t="str">
        <f>CURR_LCU_ABBR</f>
        <v>GOZ</v>
      </c>
    </row>
    <row r="50" spans="6:14" ht="12" x14ac:dyDescent="0.2">
      <c r="F50" t="str">
        <f>Strategy1</f>
        <v>Objetivo estratégico 1: Fortalecer la gobernanza de la nutrición</v>
      </c>
      <c r="H50" s="289">
        <f>I50/I$60</f>
        <v>1.2718122284230988E-2</v>
      </c>
      <c r="I50" s="57">
        <f>I106</f>
        <v>3671539200</v>
      </c>
      <c r="J50" s="52">
        <f>J106</f>
        <v>883481400</v>
      </c>
      <c r="K50" s="52">
        <f t="shared" ref="K50:N50" si="9">K106</f>
        <v>1396886400</v>
      </c>
      <c r="L50" s="52">
        <f t="shared" si="9"/>
        <v>813371400</v>
      </c>
      <c r="M50" s="52">
        <f t="shared" si="9"/>
        <v>293400000</v>
      </c>
      <c r="N50" s="52">
        <f t="shared" si="9"/>
        <v>284400000</v>
      </c>
    </row>
    <row r="51" spans="6:14" ht="12" x14ac:dyDescent="0.2">
      <c r="F51" t="str">
        <f>Strategy2</f>
        <v>Objetivo estratégico 2: Fortalecer el acceso al tratamiento y a los servicios de salud y nutrición de calidad, así como al tratamiento de todas las formas de malnutrición</v>
      </c>
      <c r="H51" s="289">
        <f t="shared" ref="H51:H60" si="10">I51/I$60</f>
        <v>0.26872236563219859</v>
      </c>
      <c r="I51" s="323">
        <f>I112</f>
        <v>77576286600</v>
      </c>
      <c r="J51" s="52">
        <f>J112</f>
        <v>16448498100</v>
      </c>
      <c r="K51" s="52">
        <f t="shared" ref="K51:N51" si="11">K112</f>
        <v>21972290400</v>
      </c>
      <c r="L51" s="52">
        <f t="shared" si="11"/>
        <v>16466498100</v>
      </c>
      <c r="M51" s="52">
        <f t="shared" si="11"/>
        <v>11349000000</v>
      </c>
      <c r="N51" s="52">
        <f t="shared" si="11"/>
        <v>11340000000</v>
      </c>
    </row>
    <row r="52" spans="6:14" ht="12" x14ac:dyDescent="0.2">
      <c r="F52" t="str">
        <f>Strategy3</f>
        <v>Objetivo estratégico 3: Aumentar la disponibilidad y el acceso a alimentos nutritivos de alto valor, seguros y diversificados</v>
      </c>
      <c r="H52" s="289">
        <f t="shared" si="10"/>
        <v>0.48643962659196316</v>
      </c>
      <c r="I52" s="323">
        <f>I118</f>
        <v>140428132200</v>
      </c>
      <c r="J52" s="52">
        <f>J118</f>
        <v>35960130000</v>
      </c>
      <c r="K52" s="52">
        <f t="shared" ref="K52:N52" si="12">K118</f>
        <v>67991092200</v>
      </c>
      <c r="L52" s="52">
        <f t="shared" si="12"/>
        <v>34226910000</v>
      </c>
      <c r="M52" s="52">
        <f t="shared" si="12"/>
        <v>1125000000</v>
      </c>
      <c r="N52" s="52">
        <f t="shared" si="12"/>
        <v>1125000000</v>
      </c>
    </row>
    <row r="53" spans="6:14" ht="12" x14ac:dyDescent="0.2">
      <c r="F53" t="str">
        <f>Strategy4</f>
        <v>Objetivo estratégico 4: Fortalecer la protección social, la resiliencia de la respuesta a las emergencias y los desastres naturales.</v>
      </c>
      <c r="H53" s="289">
        <f t="shared" si="10"/>
        <v>0.1165036925716869</v>
      </c>
      <c r="I53" s="323">
        <f>I124</f>
        <v>33632942400</v>
      </c>
      <c r="J53" s="52">
        <f>J124</f>
        <v>8046859500</v>
      </c>
      <c r="K53" s="52">
        <f t="shared" ref="K53:N53" si="13">K124</f>
        <v>14186543400</v>
      </c>
      <c r="L53" s="52">
        <f t="shared" si="13"/>
        <v>7979539500</v>
      </c>
      <c r="M53" s="52">
        <f t="shared" si="13"/>
        <v>1710000000</v>
      </c>
      <c r="N53" s="52">
        <f t="shared" si="13"/>
        <v>1710000000</v>
      </c>
    </row>
    <row r="54" spans="6:14" ht="12" x14ac:dyDescent="0.2">
      <c r="F54" t="str">
        <f>Strategy5</f>
        <v xml:space="preserve">Objetivo estratégico 5: Promoción de prácticas favorables a una nutrición óptima, de higiene y saneamiento básico. </v>
      </c>
      <c r="H54" s="289">
        <f t="shared" si="10"/>
        <v>0.11561619291992037</v>
      </c>
      <c r="I54" s="323">
        <f>I130</f>
        <v>33376734000</v>
      </c>
      <c r="J54" s="52">
        <f>J130</f>
        <v>7330246200</v>
      </c>
      <c r="K54" s="52">
        <f t="shared" ref="K54:N54" si="14">K130</f>
        <v>7175516400</v>
      </c>
      <c r="L54" s="52">
        <f t="shared" si="14"/>
        <v>6630971400</v>
      </c>
      <c r="M54" s="52">
        <f t="shared" si="14"/>
        <v>6120000000</v>
      </c>
      <c r="N54" s="52">
        <f t="shared" si="14"/>
        <v>6120000000</v>
      </c>
    </row>
    <row r="55" spans="6:14" ht="12" x14ac:dyDescent="0.2">
      <c r="F55" t="str">
        <f>Strategy6</f>
        <v>Objetivo estratégico 6: [No está en uso]</v>
      </c>
      <c r="H55" s="289">
        <f t="shared" si="10"/>
        <v>0</v>
      </c>
      <c r="I55" s="323">
        <f>I136</f>
        <v>0</v>
      </c>
      <c r="J55" s="52">
        <f>J136</f>
        <v>0</v>
      </c>
      <c r="K55" s="52">
        <f t="shared" ref="K55:N55" si="15">K136</f>
        <v>0</v>
      </c>
      <c r="L55" s="52">
        <f t="shared" si="15"/>
        <v>0</v>
      </c>
      <c r="M55" s="52">
        <f t="shared" si="15"/>
        <v>0</v>
      </c>
      <c r="N55" s="52">
        <f t="shared" si="15"/>
        <v>0</v>
      </c>
    </row>
    <row r="56" spans="6:14" ht="12" x14ac:dyDescent="0.2">
      <c r="F56" t="str">
        <f>Strategy7</f>
        <v>Objetivo estratégico 7: [No está en uso]</v>
      </c>
      <c r="H56" s="289">
        <f t="shared" si="10"/>
        <v>0</v>
      </c>
      <c r="I56" s="323">
        <f>I142</f>
        <v>0</v>
      </c>
      <c r="J56" s="52">
        <f>J142</f>
        <v>0</v>
      </c>
      <c r="K56" s="52">
        <f t="shared" ref="K56:N56" si="16">K142</f>
        <v>0</v>
      </c>
      <c r="L56" s="52">
        <f t="shared" si="16"/>
        <v>0</v>
      </c>
      <c r="M56" s="52">
        <f t="shared" si="16"/>
        <v>0</v>
      </c>
      <c r="N56" s="52">
        <f t="shared" si="16"/>
        <v>0</v>
      </c>
    </row>
    <row r="57" spans="6:14" ht="12" x14ac:dyDescent="0.2">
      <c r="F57" t="str">
        <f>Strategy8</f>
        <v>Objetivo estratégico 8: [No está en uso]</v>
      </c>
      <c r="H57" s="289">
        <f t="shared" si="10"/>
        <v>0</v>
      </c>
      <c r="I57" s="323">
        <f>I148</f>
        <v>0</v>
      </c>
      <c r="J57" s="52">
        <f>J148</f>
        <v>0</v>
      </c>
      <c r="K57" s="52">
        <f t="shared" ref="K57:N57" si="17">K148</f>
        <v>0</v>
      </c>
      <c r="L57" s="52">
        <f t="shared" si="17"/>
        <v>0</v>
      </c>
      <c r="M57" s="52">
        <f t="shared" si="17"/>
        <v>0</v>
      </c>
      <c r="N57" s="52">
        <f t="shared" si="17"/>
        <v>0</v>
      </c>
    </row>
    <row r="58" spans="6:14" ht="12" x14ac:dyDescent="0.2">
      <c r="F58" t="str">
        <f>Strategy9</f>
        <v>Objetivo estratégico 9: [No está en uso]</v>
      </c>
      <c r="H58" s="289">
        <f t="shared" si="10"/>
        <v>0</v>
      </c>
      <c r="I58" s="323">
        <f>I154</f>
        <v>0</v>
      </c>
      <c r="J58" s="52">
        <f>J154</f>
        <v>0</v>
      </c>
      <c r="K58" s="52">
        <f t="shared" ref="K58:N58" si="18">K154</f>
        <v>0</v>
      </c>
      <c r="L58" s="52">
        <f t="shared" si="18"/>
        <v>0</v>
      </c>
      <c r="M58" s="52">
        <f t="shared" si="18"/>
        <v>0</v>
      </c>
      <c r="N58" s="52">
        <f t="shared" si="18"/>
        <v>0</v>
      </c>
    </row>
    <row r="59" spans="6:14" ht="12" x14ac:dyDescent="0.2">
      <c r="F59" t="str">
        <f>Strategy10</f>
        <v>Objetivo estratégico 10: [No está en uso]</v>
      </c>
      <c r="H59" s="289">
        <f t="shared" si="10"/>
        <v>0</v>
      </c>
      <c r="I59" s="323">
        <f>I160</f>
        <v>0</v>
      </c>
      <c r="J59" s="52">
        <f>J160</f>
        <v>0</v>
      </c>
      <c r="K59" s="52">
        <f t="shared" ref="K59:N59" si="19">K160</f>
        <v>0</v>
      </c>
      <c r="L59" s="52">
        <f t="shared" si="19"/>
        <v>0</v>
      </c>
      <c r="M59" s="52">
        <f t="shared" si="19"/>
        <v>0</v>
      </c>
      <c r="N59" s="52">
        <f t="shared" si="19"/>
        <v>0</v>
      </c>
    </row>
    <row r="60" spans="6:14" ht="12" x14ac:dyDescent="0.2">
      <c r="F60" s="324" t="str">
        <f>"TOTAL - "&amp;Summary_Partner_Contributions!$F$12&amp;" ("&amp;CURR_LCU_ABBR&amp;")"</f>
        <v>TOTAL - TODAS las contribuciones de los socios (GOZ)</v>
      </c>
      <c r="G60" s="74"/>
      <c r="H60" s="291">
        <f t="shared" si="10"/>
        <v>1</v>
      </c>
      <c r="I60" s="57">
        <f>SUM(I50:I59)</f>
        <v>288685634400</v>
      </c>
      <c r="J60" s="55">
        <f>SUM(J50:J59)</f>
        <v>68669215200</v>
      </c>
      <c r="K60" s="55">
        <f t="shared" ref="K60:N60" si="20">SUM(K50:K59)</f>
        <v>112722328800</v>
      </c>
      <c r="L60" s="55">
        <f t="shared" si="20"/>
        <v>66117290400</v>
      </c>
      <c r="M60" s="55">
        <f t="shared" si="20"/>
        <v>20597400000</v>
      </c>
      <c r="N60" s="55">
        <f t="shared" si="20"/>
        <v>20579400000</v>
      </c>
    </row>
    <row r="63" spans="6:14" ht="12" x14ac:dyDescent="0.2">
      <c r="F63" s="148" t="str">
        <f>"Contributions - "&amp;CURR_INT_ABBR</f>
        <v>Contributions - USD</v>
      </c>
    </row>
    <row r="64" spans="6:14" ht="12" x14ac:dyDescent="0.2">
      <c r="F64" s="148"/>
      <c r="H64" s="136" t="s">
        <v>548</v>
      </c>
      <c r="I64" s="145" t="s">
        <v>106</v>
      </c>
      <c r="J64" s="56" t="str">
        <f>CURR_INT_ABBR</f>
        <v>USD</v>
      </c>
      <c r="K64" s="56" t="str">
        <f>CURR_INT_ABBR</f>
        <v>USD</v>
      </c>
      <c r="L64" s="56" t="str">
        <f>CURR_INT_ABBR</f>
        <v>USD</v>
      </c>
      <c r="M64" s="56" t="str">
        <f>CURR_INT_ABBR</f>
        <v>USD</v>
      </c>
      <c r="N64" s="56" t="str">
        <f>CURR_INT_ABBR</f>
        <v>USD</v>
      </c>
    </row>
    <row r="65" spans="1:14" ht="12" x14ac:dyDescent="0.2">
      <c r="F65" t="str">
        <f>Strategy1</f>
        <v>Objetivo estratégico 1: Fortalecer la gobernanza de la nutrición</v>
      </c>
      <c r="H65" s="289">
        <f>I65/I$75</f>
        <v>1.2718122284230988E-2</v>
      </c>
      <c r="I65" s="78">
        <f t="shared" ref="I65:N75" si="21">I50/EXCHANGE_RATE</f>
        <v>2039744</v>
      </c>
      <c r="J65" s="76">
        <f t="shared" si="21"/>
        <v>490823</v>
      </c>
      <c r="K65" s="76">
        <f t="shared" si="21"/>
        <v>776048</v>
      </c>
      <c r="L65" s="76">
        <f t="shared" si="21"/>
        <v>451873</v>
      </c>
      <c r="M65" s="76">
        <f t="shared" si="21"/>
        <v>163000</v>
      </c>
      <c r="N65" s="76">
        <f t="shared" si="21"/>
        <v>158000</v>
      </c>
    </row>
    <row r="66" spans="1:14" ht="12" x14ac:dyDescent="0.2">
      <c r="F66" t="str">
        <f>Strategy2</f>
        <v>Objetivo estratégico 2: Fortalecer el acceso al tratamiento y a los servicios de salud y nutrición de calidad, así como al tratamiento de todas las formas de malnutrición</v>
      </c>
      <c r="H66" s="289">
        <f t="shared" ref="H66:H75" si="22">I66/I$75</f>
        <v>0.26872236563219859</v>
      </c>
      <c r="I66" s="77">
        <f t="shared" si="21"/>
        <v>43097937</v>
      </c>
      <c r="J66" s="76">
        <f t="shared" si="21"/>
        <v>9138054.5</v>
      </c>
      <c r="K66" s="76">
        <f t="shared" si="21"/>
        <v>12206828</v>
      </c>
      <c r="L66" s="76">
        <f t="shared" si="21"/>
        <v>9148054.5</v>
      </c>
      <c r="M66" s="76">
        <f t="shared" si="21"/>
        <v>6305000</v>
      </c>
      <c r="N66" s="76">
        <f t="shared" si="21"/>
        <v>6300000</v>
      </c>
    </row>
    <row r="67" spans="1:14" ht="12" x14ac:dyDescent="0.2">
      <c r="F67" t="str">
        <f>Strategy3</f>
        <v>Objetivo estratégico 3: Aumentar la disponibilidad y el acceso a alimentos nutritivos de alto valor, seguros y diversificados</v>
      </c>
      <c r="H67" s="289">
        <f t="shared" si="22"/>
        <v>0.48643962659196316</v>
      </c>
      <c r="I67" s="77">
        <f t="shared" si="21"/>
        <v>78015629</v>
      </c>
      <c r="J67" s="76">
        <f t="shared" si="21"/>
        <v>19977850</v>
      </c>
      <c r="K67" s="76">
        <f t="shared" si="21"/>
        <v>37772829</v>
      </c>
      <c r="L67" s="76">
        <f t="shared" si="21"/>
        <v>19014950</v>
      </c>
      <c r="M67" s="76">
        <f t="shared" si="21"/>
        <v>625000</v>
      </c>
      <c r="N67" s="76">
        <f t="shared" si="21"/>
        <v>625000</v>
      </c>
    </row>
    <row r="68" spans="1:14" ht="12" x14ac:dyDescent="0.2">
      <c r="F68" t="str">
        <f>Strategy4</f>
        <v>Objetivo estratégico 4: Fortalecer la protección social, la resiliencia de la respuesta a las emergencias y los desastres naturales.</v>
      </c>
      <c r="H68" s="289">
        <f t="shared" si="22"/>
        <v>0.1165036925716869</v>
      </c>
      <c r="I68" s="77">
        <f t="shared" si="21"/>
        <v>18684968</v>
      </c>
      <c r="J68" s="76">
        <f t="shared" si="21"/>
        <v>4470477.5</v>
      </c>
      <c r="K68" s="76">
        <f t="shared" si="21"/>
        <v>7881413</v>
      </c>
      <c r="L68" s="76">
        <f t="shared" si="21"/>
        <v>4433077.5</v>
      </c>
      <c r="M68" s="76">
        <f t="shared" si="21"/>
        <v>950000</v>
      </c>
      <c r="N68" s="76">
        <f t="shared" si="21"/>
        <v>950000</v>
      </c>
    </row>
    <row r="69" spans="1:14" ht="12" x14ac:dyDescent="0.2">
      <c r="F69" t="str">
        <f>Strategy5</f>
        <v xml:space="preserve">Objetivo estratégico 5: Promoción de prácticas favorables a una nutrición óptima, de higiene y saneamiento básico. </v>
      </c>
      <c r="H69" s="289">
        <f t="shared" si="22"/>
        <v>0.11561619291992037</v>
      </c>
      <c r="I69" s="77">
        <f t="shared" si="21"/>
        <v>18542630</v>
      </c>
      <c r="J69" s="76">
        <f t="shared" si="21"/>
        <v>4072359</v>
      </c>
      <c r="K69" s="76">
        <f t="shared" si="21"/>
        <v>3986398</v>
      </c>
      <c r="L69" s="76">
        <f t="shared" si="21"/>
        <v>3683873</v>
      </c>
      <c r="M69" s="76">
        <f t="shared" si="21"/>
        <v>3400000</v>
      </c>
      <c r="N69" s="76">
        <f t="shared" si="21"/>
        <v>3400000</v>
      </c>
    </row>
    <row r="70" spans="1:14" ht="12" x14ac:dyDescent="0.2">
      <c r="F70" t="str">
        <f>Strategy6</f>
        <v>Objetivo estratégico 6: [No está en uso]</v>
      </c>
      <c r="H70" s="289">
        <f t="shared" si="22"/>
        <v>0</v>
      </c>
      <c r="I70" s="77">
        <f t="shared" si="21"/>
        <v>0</v>
      </c>
      <c r="J70" s="76">
        <f t="shared" si="21"/>
        <v>0</v>
      </c>
      <c r="K70" s="76">
        <f t="shared" si="21"/>
        <v>0</v>
      </c>
      <c r="L70" s="76">
        <f t="shared" si="21"/>
        <v>0</v>
      </c>
      <c r="M70" s="76">
        <f t="shared" si="21"/>
        <v>0</v>
      </c>
      <c r="N70" s="76">
        <f t="shared" si="21"/>
        <v>0</v>
      </c>
    </row>
    <row r="71" spans="1:14" ht="12" x14ac:dyDescent="0.2">
      <c r="F71" t="str">
        <f>Strategy7</f>
        <v>Objetivo estratégico 7: [No está en uso]</v>
      </c>
      <c r="H71" s="289">
        <f t="shared" si="22"/>
        <v>0</v>
      </c>
      <c r="I71" s="77">
        <f t="shared" si="21"/>
        <v>0</v>
      </c>
      <c r="J71" s="76">
        <f t="shared" si="21"/>
        <v>0</v>
      </c>
      <c r="K71" s="76">
        <f t="shared" si="21"/>
        <v>0</v>
      </c>
      <c r="L71" s="76">
        <f t="shared" si="21"/>
        <v>0</v>
      </c>
      <c r="M71" s="76">
        <f t="shared" si="21"/>
        <v>0</v>
      </c>
      <c r="N71" s="76">
        <f t="shared" si="21"/>
        <v>0</v>
      </c>
    </row>
    <row r="72" spans="1:14" ht="12" x14ac:dyDescent="0.2">
      <c r="F72" t="str">
        <f>Strategy8</f>
        <v>Objetivo estratégico 8: [No está en uso]</v>
      </c>
      <c r="H72" s="289">
        <f t="shared" si="22"/>
        <v>0</v>
      </c>
      <c r="I72" s="77">
        <f t="shared" si="21"/>
        <v>0</v>
      </c>
      <c r="J72" s="76">
        <f t="shared" si="21"/>
        <v>0</v>
      </c>
      <c r="K72" s="76">
        <f t="shared" si="21"/>
        <v>0</v>
      </c>
      <c r="L72" s="76">
        <f t="shared" si="21"/>
        <v>0</v>
      </c>
      <c r="M72" s="76">
        <f t="shared" si="21"/>
        <v>0</v>
      </c>
      <c r="N72" s="76">
        <f t="shared" si="21"/>
        <v>0</v>
      </c>
    </row>
    <row r="73" spans="1:14" ht="12" x14ac:dyDescent="0.2">
      <c r="F73" t="str">
        <f>Strategy9</f>
        <v>Objetivo estratégico 9: [No está en uso]</v>
      </c>
      <c r="H73" s="289">
        <f t="shared" si="22"/>
        <v>0</v>
      </c>
      <c r="I73" s="77">
        <f t="shared" si="21"/>
        <v>0</v>
      </c>
      <c r="J73" s="76">
        <f t="shared" si="21"/>
        <v>0</v>
      </c>
      <c r="K73" s="76">
        <f t="shared" si="21"/>
        <v>0</v>
      </c>
      <c r="L73" s="76">
        <f t="shared" si="21"/>
        <v>0</v>
      </c>
      <c r="M73" s="76">
        <f t="shared" si="21"/>
        <v>0</v>
      </c>
      <c r="N73" s="76">
        <f t="shared" si="21"/>
        <v>0</v>
      </c>
    </row>
    <row r="74" spans="1:14" ht="12" x14ac:dyDescent="0.2">
      <c r="F74" t="str">
        <f>Strategy10</f>
        <v>Objetivo estratégico 10: [No está en uso]</v>
      </c>
      <c r="H74" s="289">
        <f t="shared" si="22"/>
        <v>0</v>
      </c>
      <c r="I74" s="77">
        <f t="shared" si="21"/>
        <v>0</v>
      </c>
      <c r="J74" s="76">
        <f t="shared" si="21"/>
        <v>0</v>
      </c>
      <c r="K74" s="76">
        <f t="shared" si="21"/>
        <v>0</v>
      </c>
      <c r="L74" s="76">
        <f t="shared" si="21"/>
        <v>0</v>
      </c>
      <c r="M74" s="76">
        <f t="shared" si="21"/>
        <v>0</v>
      </c>
      <c r="N74" s="76">
        <f t="shared" si="21"/>
        <v>0</v>
      </c>
    </row>
    <row r="75" spans="1:14" ht="12" x14ac:dyDescent="0.2">
      <c r="F75" s="324" t="str">
        <f>"TOTAL - "&amp;Summary_Partner_Contributions!$F$12&amp;" ("&amp;CURR_INT_ABBR&amp;")"</f>
        <v>TOTAL - TODAS las contribuciones de los socios (USD)</v>
      </c>
      <c r="G75" s="74"/>
      <c r="H75" s="291">
        <f t="shared" si="22"/>
        <v>1</v>
      </c>
      <c r="I75" s="78">
        <f t="shared" si="21"/>
        <v>160380908</v>
      </c>
      <c r="J75" s="79">
        <f t="shared" si="21"/>
        <v>38149564</v>
      </c>
      <c r="K75" s="79">
        <f t="shared" si="21"/>
        <v>62623516</v>
      </c>
      <c r="L75" s="79">
        <f t="shared" si="21"/>
        <v>36731828</v>
      </c>
      <c r="M75" s="79">
        <f t="shared" si="21"/>
        <v>11443000</v>
      </c>
      <c r="N75" s="79">
        <f t="shared" si="21"/>
        <v>11433000</v>
      </c>
    </row>
    <row r="78" spans="1:14" x14ac:dyDescent="0.2">
      <c r="A78" s="35" t="s">
        <v>77</v>
      </c>
      <c r="B78" s="1" t="s">
        <v>487</v>
      </c>
      <c r="C78" s="1"/>
      <c r="D78" s="1"/>
      <c r="E78" s="1"/>
      <c r="F78" s="1"/>
      <c r="G78" s="1"/>
      <c r="H78" s="1"/>
      <c r="I78" s="1"/>
      <c r="J78" s="1"/>
      <c r="K78" s="1"/>
      <c r="L78" s="1"/>
      <c r="M78" s="1"/>
      <c r="N78" s="1"/>
    </row>
    <row r="80" spans="1:14" ht="12" x14ac:dyDescent="0.2">
      <c r="F80" s="148" t="str">
        <f>"Contributions - "&amp;CURR_LCU_ABBR</f>
        <v>Contributions - GOZ</v>
      </c>
    </row>
    <row r="81" spans="1:14" ht="12" x14ac:dyDescent="0.2">
      <c r="H81" s="136" t="s">
        <v>548</v>
      </c>
      <c r="I81" s="145" t="s">
        <v>106</v>
      </c>
      <c r="J81" s="56" t="str">
        <f>CURR_LCU_ABBR</f>
        <v>GOZ</v>
      </c>
      <c r="K81" s="56" t="str">
        <f>CURR_LCU_ABBR</f>
        <v>GOZ</v>
      </c>
      <c r="L81" s="56" t="str">
        <f>CURR_LCU_ABBR</f>
        <v>GOZ</v>
      </c>
      <c r="M81" s="56" t="str">
        <f>CURR_LCU_ABBR</f>
        <v>GOZ</v>
      </c>
      <c r="N81" s="56" t="str">
        <f>CURR_LCU_ABBR</f>
        <v>GOZ</v>
      </c>
    </row>
    <row r="82" spans="1:14" ht="12" x14ac:dyDescent="0.2">
      <c r="F82" t="str">
        <f>Lu_Nutrition_Specific</f>
        <v>Nutrition-specific</v>
      </c>
      <c r="H82" s="289">
        <f ca="1">I82/I$85</f>
        <v>0.77372151428398195</v>
      </c>
      <c r="I82" s="68">
        <f t="shared" ref="I82:N82" ca="1" si="23">SUMIF($H$101:$H$160,Lu_Nutrition_Specific,I$101:I$160)</f>
        <v>223362286200</v>
      </c>
      <c r="J82" s="325">
        <f t="shared" ca="1" si="23"/>
        <v>53248696200</v>
      </c>
      <c r="K82" s="325">
        <f t="shared" ca="1" si="23"/>
        <v>85092708600</v>
      </c>
      <c r="L82" s="325">
        <f t="shared" ca="1" si="23"/>
        <v>50766881400</v>
      </c>
      <c r="M82" s="325">
        <f t="shared" ca="1" si="23"/>
        <v>17127000000</v>
      </c>
      <c r="N82" s="325">
        <f t="shared" ca="1" si="23"/>
        <v>17127000000</v>
      </c>
    </row>
    <row r="83" spans="1:14" ht="12" x14ac:dyDescent="0.2">
      <c r="F83" t="str">
        <f>Lu_Nutrition_Sensitive</f>
        <v>Nutrition-sensitive</v>
      </c>
      <c r="H83" s="289">
        <f t="shared" ref="H83:H85" ca="1" si="24">I83/I$85</f>
        <v>0.21356036343178703</v>
      </c>
      <c r="I83" s="69">
        <f t="shared" ref="I83:N83" ca="1" si="25">SUMIF($H$101:$H$160,Lu_Nutrition_Sensitive,I$101:I$160)</f>
        <v>61651809000</v>
      </c>
      <c r="J83" s="325">
        <f t="shared" ca="1" si="25"/>
        <v>14537037600</v>
      </c>
      <c r="K83" s="325">
        <f t="shared" ca="1" si="25"/>
        <v>26232733800</v>
      </c>
      <c r="L83" s="325">
        <f t="shared" ca="1" si="25"/>
        <v>14537037600</v>
      </c>
      <c r="M83" s="325">
        <f t="shared" ca="1" si="25"/>
        <v>3177000000</v>
      </c>
      <c r="N83" s="325">
        <f t="shared" ca="1" si="25"/>
        <v>3168000000</v>
      </c>
    </row>
    <row r="84" spans="1:14" ht="12" x14ac:dyDescent="0.2">
      <c r="F84" t="str">
        <f>Lu_Governance</f>
        <v>Governance</v>
      </c>
      <c r="H84" s="289">
        <f t="shared" ca="1" si="24"/>
        <v>1.2718122284230988E-2</v>
      </c>
      <c r="I84" s="69">
        <f t="shared" ref="I84:N84" ca="1" si="26">SUMIF($H$101:$H$160,Lu_Governance,I$101:I$160)</f>
        <v>3671539200</v>
      </c>
      <c r="J84" s="325">
        <f t="shared" ca="1" si="26"/>
        <v>883481400</v>
      </c>
      <c r="K84" s="325">
        <f t="shared" ca="1" si="26"/>
        <v>1396886400</v>
      </c>
      <c r="L84" s="325">
        <f t="shared" ca="1" si="26"/>
        <v>813371400</v>
      </c>
      <c r="M84" s="325">
        <f t="shared" ca="1" si="26"/>
        <v>293400000</v>
      </c>
      <c r="N84" s="325">
        <f t="shared" ca="1" si="26"/>
        <v>284400000</v>
      </c>
    </row>
    <row r="85" spans="1:14" ht="12" x14ac:dyDescent="0.2">
      <c r="F85" s="324" t="str">
        <f>"TOTAL - "&amp;Summary_Partner_Contributions!$F$12&amp;" ("&amp;CURR_LCU_ABBR&amp;")"</f>
        <v>TOTAL - TODAS las contribuciones de los socios (GOZ)</v>
      </c>
      <c r="G85" s="74"/>
      <c r="H85" s="291">
        <f t="shared" ca="1" si="24"/>
        <v>1</v>
      </c>
      <c r="I85" s="57">
        <f ca="1">SUM(I82:I84)</f>
        <v>288685634400</v>
      </c>
      <c r="J85" s="55">
        <f ca="1">SUM(J82:J84)</f>
        <v>68669215200</v>
      </c>
      <c r="K85" s="55">
        <f t="shared" ref="K85:N85" ca="1" si="27">SUM(K82:K84)</f>
        <v>112722328800</v>
      </c>
      <c r="L85" s="55">
        <f t="shared" ca="1" si="27"/>
        <v>66117290400</v>
      </c>
      <c r="M85" s="55">
        <f t="shared" ca="1" si="27"/>
        <v>20597400000</v>
      </c>
      <c r="N85" s="55">
        <f t="shared" ca="1" si="27"/>
        <v>20579400000</v>
      </c>
    </row>
    <row r="88" spans="1:14" ht="12" x14ac:dyDescent="0.2">
      <c r="F88" s="148" t="str">
        <f>"Contributions - "&amp;CURR_INT_ABBR</f>
        <v>Contributions - USD</v>
      </c>
    </row>
    <row r="89" spans="1:14" ht="12" x14ac:dyDescent="0.2">
      <c r="F89" s="148"/>
      <c r="H89" s="51" t="s">
        <v>548</v>
      </c>
      <c r="I89" s="145" t="s">
        <v>106</v>
      </c>
      <c r="J89" s="56" t="str">
        <f>CURR_INT_ABBR</f>
        <v>USD</v>
      </c>
      <c r="K89" s="56" t="str">
        <f>CURR_INT_ABBR</f>
        <v>USD</v>
      </c>
      <c r="L89" s="56" t="str">
        <f>CURR_INT_ABBR</f>
        <v>USD</v>
      </c>
      <c r="M89" s="56" t="str">
        <f>CURR_INT_ABBR</f>
        <v>USD</v>
      </c>
      <c r="N89" s="56" t="str">
        <f>CURR_INT_ABBR</f>
        <v>USD</v>
      </c>
    </row>
    <row r="90" spans="1:14" ht="12" x14ac:dyDescent="0.2">
      <c r="F90" t="str">
        <f>Lu_Nutrition_Specific</f>
        <v>Nutrition-specific</v>
      </c>
      <c r="H90" s="289">
        <f ca="1">I90/I$93</f>
        <v>0.77372151428398195</v>
      </c>
      <c r="I90" s="295">
        <f t="shared" ref="I90:N93" ca="1" si="28">I82/EXCHANGE_RATE</f>
        <v>124090159</v>
      </c>
      <c r="J90" s="329">
        <f t="shared" ca="1" si="28"/>
        <v>29582609</v>
      </c>
      <c r="K90" s="329">
        <f t="shared" ca="1" si="28"/>
        <v>47273727</v>
      </c>
      <c r="L90" s="329">
        <f t="shared" ca="1" si="28"/>
        <v>28203823</v>
      </c>
      <c r="M90" s="329">
        <f t="shared" ca="1" si="28"/>
        <v>9515000</v>
      </c>
      <c r="N90" s="329">
        <f t="shared" ca="1" si="28"/>
        <v>9515000</v>
      </c>
    </row>
    <row r="91" spans="1:14" ht="12" x14ac:dyDescent="0.2">
      <c r="F91" t="str">
        <f>Lu_Nutrition_Sensitive</f>
        <v>Nutrition-sensitive</v>
      </c>
      <c r="H91" s="289">
        <f ca="1">I91/I$93</f>
        <v>0.21356036343178703</v>
      </c>
      <c r="I91" s="120">
        <f t="shared" ca="1" si="28"/>
        <v>34251005</v>
      </c>
      <c r="J91" s="329">
        <f t="shared" ca="1" si="28"/>
        <v>8076132</v>
      </c>
      <c r="K91" s="329">
        <f t="shared" ca="1" si="28"/>
        <v>14573741</v>
      </c>
      <c r="L91" s="329">
        <f t="shared" ca="1" si="28"/>
        <v>8076132</v>
      </c>
      <c r="M91" s="329">
        <f t="shared" ca="1" si="28"/>
        <v>1765000</v>
      </c>
      <c r="N91" s="329">
        <f t="shared" ca="1" si="28"/>
        <v>1760000</v>
      </c>
    </row>
    <row r="92" spans="1:14" ht="12" x14ac:dyDescent="0.2">
      <c r="F92" t="str">
        <f>Lu_Governance</f>
        <v>Governance</v>
      </c>
      <c r="H92" s="289">
        <f ca="1">I92/I$93</f>
        <v>1.2718122284230988E-2</v>
      </c>
      <c r="I92" s="120">
        <f t="shared" ca="1" si="28"/>
        <v>2039744</v>
      </c>
      <c r="J92" s="329">
        <f t="shared" ca="1" si="28"/>
        <v>490823</v>
      </c>
      <c r="K92" s="329">
        <f t="shared" ca="1" si="28"/>
        <v>776048</v>
      </c>
      <c r="L92" s="329">
        <f t="shared" ca="1" si="28"/>
        <v>451873</v>
      </c>
      <c r="M92" s="329">
        <f t="shared" ca="1" si="28"/>
        <v>163000</v>
      </c>
      <c r="N92" s="329">
        <f t="shared" ca="1" si="28"/>
        <v>158000</v>
      </c>
    </row>
    <row r="93" spans="1:14" ht="12" x14ac:dyDescent="0.2">
      <c r="F93" s="324" t="str">
        <f>"TOTAL - "&amp;Summary_Partner_Contributions!$F$12&amp;" ("&amp;CURR_INT_ABBR&amp;")"</f>
        <v>TOTAL - TODAS las contribuciones de los socios (USD)</v>
      </c>
      <c r="G93" s="74"/>
      <c r="H93" s="291">
        <f ca="1">I93/I$93</f>
        <v>1</v>
      </c>
      <c r="I93" s="295">
        <f t="shared" ca="1" si="28"/>
        <v>160380908</v>
      </c>
      <c r="J93" s="122">
        <f t="shared" ca="1" si="28"/>
        <v>38149564</v>
      </c>
      <c r="K93" s="122">
        <f t="shared" ca="1" si="28"/>
        <v>62623516</v>
      </c>
      <c r="L93" s="122">
        <f t="shared" ca="1" si="28"/>
        <v>36731828</v>
      </c>
      <c r="M93" s="122">
        <f t="shared" ca="1" si="28"/>
        <v>11443000</v>
      </c>
      <c r="N93" s="122">
        <f t="shared" ca="1" si="28"/>
        <v>11433000</v>
      </c>
    </row>
    <row r="94" spans="1:14" ht="12" x14ac:dyDescent="0.2">
      <c r="F94" s="327"/>
      <c r="G94" s="50"/>
      <c r="H94" s="328"/>
      <c r="I94" s="326"/>
      <c r="J94" s="326"/>
      <c r="K94" s="326"/>
      <c r="L94" s="326"/>
      <c r="M94" s="326"/>
      <c r="N94" s="326"/>
    </row>
    <row r="96" spans="1:14" x14ac:dyDescent="0.2">
      <c r="A96" s="35" t="s">
        <v>77</v>
      </c>
      <c r="B96" s="1" t="s">
        <v>416</v>
      </c>
      <c r="C96" s="1"/>
      <c r="D96" s="1"/>
      <c r="E96" s="1"/>
      <c r="F96" s="1"/>
      <c r="G96" s="1"/>
      <c r="H96" s="1"/>
      <c r="I96" s="1"/>
      <c r="J96" s="1"/>
      <c r="K96" s="1"/>
      <c r="L96" s="1"/>
      <c r="M96" s="1"/>
      <c r="N96" s="1"/>
    </row>
    <row r="98" spans="5:14" ht="15.6" x14ac:dyDescent="0.2">
      <c r="E98" s="86" t="str">
        <f>CURR_LCU_ABBR</f>
        <v>GOZ</v>
      </c>
    </row>
    <row r="100" spans="5:14" ht="12" x14ac:dyDescent="0.2">
      <c r="F100" s="1" t="s">
        <v>389</v>
      </c>
      <c r="G100" s="1" t="s">
        <v>399</v>
      </c>
      <c r="H100" s="1" t="s">
        <v>387</v>
      </c>
      <c r="I100" s="297" t="s">
        <v>106</v>
      </c>
      <c r="J100" s="298" t="str">
        <f>CURR_LCU_ABBR</f>
        <v>GOZ</v>
      </c>
      <c r="K100" s="298" t="str">
        <f>CURR_LCU_ABBR</f>
        <v>GOZ</v>
      </c>
      <c r="L100" s="298" t="str">
        <f>CURR_LCU_ABBR</f>
        <v>GOZ</v>
      </c>
      <c r="M100" s="298" t="str">
        <f>CURR_LCU_ABBR</f>
        <v>GOZ</v>
      </c>
      <c r="N100" s="298" t="str">
        <f>CURR_LCU_ABBR</f>
        <v>GOZ</v>
      </c>
    </row>
    <row r="101" spans="5:14" ht="22.8" x14ac:dyDescent="0.2">
      <c r="F101" s="447" t="str">
        <f>Strategy1</f>
        <v>Objetivo estratégico 1: Fortalecer la gobernanza de la nutrición</v>
      </c>
      <c r="G101" s="42" t="str">
        <f>STRAT1_IND1</f>
        <v>Se refuerza la coordinación multisectorial en materia de nutrición</v>
      </c>
      <c r="H101" s="260" t="str">
        <f ca="1">OFFSET(Variables_Lu!$D$10,Basic_Setup!H34,0)</f>
        <v>Governance</v>
      </c>
      <c r="I101" s="238">
        <f t="shared" ref="I101:N110" si="29">I168*EXCHANGE_RATE</f>
        <v>3582619200</v>
      </c>
      <c r="J101" s="241">
        <f t="shared" si="29"/>
        <v>847661400</v>
      </c>
      <c r="K101" s="242">
        <f t="shared" si="29"/>
        <v>1361066400</v>
      </c>
      <c r="L101" s="242">
        <f t="shared" si="29"/>
        <v>807611400</v>
      </c>
      <c r="M101" s="242">
        <f t="shared" si="29"/>
        <v>287640000</v>
      </c>
      <c r="N101" s="242">
        <f t="shared" si="29"/>
        <v>278640000</v>
      </c>
    </row>
    <row r="102" spans="5:14" ht="34.200000000000003" x14ac:dyDescent="0.2">
      <c r="F102" s="447"/>
      <c r="G102" s="42" t="str">
        <f>STRAT1_IND2</f>
        <v>Está en funcionamiento el sistema multisectorial de información sobre nutrición para la adopción de decisiones eficaces.</v>
      </c>
      <c r="H102" s="260" t="str">
        <f ca="1">OFFSET(Variables_Lu!$D$10,Basic_Setup!H35,0)</f>
        <v>Governance</v>
      </c>
      <c r="I102" s="238">
        <f t="shared" si="29"/>
        <v>67320000</v>
      </c>
      <c r="J102" s="234">
        <f t="shared" si="29"/>
        <v>31500000</v>
      </c>
      <c r="K102" s="220">
        <f t="shared" si="29"/>
        <v>31500000</v>
      </c>
      <c r="L102" s="220">
        <f t="shared" si="29"/>
        <v>1440000</v>
      </c>
      <c r="M102" s="220">
        <f t="shared" si="29"/>
        <v>1440000</v>
      </c>
      <c r="N102" s="220">
        <f t="shared" si="29"/>
        <v>1440000</v>
      </c>
    </row>
    <row r="103" spans="5:14" ht="34.200000000000003" x14ac:dyDescent="0.2">
      <c r="F103" s="447"/>
      <c r="G103" s="42" t="str">
        <f>STRAT1_IND3</f>
        <v>La investigación en nutrición se utiliza para aclarar que la toma de decisiones se mejora y se refuerza.</v>
      </c>
      <c r="H103" s="260" t="str">
        <f ca="1">OFFSET(Variables_Lu!$D$10,Basic_Setup!H36,0)</f>
        <v>Governance</v>
      </c>
      <c r="I103" s="238">
        <f t="shared" si="29"/>
        <v>14400000</v>
      </c>
      <c r="J103" s="234">
        <f t="shared" si="29"/>
        <v>2880000</v>
      </c>
      <c r="K103" s="220">
        <f t="shared" si="29"/>
        <v>2880000</v>
      </c>
      <c r="L103" s="220">
        <f t="shared" si="29"/>
        <v>2880000</v>
      </c>
      <c r="M103" s="220">
        <f t="shared" si="29"/>
        <v>2880000</v>
      </c>
      <c r="N103" s="220">
        <f t="shared" si="29"/>
        <v>2880000</v>
      </c>
    </row>
    <row r="104" spans="5:14" ht="34.200000000000003" x14ac:dyDescent="0.2">
      <c r="F104" s="447"/>
      <c r="G104" s="41" t="str">
        <f>STRAT1_IND4</f>
        <v>El marco legislativo y reglamentario de la nutrición se ha fortalecido y está en funcionamiento.</v>
      </c>
      <c r="H104" s="260" t="str">
        <f ca="1">OFFSET(Variables_Lu!$D$10,Basic_Setup!H37,0)</f>
        <v>Governance</v>
      </c>
      <c r="I104" s="238">
        <f t="shared" si="29"/>
        <v>7200000</v>
      </c>
      <c r="J104" s="234">
        <f t="shared" si="29"/>
        <v>1440000</v>
      </c>
      <c r="K104" s="220">
        <f t="shared" si="29"/>
        <v>1440000</v>
      </c>
      <c r="L104" s="220">
        <f t="shared" si="29"/>
        <v>1440000</v>
      </c>
      <c r="M104" s="220">
        <f t="shared" si="29"/>
        <v>1440000</v>
      </c>
      <c r="N104" s="220">
        <f t="shared" si="29"/>
        <v>1440000</v>
      </c>
    </row>
    <row r="105" spans="5:14" ht="12" x14ac:dyDescent="0.2">
      <c r="F105" s="448"/>
      <c r="G105" s="41" t="str">
        <f>STRAT1_IND5</f>
        <v>Objetivo estratégico 1 Indicador 5</v>
      </c>
      <c r="H105" s="260" t="str">
        <f ca="1">OFFSET(Variables_Lu!$D$10,Basic_Setup!H38,0)</f>
        <v>Governance</v>
      </c>
      <c r="I105" s="238">
        <f t="shared" si="29"/>
        <v>0</v>
      </c>
      <c r="J105" s="235">
        <f t="shared" si="29"/>
        <v>0</v>
      </c>
      <c r="K105" s="232">
        <f t="shared" si="29"/>
        <v>0</v>
      </c>
      <c r="L105" s="232">
        <f t="shared" si="29"/>
        <v>0</v>
      </c>
      <c r="M105" s="232">
        <f t="shared" si="29"/>
        <v>0</v>
      </c>
      <c r="N105" s="232">
        <f t="shared" si="29"/>
        <v>0</v>
      </c>
    </row>
    <row r="106" spans="5:14" ht="12" x14ac:dyDescent="0.2">
      <c r="F106" s="38"/>
      <c r="G106" s="38"/>
      <c r="H106" s="152" t="s">
        <v>538</v>
      </c>
      <c r="I106" s="239">
        <f t="shared" si="29"/>
        <v>3671539200</v>
      </c>
      <c r="J106" s="233">
        <f t="shared" si="29"/>
        <v>883481400</v>
      </c>
      <c r="K106" s="233">
        <f t="shared" si="29"/>
        <v>1396886400</v>
      </c>
      <c r="L106" s="233">
        <f t="shared" si="29"/>
        <v>813371400</v>
      </c>
      <c r="M106" s="233">
        <f t="shared" si="29"/>
        <v>293400000</v>
      </c>
      <c r="N106" s="233">
        <f t="shared" si="29"/>
        <v>284400000</v>
      </c>
    </row>
    <row r="107" spans="5:14" ht="57" x14ac:dyDescent="0.2">
      <c r="F107" s="447" t="str">
        <f>Strategy2</f>
        <v>Objetivo estratégico 2: Fortalecer el acceso al tratamiento y a los servicios de salud y nutrición de calidad, así como al tratamiento de todas las formas de malnutrición</v>
      </c>
      <c r="G107" s="42" t="str">
        <f>STRAT2_IND1</f>
        <v>Se fortalece el acceso y la utilización sostenible de los servicios de salud y nutrición para los niños menores de 5 años, los adolescentes, las mujeres embarazadas y lactantes, y los demás grupos vulnerables</v>
      </c>
      <c r="H107" s="260" t="str">
        <f ca="1">OFFSET(Variables_Lu!$D$10,Basic_Setup!H40,0)</f>
        <v>Nutrition-specific</v>
      </c>
      <c r="I107" s="238">
        <f t="shared" si="29"/>
        <v>40554000000</v>
      </c>
      <c r="J107" s="234">
        <f t="shared" si="29"/>
        <v>8109000000</v>
      </c>
      <c r="K107" s="220">
        <f t="shared" si="29"/>
        <v>8118000000</v>
      </c>
      <c r="L107" s="220">
        <f t="shared" si="29"/>
        <v>8127000000</v>
      </c>
      <c r="M107" s="220">
        <f t="shared" si="29"/>
        <v>8100000000</v>
      </c>
      <c r="N107" s="220">
        <f t="shared" si="29"/>
        <v>8100000000</v>
      </c>
    </row>
    <row r="108" spans="5:14" ht="57" x14ac:dyDescent="0.2">
      <c r="F108" s="447"/>
      <c r="G108" s="42" t="str">
        <f>STRAT2_IND2</f>
        <v xml:space="preserve">Se reduce la prevalencia de enfermedades relacionadas con la prevalencia de la malnutrición (paludismo, diarrea, neumonía, parásitos intestinales, VIH, TNM) en lactantes, adolescentes y mujeres en edad reproductiva. </v>
      </c>
      <c r="H108" s="260" t="str">
        <f ca="1">OFFSET(Variables_Lu!$D$10,Basic_Setup!H41,0)</f>
        <v>Nutrition-sensitive</v>
      </c>
      <c r="I108" s="238">
        <f t="shared" si="29"/>
        <v>25322286600</v>
      </c>
      <c r="J108" s="234">
        <f t="shared" si="29"/>
        <v>5999498100</v>
      </c>
      <c r="K108" s="220">
        <f t="shared" si="29"/>
        <v>11514290400</v>
      </c>
      <c r="L108" s="220">
        <f t="shared" si="29"/>
        <v>5999498100</v>
      </c>
      <c r="M108" s="220">
        <f t="shared" si="29"/>
        <v>909000000</v>
      </c>
      <c r="N108" s="220">
        <f t="shared" si="29"/>
        <v>900000000</v>
      </c>
    </row>
    <row r="109" spans="5:14" ht="22.8" x14ac:dyDescent="0.2">
      <c r="F109" s="447"/>
      <c r="G109" s="42" t="str">
        <f>STRAT2_IND3</f>
        <v>Se refuerzan las intervenciones comunitarias en materia de nutrición.</v>
      </c>
      <c r="H109" s="260" t="str">
        <f ca="1">OFFSET(Variables_Lu!$D$10,Basic_Setup!H42,0)</f>
        <v>Nutrition-specific</v>
      </c>
      <c r="I109" s="238">
        <f t="shared" si="29"/>
        <v>11700000000</v>
      </c>
      <c r="J109" s="234">
        <f t="shared" si="29"/>
        <v>2340000000</v>
      </c>
      <c r="K109" s="220">
        <f t="shared" si="29"/>
        <v>2340000000</v>
      </c>
      <c r="L109" s="220">
        <f t="shared" si="29"/>
        <v>2340000000</v>
      </c>
      <c r="M109" s="220">
        <f t="shared" si="29"/>
        <v>2340000000</v>
      </c>
      <c r="N109" s="220">
        <f t="shared" si="29"/>
        <v>2340000000</v>
      </c>
    </row>
    <row r="110" spans="5:14" ht="12" x14ac:dyDescent="0.2">
      <c r="F110" s="447"/>
      <c r="G110" s="41" t="str">
        <f>STRAT2_IND4</f>
        <v>Objetivo estratégico 2 Indicador 4</v>
      </c>
      <c r="H110" s="260" t="str">
        <f ca="1">OFFSET(Variables_Lu!$D$10,Basic_Setup!H43,0)</f>
        <v>Nutrition-specific</v>
      </c>
      <c r="I110" s="238">
        <f t="shared" si="29"/>
        <v>0</v>
      </c>
      <c r="J110" s="234">
        <f t="shared" si="29"/>
        <v>0</v>
      </c>
      <c r="K110" s="220">
        <f t="shared" si="29"/>
        <v>0</v>
      </c>
      <c r="L110" s="220">
        <f t="shared" si="29"/>
        <v>0</v>
      </c>
      <c r="M110" s="220">
        <f t="shared" si="29"/>
        <v>0</v>
      </c>
      <c r="N110" s="220">
        <f t="shared" si="29"/>
        <v>0</v>
      </c>
    </row>
    <row r="111" spans="5:14" ht="12" x14ac:dyDescent="0.2">
      <c r="F111" s="448"/>
      <c r="G111" s="41" t="str">
        <f>STRAT2_IND5</f>
        <v>Objetivo estratégico 2 Indicador 5</v>
      </c>
      <c r="H111" s="260" t="str">
        <f ca="1">OFFSET(Variables_Lu!$D$10,Basic_Setup!H44,0)</f>
        <v>Nutrition-specific</v>
      </c>
      <c r="I111" s="238">
        <f t="shared" ref="I111:N120" si="30">I178*EXCHANGE_RATE</f>
        <v>0</v>
      </c>
      <c r="J111" s="234">
        <f t="shared" si="30"/>
        <v>0</v>
      </c>
      <c r="K111" s="220">
        <f t="shared" si="30"/>
        <v>0</v>
      </c>
      <c r="L111" s="220">
        <f t="shared" si="30"/>
        <v>0</v>
      </c>
      <c r="M111" s="220">
        <f t="shared" si="30"/>
        <v>0</v>
      </c>
      <c r="N111" s="220">
        <f t="shared" si="30"/>
        <v>0</v>
      </c>
    </row>
    <row r="112" spans="5:14" ht="12" x14ac:dyDescent="0.2">
      <c r="F112" s="38"/>
      <c r="G112" s="38"/>
      <c r="H112" s="152" t="s">
        <v>539</v>
      </c>
      <c r="I112" s="239">
        <f t="shared" si="30"/>
        <v>77576286600</v>
      </c>
      <c r="J112" s="233">
        <f t="shared" si="30"/>
        <v>16448498100</v>
      </c>
      <c r="K112" s="233">
        <f t="shared" si="30"/>
        <v>21972290400</v>
      </c>
      <c r="L112" s="233">
        <f t="shared" si="30"/>
        <v>16466498100</v>
      </c>
      <c r="M112" s="233">
        <f t="shared" si="30"/>
        <v>11349000000</v>
      </c>
      <c r="N112" s="233">
        <f t="shared" si="30"/>
        <v>11340000000</v>
      </c>
    </row>
    <row r="113" spans="6:14" ht="22.8" x14ac:dyDescent="0.2">
      <c r="F113" s="447" t="str">
        <f>Strategy3</f>
        <v>Objetivo estratégico 3: Aumentar la disponibilidad y el acceso a alimentos nutritivos de alto valor, seguros y diversificados</v>
      </c>
      <c r="G113" s="42" t="str">
        <f>STRAT3_IND1</f>
        <v xml:space="preserve">Aumenta la disponibilidad y el acceso a alimentos de alto valor nutritivo en los hogares. </v>
      </c>
      <c r="H113" s="260" t="str">
        <f ca="1">OFFSET(Variables_Lu!$D$10,Basic_Setup!H46,0)</f>
        <v>Nutrition-specific</v>
      </c>
      <c r="I113" s="238">
        <f t="shared" si="30"/>
        <v>140428132200</v>
      </c>
      <c r="J113" s="234">
        <f t="shared" si="30"/>
        <v>35960130000</v>
      </c>
      <c r="K113" s="220">
        <f t="shared" si="30"/>
        <v>67991092200</v>
      </c>
      <c r="L113" s="220">
        <f t="shared" si="30"/>
        <v>34226910000</v>
      </c>
      <c r="M113" s="220">
        <f t="shared" si="30"/>
        <v>1125000000</v>
      </c>
      <c r="N113" s="220">
        <f t="shared" si="30"/>
        <v>1125000000</v>
      </c>
    </row>
    <row r="114" spans="6:14" ht="22.8" x14ac:dyDescent="0.2">
      <c r="F114" s="447"/>
      <c r="G114" s="42" t="str">
        <f>STRAT3_IND2</f>
        <v xml:space="preserve"> La seguridad alimentaria está garantizada para toda la nación.</v>
      </c>
      <c r="H114" s="260" t="str">
        <f ca="1">OFFSET(Variables_Lu!$D$10,Basic_Setup!H47,0)</f>
        <v>Nutrition-sensitive</v>
      </c>
      <c r="I114" s="238">
        <f t="shared" si="30"/>
        <v>0</v>
      </c>
      <c r="J114" s="234">
        <f t="shared" si="30"/>
        <v>0</v>
      </c>
      <c r="K114" s="220">
        <f t="shared" si="30"/>
        <v>0</v>
      </c>
      <c r="L114" s="220">
        <f t="shared" si="30"/>
        <v>0</v>
      </c>
      <c r="M114" s="220">
        <f t="shared" si="30"/>
        <v>0</v>
      </c>
      <c r="N114" s="220">
        <f t="shared" si="30"/>
        <v>0</v>
      </c>
    </row>
    <row r="115" spans="6:14" ht="12" x14ac:dyDescent="0.2">
      <c r="F115" s="447"/>
      <c r="G115" s="42" t="str">
        <f>STRAT3_IND3</f>
        <v>Objetivo estratégico 3 Indicador 3</v>
      </c>
      <c r="H115" s="260" t="str">
        <f ca="1">OFFSET(Variables_Lu!$D$10,Basic_Setup!H48,0)</f>
        <v>Nutrition-specific</v>
      </c>
      <c r="I115" s="238">
        <f t="shared" si="30"/>
        <v>0</v>
      </c>
      <c r="J115" s="234">
        <f t="shared" si="30"/>
        <v>0</v>
      </c>
      <c r="K115" s="220">
        <f t="shared" si="30"/>
        <v>0</v>
      </c>
      <c r="L115" s="220">
        <f t="shared" si="30"/>
        <v>0</v>
      </c>
      <c r="M115" s="220">
        <f t="shared" si="30"/>
        <v>0</v>
      </c>
      <c r="N115" s="220">
        <f t="shared" si="30"/>
        <v>0</v>
      </c>
    </row>
    <row r="116" spans="6:14" ht="12" x14ac:dyDescent="0.2">
      <c r="F116" s="447"/>
      <c r="G116" s="41" t="str">
        <f>STRAT3_IND4</f>
        <v>Objetivo estratégico 3 Indicador 4</v>
      </c>
      <c r="H116" s="260" t="str">
        <f ca="1">OFFSET(Variables_Lu!$D$10,Basic_Setup!H49,0)</f>
        <v>Nutrition-specific</v>
      </c>
      <c r="I116" s="238">
        <f t="shared" si="30"/>
        <v>0</v>
      </c>
      <c r="J116" s="234">
        <f t="shared" si="30"/>
        <v>0</v>
      </c>
      <c r="K116" s="220">
        <f t="shared" si="30"/>
        <v>0</v>
      </c>
      <c r="L116" s="220">
        <f t="shared" si="30"/>
        <v>0</v>
      </c>
      <c r="M116" s="220">
        <f t="shared" si="30"/>
        <v>0</v>
      </c>
      <c r="N116" s="220">
        <f t="shared" si="30"/>
        <v>0</v>
      </c>
    </row>
    <row r="117" spans="6:14" ht="12" x14ac:dyDescent="0.2">
      <c r="F117" s="448"/>
      <c r="G117" s="41" t="str">
        <f>STRAT3_IND5</f>
        <v>Objetivo estratégico 3 Indicador 5</v>
      </c>
      <c r="H117" s="260" t="str">
        <f ca="1">OFFSET(Variables_Lu!$D$10,Basic_Setup!H50,0)</f>
        <v>Nutrition-specific</v>
      </c>
      <c r="I117" s="238">
        <f t="shared" si="30"/>
        <v>0</v>
      </c>
      <c r="J117" s="234">
        <f t="shared" si="30"/>
        <v>0</v>
      </c>
      <c r="K117" s="220">
        <f t="shared" si="30"/>
        <v>0</v>
      </c>
      <c r="L117" s="220">
        <f t="shared" si="30"/>
        <v>0</v>
      </c>
      <c r="M117" s="220">
        <f t="shared" si="30"/>
        <v>0</v>
      </c>
      <c r="N117" s="220">
        <f t="shared" si="30"/>
        <v>0</v>
      </c>
    </row>
    <row r="118" spans="6:14" ht="12" x14ac:dyDescent="0.2">
      <c r="H118" s="152" t="s">
        <v>540</v>
      </c>
      <c r="I118" s="239">
        <f t="shared" si="30"/>
        <v>140428132200</v>
      </c>
      <c r="J118" s="233">
        <f t="shared" si="30"/>
        <v>35960130000</v>
      </c>
      <c r="K118" s="233">
        <f t="shared" si="30"/>
        <v>67991092200</v>
      </c>
      <c r="L118" s="233">
        <f t="shared" si="30"/>
        <v>34226910000</v>
      </c>
      <c r="M118" s="233">
        <f t="shared" si="30"/>
        <v>1125000000</v>
      </c>
      <c r="N118" s="233">
        <f t="shared" si="30"/>
        <v>1125000000</v>
      </c>
    </row>
    <row r="119" spans="6:14" ht="34.200000000000003" x14ac:dyDescent="0.2">
      <c r="F119" s="447" t="str">
        <f>Strategy4</f>
        <v>Objetivo estratégico 4: Fortalecer la protección social, la resiliencia de la respuesta a las emergencias y los desastres naturales.</v>
      </c>
      <c r="G119" s="42" t="str">
        <f>STRAT4_IND1</f>
        <v xml:space="preserve">Se garantiza la protección social de los niños menores de 5 años, los adolescentes, FE/FA y otros grupos vulnerables. </v>
      </c>
      <c r="H119" s="260" t="str">
        <f ca="1">OFFSET(Variables_Lu!$D$10,Basic_Setup!H52,0)</f>
        <v>Nutrition-sensitive</v>
      </c>
      <c r="I119" s="238">
        <f t="shared" si="30"/>
        <v>29849522400</v>
      </c>
      <c r="J119" s="234">
        <f t="shared" si="30"/>
        <v>7241539500</v>
      </c>
      <c r="K119" s="220">
        <f t="shared" si="30"/>
        <v>13422443400</v>
      </c>
      <c r="L119" s="220">
        <f t="shared" si="30"/>
        <v>7241539500</v>
      </c>
      <c r="M119" s="220">
        <f t="shared" si="30"/>
        <v>972000000</v>
      </c>
      <c r="N119" s="220">
        <f t="shared" si="30"/>
        <v>972000000</v>
      </c>
    </row>
    <row r="120" spans="6:14" ht="45.6" x14ac:dyDescent="0.2">
      <c r="F120" s="447"/>
      <c r="G120" s="42" t="str">
        <f>STRAT4_IND2</f>
        <v xml:space="preserve">Se fortalece la capacidad de resiliencia y el estado nutricional de las poblaciones vulnerables, incluidos los niños de las zonas desfavorecidas.  </v>
      </c>
      <c r="H120" s="260" t="str">
        <f ca="1">OFFSET(Variables_Lu!$D$10,Basic_Setup!H53,0)</f>
        <v>Nutrition-specific</v>
      </c>
      <c r="I120" s="238">
        <f t="shared" si="30"/>
        <v>903420000</v>
      </c>
      <c r="J120" s="234">
        <f t="shared" si="30"/>
        <v>229320000</v>
      </c>
      <c r="K120" s="220">
        <f t="shared" si="30"/>
        <v>188100000</v>
      </c>
      <c r="L120" s="220">
        <f t="shared" si="30"/>
        <v>162000000</v>
      </c>
      <c r="M120" s="220">
        <f t="shared" si="30"/>
        <v>162000000</v>
      </c>
      <c r="N120" s="220">
        <f t="shared" si="30"/>
        <v>162000000</v>
      </c>
    </row>
    <row r="121" spans="6:14" ht="34.200000000000003" x14ac:dyDescent="0.2">
      <c r="F121" s="447"/>
      <c r="G121" s="42" t="str">
        <f>STRAT4_IND3</f>
        <v xml:space="preserve"> Se introducen eficazmente intervenciones para emergencias y catástrofes naturales integrales de la nutrición.</v>
      </c>
      <c r="H121" s="260" t="str">
        <f ca="1">OFFSET(Variables_Lu!$D$10,Basic_Setup!H54,0)</f>
        <v>Nutrition-specific</v>
      </c>
      <c r="I121" s="238">
        <f t="shared" ref="I121:N130" si="31">I188*EXCHANGE_RATE</f>
        <v>2880000000</v>
      </c>
      <c r="J121" s="234">
        <f t="shared" si="31"/>
        <v>576000000</v>
      </c>
      <c r="K121" s="220">
        <f t="shared" si="31"/>
        <v>576000000</v>
      </c>
      <c r="L121" s="220">
        <f t="shared" si="31"/>
        <v>576000000</v>
      </c>
      <c r="M121" s="220">
        <f t="shared" si="31"/>
        <v>576000000</v>
      </c>
      <c r="N121" s="220">
        <f t="shared" si="31"/>
        <v>576000000</v>
      </c>
    </row>
    <row r="122" spans="6:14" ht="12" x14ac:dyDescent="0.2">
      <c r="F122" s="447"/>
      <c r="G122" s="41" t="str">
        <f>STRAT4_IND4</f>
        <v>Objetivo estratégico 4 Indicador 4</v>
      </c>
      <c r="H122" s="260" t="str">
        <f ca="1">OFFSET(Variables_Lu!$D$10,Basic_Setup!H55,0)</f>
        <v>Nutrition-specific</v>
      </c>
      <c r="I122" s="238">
        <f t="shared" si="31"/>
        <v>0</v>
      </c>
      <c r="J122" s="234">
        <f t="shared" si="31"/>
        <v>0</v>
      </c>
      <c r="K122" s="220">
        <f t="shared" si="31"/>
        <v>0</v>
      </c>
      <c r="L122" s="220">
        <f t="shared" si="31"/>
        <v>0</v>
      </c>
      <c r="M122" s="220">
        <f t="shared" si="31"/>
        <v>0</v>
      </c>
      <c r="N122" s="220">
        <f t="shared" si="31"/>
        <v>0</v>
      </c>
    </row>
    <row r="123" spans="6:14" ht="12" x14ac:dyDescent="0.2">
      <c r="F123" s="448"/>
      <c r="G123" s="41" t="str">
        <f>STRAT4_IND5</f>
        <v>Objetivo estratégico 4 Indicador 5</v>
      </c>
      <c r="H123" s="260" t="str">
        <f ca="1">OFFSET(Variables_Lu!$D$10,Basic_Setup!H56,0)</f>
        <v>Nutrition-specific</v>
      </c>
      <c r="I123" s="238">
        <f t="shared" si="31"/>
        <v>0</v>
      </c>
      <c r="J123" s="234">
        <f t="shared" si="31"/>
        <v>0</v>
      </c>
      <c r="K123" s="220">
        <f t="shared" si="31"/>
        <v>0</v>
      </c>
      <c r="L123" s="220">
        <f t="shared" si="31"/>
        <v>0</v>
      </c>
      <c r="M123" s="220">
        <f t="shared" si="31"/>
        <v>0</v>
      </c>
      <c r="N123" s="220">
        <f t="shared" si="31"/>
        <v>0</v>
      </c>
    </row>
    <row r="124" spans="6:14" ht="12" x14ac:dyDescent="0.2">
      <c r="H124" s="152" t="s">
        <v>541</v>
      </c>
      <c r="I124" s="239">
        <f t="shared" si="31"/>
        <v>33632942400</v>
      </c>
      <c r="J124" s="233">
        <f t="shared" si="31"/>
        <v>8046859500</v>
      </c>
      <c r="K124" s="233">
        <f t="shared" si="31"/>
        <v>14186543400</v>
      </c>
      <c r="L124" s="233">
        <f t="shared" si="31"/>
        <v>7979539500</v>
      </c>
      <c r="M124" s="233">
        <f t="shared" si="31"/>
        <v>1710000000</v>
      </c>
      <c r="N124" s="233">
        <f t="shared" si="31"/>
        <v>1710000000</v>
      </c>
    </row>
    <row r="125" spans="6:14" ht="45.6" x14ac:dyDescent="0.2">
      <c r="F125" s="447" t="str">
        <f>Strategy5</f>
        <v xml:space="preserve">Objetivo estratégico 5: Promoción de prácticas favorables a una nutrición óptima, de higiene y saneamiento básico. </v>
      </c>
      <c r="G125" s="42" t="str">
        <f>STRAT5_IND1</f>
        <v>Se mejoran las prácticas nutricionales favorables para los niños menores de 5 años, los adolescentes, las mujeres embarazadas y lactantes, y otros grupos vulnerables.</v>
      </c>
      <c r="H125" s="260" t="str">
        <f ca="1">OFFSET(Variables_Lu!$D$10,Basic_Setup!H58,0)</f>
        <v>Nutrition-specific</v>
      </c>
      <c r="I125" s="238">
        <f t="shared" si="31"/>
        <v>22512114000</v>
      </c>
      <c r="J125" s="234">
        <f t="shared" si="31"/>
        <v>5136766200</v>
      </c>
      <c r="K125" s="220">
        <f t="shared" si="31"/>
        <v>4984376400</v>
      </c>
      <c r="L125" s="220">
        <f t="shared" si="31"/>
        <v>4470971400</v>
      </c>
      <c r="M125" s="220">
        <f t="shared" si="31"/>
        <v>3960000000</v>
      </c>
      <c r="N125" s="220">
        <f t="shared" si="31"/>
        <v>3960000000</v>
      </c>
    </row>
    <row r="126" spans="6:14" ht="22.8" x14ac:dyDescent="0.2">
      <c r="F126" s="447"/>
      <c r="G126" s="42" t="str">
        <f>STRAT5_IND2</f>
        <v>Se promueven dietas saludables y estilos de vida saludables para las personas.</v>
      </c>
      <c r="H126" s="260" t="str">
        <f ca="1">OFFSET(Variables_Lu!$D$10,Basic_Setup!H59,0)</f>
        <v>Nutrition-specific</v>
      </c>
      <c r="I126" s="238">
        <f t="shared" si="31"/>
        <v>4384620000</v>
      </c>
      <c r="J126" s="234">
        <f t="shared" si="31"/>
        <v>897480000</v>
      </c>
      <c r="K126" s="220">
        <f t="shared" si="31"/>
        <v>895140000</v>
      </c>
      <c r="L126" s="220">
        <f t="shared" si="31"/>
        <v>864000000</v>
      </c>
      <c r="M126" s="220">
        <f t="shared" si="31"/>
        <v>864000000</v>
      </c>
      <c r="N126" s="220">
        <f t="shared" si="31"/>
        <v>864000000</v>
      </c>
    </row>
    <row r="127" spans="6:14" ht="22.8" x14ac:dyDescent="0.2">
      <c r="F127" s="447"/>
      <c r="G127" s="42" t="str">
        <f>STRAT5_IND3</f>
        <v>Se promueven las buenas prácticas WASH a nivel comunitario y doméstico</v>
      </c>
      <c r="H127" s="260" t="str">
        <f ca="1">OFFSET(Variables_Lu!$D$10,Basic_Setup!H60,0)</f>
        <v>Nutrition-sensitive</v>
      </c>
      <c r="I127" s="238">
        <f t="shared" si="31"/>
        <v>6480000000</v>
      </c>
      <c r="J127" s="234">
        <f t="shared" si="31"/>
        <v>1296000000</v>
      </c>
      <c r="K127" s="220">
        <f t="shared" si="31"/>
        <v>1296000000</v>
      </c>
      <c r="L127" s="220">
        <f t="shared" si="31"/>
        <v>1296000000</v>
      </c>
      <c r="M127" s="220">
        <f t="shared" si="31"/>
        <v>1296000000</v>
      </c>
      <c r="N127" s="220">
        <f t="shared" si="31"/>
        <v>1296000000</v>
      </c>
    </row>
    <row r="128" spans="6:14" ht="12" x14ac:dyDescent="0.2">
      <c r="F128" s="447"/>
      <c r="G128" s="41" t="str">
        <f>STRAT5_IND4</f>
        <v>Objetivo estratégico 5 Indicador 4</v>
      </c>
      <c r="H128" s="260" t="str">
        <f ca="1">OFFSET(Variables_Lu!$D$10,Basic_Setup!H61,0)</f>
        <v>Nutrition-specific</v>
      </c>
      <c r="I128" s="238">
        <f t="shared" si="31"/>
        <v>0</v>
      </c>
      <c r="J128" s="234">
        <f t="shared" si="31"/>
        <v>0</v>
      </c>
      <c r="K128" s="220">
        <f t="shared" si="31"/>
        <v>0</v>
      </c>
      <c r="L128" s="220">
        <f t="shared" si="31"/>
        <v>0</v>
      </c>
      <c r="M128" s="220">
        <f t="shared" si="31"/>
        <v>0</v>
      </c>
      <c r="N128" s="220">
        <f t="shared" si="31"/>
        <v>0</v>
      </c>
    </row>
    <row r="129" spans="6:14" ht="12" x14ac:dyDescent="0.2">
      <c r="F129" s="448"/>
      <c r="G129" s="41" t="str">
        <f>STRAT5_IND5</f>
        <v>Objetivo estratégico 5 Indicador 5</v>
      </c>
      <c r="H129" s="260" t="str">
        <f ca="1">OFFSET(Variables_Lu!$D$10,Basic_Setup!H62,0)</f>
        <v>Nutrition-specific</v>
      </c>
      <c r="I129" s="238">
        <f t="shared" si="31"/>
        <v>0</v>
      </c>
      <c r="J129" s="234">
        <f t="shared" si="31"/>
        <v>0</v>
      </c>
      <c r="K129" s="220">
        <f t="shared" si="31"/>
        <v>0</v>
      </c>
      <c r="L129" s="220">
        <f t="shared" si="31"/>
        <v>0</v>
      </c>
      <c r="M129" s="220">
        <f t="shared" si="31"/>
        <v>0</v>
      </c>
      <c r="N129" s="220">
        <f t="shared" si="31"/>
        <v>0</v>
      </c>
    </row>
    <row r="130" spans="6:14" ht="12" x14ac:dyDescent="0.2">
      <c r="H130" s="152" t="s">
        <v>542</v>
      </c>
      <c r="I130" s="239">
        <f t="shared" si="31"/>
        <v>33376734000</v>
      </c>
      <c r="J130" s="233">
        <f t="shared" si="31"/>
        <v>7330246200</v>
      </c>
      <c r="K130" s="233">
        <f t="shared" si="31"/>
        <v>7175516400</v>
      </c>
      <c r="L130" s="233">
        <f t="shared" si="31"/>
        <v>6630971400</v>
      </c>
      <c r="M130" s="233">
        <f t="shared" si="31"/>
        <v>6120000000</v>
      </c>
      <c r="N130" s="233">
        <f t="shared" si="31"/>
        <v>6120000000</v>
      </c>
    </row>
    <row r="131" spans="6:14" ht="12" x14ac:dyDescent="0.2">
      <c r="F131" s="447" t="str">
        <f>Strategy6</f>
        <v>Objetivo estratégico 6: [No está en uso]</v>
      </c>
      <c r="G131" s="42" t="str">
        <f>STRAT6_IND1</f>
        <v>Objetivo estratégico 6 Indicador 1</v>
      </c>
      <c r="H131" s="260" t="str">
        <f ca="1">OFFSET(Variables_Lu!$D$10,Basic_Setup!H64,0)</f>
        <v>Nutrition-specific</v>
      </c>
      <c r="I131" s="238">
        <f t="shared" ref="I131:N140" si="32">I198*EXCHANGE_RATE</f>
        <v>0</v>
      </c>
      <c r="J131" s="234">
        <f t="shared" si="32"/>
        <v>0</v>
      </c>
      <c r="K131" s="220">
        <f t="shared" si="32"/>
        <v>0</v>
      </c>
      <c r="L131" s="220">
        <f t="shared" si="32"/>
        <v>0</v>
      </c>
      <c r="M131" s="220">
        <f t="shared" si="32"/>
        <v>0</v>
      </c>
      <c r="N131" s="220">
        <f t="shared" si="32"/>
        <v>0</v>
      </c>
    </row>
    <row r="132" spans="6:14" ht="12" x14ac:dyDescent="0.2">
      <c r="F132" s="447"/>
      <c r="G132" s="42" t="str">
        <f>STRAT6_IND2</f>
        <v>Objetivo estratégico 6 Indicador 2</v>
      </c>
      <c r="H132" s="260" t="str">
        <f ca="1">OFFSET(Variables_Lu!$D$10,Basic_Setup!H65,0)</f>
        <v>Nutrition-specific</v>
      </c>
      <c r="I132" s="238">
        <f t="shared" si="32"/>
        <v>0</v>
      </c>
      <c r="J132" s="234">
        <f t="shared" si="32"/>
        <v>0</v>
      </c>
      <c r="K132" s="220">
        <f t="shared" si="32"/>
        <v>0</v>
      </c>
      <c r="L132" s="220">
        <f t="shared" si="32"/>
        <v>0</v>
      </c>
      <c r="M132" s="220">
        <f t="shared" si="32"/>
        <v>0</v>
      </c>
      <c r="N132" s="220">
        <f t="shared" si="32"/>
        <v>0</v>
      </c>
    </row>
    <row r="133" spans="6:14" ht="12" x14ac:dyDescent="0.2">
      <c r="F133" s="447"/>
      <c r="G133" s="42" t="str">
        <f>STRAT6_IND3</f>
        <v>Objetivo estratégico 6 Indicador 3</v>
      </c>
      <c r="H133" s="260" t="str">
        <f ca="1">OFFSET(Variables_Lu!$D$10,Basic_Setup!H66,0)</f>
        <v>Nutrition-specific</v>
      </c>
      <c r="I133" s="238">
        <f t="shared" si="32"/>
        <v>0</v>
      </c>
      <c r="J133" s="234">
        <f t="shared" si="32"/>
        <v>0</v>
      </c>
      <c r="K133" s="220">
        <f t="shared" si="32"/>
        <v>0</v>
      </c>
      <c r="L133" s="220">
        <f t="shared" si="32"/>
        <v>0</v>
      </c>
      <c r="M133" s="220">
        <f t="shared" si="32"/>
        <v>0</v>
      </c>
      <c r="N133" s="220">
        <f t="shared" si="32"/>
        <v>0</v>
      </c>
    </row>
    <row r="134" spans="6:14" ht="12" x14ac:dyDescent="0.2">
      <c r="F134" s="447"/>
      <c r="G134" s="41" t="str">
        <f>STRAT6_IND4</f>
        <v>Objetivo estratégico 6 Indicador 4</v>
      </c>
      <c r="H134" s="260" t="str">
        <f ca="1">OFFSET(Variables_Lu!$D$10,Basic_Setup!H67,0)</f>
        <v>Nutrition-specific</v>
      </c>
      <c r="I134" s="238">
        <f t="shared" si="32"/>
        <v>0</v>
      </c>
      <c r="J134" s="234">
        <f t="shared" si="32"/>
        <v>0</v>
      </c>
      <c r="K134" s="220">
        <f t="shared" si="32"/>
        <v>0</v>
      </c>
      <c r="L134" s="220">
        <f t="shared" si="32"/>
        <v>0</v>
      </c>
      <c r="M134" s="220">
        <f t="shared" si="32"/>
        <v>0</v>
      </c>
      <c r="N134" s="220">
        <f t="shared" si="32"/>
        <v>0</v>
      </c>
    </row>
    <row r="135" spans="6:14" ht="12" x14ac:dyDescent="0.2">
      <c r="F135" s="448"/>
      <c r="G135" s="41" t="str">
        <f>STRAT6_IND5</f>
        <v>Objetivo estratégico 6 Indicador 5</v>
      </c>
      <c r="H135" s="260" t="str">
        <f ca="1">OFFSET(Variables_Lu!$D$10,Basic_Setup!H68,0)</f>
        <v>Nutrition-specific</v>
      </c>
      <c r="I135" s="238">
        <f t="shared" si="32"/>
        <v>0</v>
      </c>
      <c r="J135" s="234">
        <f t="shared" si="32"/>
        <v>0</v>
      </c>
      <c r="K135" s="220">
        <f t="shared" si="32"/>
        <v>0</v>
      </c>
      <c r="L135" s="220">
        <f t="shared" si="32"/>
        <v>0</v>
      </c>
      <c r="M135" s="220">
        <f t="shared" si="32"/>
        <v>0</v>
      </c>
      <c r="N135" s="220">
        <f t="shared" si="32"/>
        <v>0</v>
      </c>
    </row>
    <row r="136" spans="6:14" ht="12" x14ac:dyDescent="0.2">
      <c r="H136" s="152" t="s">
        <v>543</v>
      </c>
      <c r="I136" s="239">
        <f t="shared" si="32"/>
        <v>0</v>
      </c>
      <c r="J136" s="233">
        <f t="shared" si="32"/>
        <v>0</v>
      </c>
      <c r="K136" s="233">
        <f t="shared" si="32"/>
        <v>0</v>
      </c>
      <c r="L136" s="233">
        <f t="shared" si="32"/>
        <v>0</v>
      </c>
      <c r="M136" s="233">
        <f t="shared" si="32"/>
        <v>0</v>
      </c>
      <c r="N136" s="233">
        <f t="shared" si="32"/>
        <v>0</v>
      </c>
    </row>
    <row r="137" spans="6:14" ht="12" x14ac:dyDescent="0.2">
      <c r="F137" s="447" t="str">
        <f>Strategy7</f>
        <v>Objetivo estratégico 7: [No está en uso]</v>
      </c>
      <c r="G137" s="42" t="str">
        <f>STRAT7_IND1</f>
        <v>Objetivo estratégico 7 Indicador 1</v>
      </c>
      <c r="H137" s="260" t="str">
        <f ca="1">OFFSET(Variables_Lu!$D$10,Basic_Setup!H70,0)</f>
        <v>Nutrition-specific</v>
      </c>
      <c r="I137" s="238">
        <f t="shared" si="32"/>
        <v>0</v>
      </c>
      <c r="J137" s="234">
        <f t="shared" si="32"/>
        <v>0</v>
      </c>
      <c r="K137" s="220">
        <f t="shared" si="32"/>
        <v>0</v>
      </c>
      <c r="L137" s="220">
        <f t="shared" si="32"/>
        <v>0</v>
      </c>
      <c r="M137" s="220">
        <f t="shared" si="32"/>
        <v>0</v>
      </c>
      <c r="N137" s="220">
        <f t="shared" si="32"/>
        <v>0</v>
      </c>
    </row>
    <row r="138" spans="6:14" ht="12" x14ac:dyDescent="0.2">
      <c r="F138" s="447"/>
      <c r="G138" s="42" t="str">
        <f>STRAT7_IND2</f>
        <v>Objetivo estratégico 7 Indicador 2</v>
      </c>
      <c r="H138" s="260" t="str">
        <f ca="1">OFFSET(Variables_Lu!$D$10,Basic_Setup!H71,0)</f>
        <v>Nutrition-specific</v>
      </c>
      <c r="I138" s="238">
        <f t="shared" si="32"/>
        <v>0</v>
      </c>
      <c r="J138" s="234">
        <f t="shared" si="32"/>
        <v>0</v>
      </c>
      <c r="K138" s="220">
        <f t="shared" si="32"/>
        <v>0</v>
      </c>
      <c r="L138" s="220">
        <f t="shared" si="32"/>
        <v>0</v>
      </c>
      <c r="M138" s="220">
        <f t="shared" si="32"/>
        <v>0</v>
      </c>
      <c r="N138" s="220">
        <f t="shared" si="32"/>
        <v>0</v>
      </c>
    </row>
    <row r="139" spans="6:14" ht="12" x14ac:dyDescent="0.2">
      <c r="F139" s="447"/>
      <c r="G139" s="42" t="str">
        <f>STRAT7_IND3</f>
        <v>Objetivo estratégico 7 Indicador 3</v>
      </c>
      <c r="H139" s="260" t="str">
        <f ca="1">OFFSET(Variables_Lu!$D$10,Basic_Setup!H72,0)</f>
        <v>Nutrition-specific</v>
      </c>
      <c r="I139" s="238">
        <f t="shared" si="32"/>
        <v>0</v>
      </c>
      <c r="J139" s="234">
        <f t="shared" si="32"/>
        <v>0</v>
      </c>
      <c r="K139" s="220">
        <f t="shared" si="32"/>
        <v>0</v>
      </c>
      <c r="L139" s="220">
        <f t="shared" si="32"/>
        <v>0</v>
      </c>
      <c r="M139" s="220">
        <f t="shared" si="32"/>
        <v>0</v>
      </c>
      <c r="N139" s="220">
        <f t="shared" si="32"/>
        <v>0</v>
      </c>
    </row>
    <row r="140" spans="6:14" ht="12" x14ac:dyDescent="0.2">
      <c r="F140" s="447"/>
      <c r="G140" s="41" t="str">
        <f>STRAT7_IND4</f>
        <v>Objetivo estratégico 7 Indicador 4</v>
      </c>
      <c r="H140" s="260" t="str">
        <f ca="1">OFFSET(Variables_Lu!$D$10,Basic_Setup!H73,0)</f>
        <v>Nutrition-specific</v>
      </c>
      <c r="I140" s="238">
        <f t="shared" si="32"/>
        <v>0</v>
      </c>
      <c r="J140" s="234">
        <f t="shared" si="32"/>
        <v>0</v>
      </c>
      <c r="K140" s="220">
        <f t="shared" si="32"/>
        <v>0</v>
      </c>
      <c r="L140" s="220">
        <f t="shared" si="32"/>
        <v>0</v>
      </c>
      <c r="M140" s="220">
        <f t="shared" si="32"/>
        <v>0</v>
      </c>
      <c r="N140" s="220">
        <f t="shared" si="32"/>
        <v>0</v>
      </c>
    </row>
    <row r="141" spans="6:14" ht="12" x14ac:dyDescent="0.2">
      <c r="F141" s="448"/>
      <c r="G141" s="41" t="str">
        <f>STRAT7_IND5</f>
        <v>Objetivo estratégico 7 Indicador 5</v>
      </c>
      <c r="H141" s="260" t="str">
        <f ca="1">OFFSET(Variables_Lu!$D$10,Basic_Setup!H74,0)</f>
        <v>Nutrition-specific</v>
      </c>
      <c r="I141" s="238">
        <f t="shared" ref="I141:N150" si="33">I208*EXCHANGE_RATE</f>
        <v>0</v>
      </c>
      <c r="J141" s="234">
        <f t="shared" si="33"/>
        <v>0</v>
      </c>
      <c r="K141" s="220">
        <f t="shared" si="33"/>
        <v>0</v>
      </c>
      <c r="L141" s="220">
        <f t="shared" si="33"/>
        <v>0</v>
      </c>
      <c r="M141" s="220">
        <f t="shared" si="33"/>
        <v>0</v>
      </c>
      <c r="N141" s="220">
        <f t="shared" si="33"/>
        <v>0</v>
      </c>
    </row>
    <row r="142" spans="6:14" ht="12" x14ac:dyDescent="0.2">
      <c r="H142" s="152" t="s">
        <v>544</v>
      </c>
      <c r="I142" s="239">
        <f t="shared" si="33"/>
        <v>0</v>
      </c>
      <c r="J142" s="233">
        <f t="shared" si="33"/>
        <v>0</v>
      </c>
      <c r="K142" s="233">
        <f t="shared" si="33"/>
        <v>0</v>
      </c>
      <c r="L142" s="233">
        <f t="shared" si="33"/>
        <v>0</v>
      </c>
      <c r="M142" s="233">
        <f t="shared" si="33"/>
        <v>0</v>
      </c>
      <c r="N142" s="233">
        <f t="shared" si="33"/>
        <v>0</v>
      </c>
    </row>
    <row r="143" spans="6:14" ht="12" x14ac:dyDescent="0.2">
      <c r="F143" s="447" t="str">
        <f>Strategy8</f>
        <v>Objetivo estratégico 8: [No está en uso]</v>
      </c>
      <c r="G143" s="42" t="str">
        <f>STRAT8_IND1</f>
        <v>Objetivo estratégico 8 Indicador 1</v>
      </c>
      <c r="H143" s="260" t="str">
        <f ca="1">OFFSET(Variables_Lu!$D$10,Basic_Setup!H76,0)</f>
        <v>Nutrition-specific</v>
      </c>
      <c r="I143" s="238">
        <f t="shared" si="33"/>
        <v>0</v>
      </c>
      <c r="J143" s="234">
        <f t="shared" si="33"/>
        <v>0</v>
      </c>
      <c r="K143" s="220">
        <f t="shared" si="33"/>
        <v>0</v>
      </c>
      <c r="L143" s="220">
        <f t="shared" si="33"/>
        <v>0</v>
      </c>
      <c r="M143" s="220">
        <f t="shared" si="33"/>
        <v>0</v>
      </c>
      <c r="N143" s="220">
        <f t="shared" si="33"/>
        <v>0</v>
      </c>
    </row>
    <row r="144" spans="6:14" ht="12" x14ac:dyDescent="0.2">
      <c r="F144" s="447"/>
      <c r="G144" s="42" t="str">
        <f>STRAT8_IND2</f>
        <v>Objetivo estratégico 8 Indicador 2</v>
      </c>
      <c r="H144" s="260" t="str">
        <f ca="1">OFFSET(Variables_Lu!$D$10,Basic_Setup!H77,0)</f>
        <v>Nutrition-specific</v>
      </c>
      <c r="I144" s="238">
        <f t="shared" si="33"/>
        <v>0</v>
      </c>
      <c r="J144" s="234">
        <f t="shared" si="33"/>
        <v>0</v>
      </c>
      <c r="K144" s="220">
        <f t="shared" si="33"/>
        <v>0</v>
      </c>
      <c r="L144" s="220">
        <f t="shared" si="33"/>
        <v>0</v>
      </c>
      <c r="M144" s="220">
        <f t="shared" si="33"/>
        <v>0</v>
      </c>
      <c r="N144" s="220">
        <f t="shared" si="33"/>
        <v>0</v>
      </c>
    </row>
    <row r="145" spans="6:14" ht="12" x14ac:dyDescent="0.2">
      <c r="F145" s="447"/>
      <c r="G145" s="42" t="str">
        <f>STRAT8_IND3</f>
        <v>Objetivo estratégico 8 Indicador 3</v>
      </c>
      <c r="H145" s="260" t="str">
        <f ca="1">OFFSET(Variables_Lu!$D$10,Basic_Setup!H78,0)</f>
        <v>Nutrition-specific</v>
      </c>
      <c r="I145" s="238">
        <f t="shared" si="33"/>
        <v>0</v>
      </c>
      <c r="J145" s="234">
        <f t="shared" si="33"/>
        <v>0</v>
      </c>
      <c r="K145" s="220">
        <f t="shared" si="33"/>
        <v>0</v>
      </c>
      <c r="L145" s="220">
        <f t="shared" si="33"/>
        <v>0</v>
      </c>
      <c r="M145" s="220">
        <f t="shared" si="33"/>
        <v>0</v>
      </c>
      <c r="N145" s="220">
        <f t="shared" si="33"/>
        <v>0</v>
      </c>
    </row>
    <row r="146" spans="6:14" ht="12" x14ac:dyDescent="0.2">
      <c r="F146" s="447"/>
      <c r="G146" s="41" t="str">
        <f>STRAT8_IND4</f>
        <v>Objetivo estratégico 8 Indicador 4</v>
      </c>
      <c r="H146" s="260" t="str">
        <f ca="1">OFFSET(Variables_Lu!$D$10,Basic_Setup!H79,0)</f>
        <v>Nutrition-specific</v>
      </c>
      <c r="I146" s="238">
        <f t="shared" si="33"/>
        <v>0</v>
      </c>
      <c r="J146" s="234">
        <f t="shared" si="33"/>
        <v>0</v>
      </c>
      <c r="K146" s="220">
        <f t="shared" si="33"/>
        <v>0</v>
      </c>
      <c r="L146" s="220">
        <f t="shared" si="33"/>
        <v>0</v>
      </c>
      <c r="M146" s="220">
        <f t="shared" si="33"/>
        <v>0</v>
      </c>
      <c r="N146" s="220">
        <f t="shared" si="33"/>
        <v>0</v>
      </c>
    </row>
    <row r="147" spans="6:14" ht="12" x14ac:dyDescent="0.2">
      <c r="F147" s="448"/>
      <c r="G147" s="41" t="str">
        <f>STRAT8_IND5</f>
        <v>Objetivo estratégico 8 Indicador 5</v>
      </c>
      <c r="H147" s="260" t="str">
        <f ca="1">OFFSET(Variables_Lu!$D$10,Basic_Setup!H80,0)</f>
        <v>Nutrition-specific</v>
      </c>
      <c r="I147" s="238">
        <f t="shared" si="33"/>
        <v>0</v>
      </c>
      <c r="J147" s="234">
        <f t="shared" si="33"/>
        <v>0</v>
      </c>
      <c r="K147" s="220">
        <f t="shared" si="33"/>
        <v>0</v>
      </c>
      <c r="L147" s="220">
        <f t="shared" si="33"/>
        <v>0</v>
      </c>
      <c r="M147" s="220">
        <f t="shared" si="33"/>
        <v>0</v>
      </c>
      <c r="N147" s="220">
        <f t="shared" si="33"/>
        <v>0</v>
      </c>
    </row>
    <row r="148" spans="6:14" ht="12" x14ac:dyDescent="0.2">
      <c r="H148" s="152" t="s">
        <v>545</v>
      </c>
      <c r="I148" s="239">
        <f t="shared" si="33"/>
        <v>0</v>
      </c>
      <c r="J148" s="233">
        <f t="shared" si="33"/>
        <v>0</v>
      </c>
      <c r="K148" s="233">
        <f t="shared" si="33"/>
        <v>0</v>
      </c>
      <c r="L148" s="233">
        <f t="shared" si="33"/>
        <v>0</v>
      </c>
      <c r="M148" s="233">
        <f t="shared" si="33"/>
        <v>0</v>
      </c>
      <c r="N148" s="233">
        <f t="shared" si="33"/>
        <v>0</v>
      </c>
    </row>
    <row r="149" spans="6:14" ht="12" x14ac:dyDescent="0.2">
      <c r="F149" s="447" t="str">
        <f>Strategy9</f>
        <v>Objetivo estratégico 9: [No está en uso]</v>
      </c>
      <c r="G149" s="42" t="str">
        <f>STRAT9_IND1</f>
        <v>Objetivo estratégico 9 Indicador 1</v>
      </c>
      <c r="H149" s="260" t="str">
        <f ca="1">OFFSET(Variables_Lu!$D$10,Basic_Setup!H82,0)</f>
        <v>Nutrition-specific</v>
      </c>
      <c r="I149" s="238">
        <f t="shared" si="33"/>
        <v>0</v>
      </c>
      <c r="J149" s="234">
        <f t="shared" si="33"/>
        <v>0</v>
      </c>
      <c r="K149" s="220">
        <f t="shared" si="33"/>
        <v>0</v>
      </c>
      <c r="L149" s="220">
        <f t="shared" si="33"/>
        <v>0</v>
      </c>
      <c r="M149" s="220">
        <f t="shared" si="33"/>
        <v>0</v>
      </c>
      <c r="N149" s="220">
        <f t="shared" si="33"/>
        <v>0</v>
      </c>
    </row>
    <row r="150" spans="6:14" ht="12" x14ac:dyDescent="0.2">
      <c r="F150" s="447"/>
      <c r="G150" s="42" t="str">
        <f>STRAT9_IND2</f>
        <v>Objetivo estratégico 9 Indicador 2</v>
      </c>
      <c r="H150" s="260" t="str">
        <f ca="1">OFFSET(Variables_Lu!$D$10,Basic_Setup!H83,0)</f>
        <v>Nutrition-specific</v>
      </c>
      <c r="I150" s="238">
        <f t="shared" si="33"/>
        <v>0</v>
      </c>
      <c r="J150" s="234">
        <f t="shared" si="33"/>
        <v>0</v>
      </c>
      <c r="K150" s="220">
        <f t="shared" si="33"/>
        <v>0</v>
      </c>
      <c r="L150" s="220">
        <f t="shared" si="33"/>
        <v>0</v>
      </c>
      <c r="M150" s="220">
        <f t="shared" si="33"/>
        <v>0</v>
      </c>
      <c r="N150" s="220">
        <f t="shared" si="33"/>
        <v>0</v>
      </c>
    </row>
    <row r="151" spans="6:14" ht="12" x14ac:dyDescent="0.2">
      <c r="F151" s="447"/>
      <c r="G151" s="42" t="str">
        <f>STRAT9_IND3</f>
        <v>Objetivo estratégico 9 Indicador 3</v>
      </c>
      <c r="H151" s="260" t="str">
        <f ca="1">OFFSET(Variables_Lu!$D$10,Basic_Setup!H84,0)</f>
        <v>Nutrition-specific</v>
      </c>
      <c r="I151" s="238">
        <f t="shared" ref="I151:N160" si="34">I218*EXCHANGE_RATE</f>
        <v>0</v>
      </c>
      <c r="J151" s="234">
        <f t="shared" si="34"/>
        <v>0</v>
      </c>
      <c r="K151" s="220">
        <f t="shared" si="34"/>
        <v>0</v>
      </c>
      <c r="L151" s="220">
        <f t="shared" si="34"/>
        <v>0</v>
      </c>
      <c r="M151" s="220">
        <f t="shared" si="34"/>
        <v>0</v>
      </c>
      <c r="N151" s="220">
        <f t="shared" si="34"/>
        <v>0</v>
      </c>
    </row>
    <row r="152" spans="6:14" ht="12" x14ac:dyDescent="0.2">
      <c r="F152" s="447"/>
      <c r="G152" s="41" t="str">
        <f>STRAT9_IND4</f>
        <v>Objetivo estratégico 9 Indicador 4</v>
      </c>
      <c r="H152" s="260" t="str">
        <f ca="1">OFFSET(Variables_Lu!$D$10,Basic_Setup!H85,0)</f>
        <v>Nutrition-specific</v>
      </c>
      <c r="I152" s="238">
        <f t="shared" si="34"/>
        <v>0</v>
      </c>
      <c r="J152" s="234">
        <f t="shared" si="34"/>
        <v>0</v>
      </c>
      <c r="K152" s="220">
        <f t="shared" si="34"/>
        <v>0</v>
      </c>
      <c r="L152" s="220">
        <f t="shared" si="34"/>
        <v>0</v>
      </c>
      <c r="M152" s="220">
        <f t="shared" si="34"/>
        <v>0</v>
      </c>
      <c r="N152" s="220">
        <f t="shared" si="34"/>
        <v>0</v>
      </c>
    </row>
    <row r="153" spans="6:14" ht="12" x14ac:dyDescent="0.2">
      <c r="F153" s="448"/>
      <c r="G153" s="41" t="str">
        <f>STRAT9_IND5</f>
        <v>Objetivo estratégico 9 Indicador 5</v>
      </c>
      <c r="H153" s="260" t="str">
        <f ca="1">OFFSET(Variables_Lu!$D$10,Basic_Setup!H86,0)</f>
        <v>Nutrition-specific</v>
      </c>
      <c r="I153" s="238">
        <f t="shared" si="34"/>
        <v>0</v>
      </c>
      <c r="J153" s="234">
        <f t="shared" si="34"/>
        <v>0</v>
      </c>
      <c r="K153" s="220">
        <f t="shared" si="34"/>
        <v>0</v>
      </c>
      <c r="L153" s="220">
        <f t="shared" si="34"/>
        <v>0</v>
      </c>
      <c r="M153" s="220">
        <f t="shared" si="34"/>
        <v>0</v>
      </c>
      <c r="N153" s="220">
        <f t="shared" si="34"/>
        <v>0</v>
      </c>
    </row>
    <row r="154" spans="6:14" ht="12" x14ac:dyDescent="0.2">
      <c r="H154" s="152" t="s">
        <v>546</v>
      </c>
      <c r="I154" s="239">
        <f t="shared" si="34"/>
        <v>0</v>
      </c>
      <c r="J154" s="233">
        <f t="shared" si="34"/>
        <v>0</v>
      </c>
      <c r="K154" s="233">
        <f t="shared" si="34"/>
        <v>0</v>
      </c>
      <c r="L154" s="233">
        <f t="shared" si="34"/>
        <v>0</v>
      </c>
      <c r="M154" s="233">
        <f t="shared" si="34"/>
        <v>0</v>
      </c>
      <c r="N154" s="233">
        <f t="shared" si="34"/>
        <v>0</v>
      </c>
    </row>
    <row r="155" spans="6:14" ht="12" x14ac:dyDescent="0.2">
      <c r="F155" s="447" t="str">
        <f>Strategy10</f>
        <v>Objetivo estratégico 10: [No está en uso]</v>
      </c>
      <c r="G155" s="42" t="str">
        <f>STRAT10_IND1</f>
        <v>Objetivo estratégico 10 Indicador 1</v>
      </c>
      <c r="H155" s="260" t="str">
        <f ca="1">OFFSET(Variables_Lu!$D$10,Basic_Setup!H88,0)</f>
        <v>Nutrition-specific</v>
      </c>
      <c r="I155" s="238">
        <f t="shared" si="34"/>
        <v>0</v>
      </c>
      <c r="J155" s="234">
        <f t="shared" si="34"/>
        <v>0</v>
      </c>
      <c r="K155" s="220">
        <f t="shared" si="34"/>
        <v>0</v>
      </c>
      <c r="L155" s="220">
        <f t="shared" si="34"/>
        <v>0</v>
      </c>
      <c r="M155" s="220">
        <f t="shared" si="34"/>
        <v>0</v>
      </c>
      <c r="N155" s="220">
        <f t="shared" si="34"/>
        <v>0</v>
      </c>
    </row>
    <row r="156" spans="6:14" ht="12" x14ac:dyDescent="0.2">
      <c r="F156" s="447"/>
      <c r="G156" s="42" t="str">
        <f>STRAT10_IND2</f>
        <v>Objetivo estratégico 10 Indicador 2</v>
      </c>
      <c r="H156" s="260" t="str">
        <f ca="1">OFFSET(Variables_Lu!$D$10,Basic_Setup!H89,0)</f>
        <v>Nutrition-specific</v>
      </c>
      <c r="I156" s="238">
        <f t="shared" si="34"/>
        <v>0</v>
      </c>
      <c r="J156" s="234">
        <f t="shared" si="34"/>
        <v>0</v>
      </c>
      <c r="K156" s="220">
        <f t="shared" si="34"/>
        <v>0</v>
      </c>
      <c r="L156" s="220">
        <f t="shared" si="34"/>
        <v>0</v>
      </c>
      <c r="M156" s="220">
        <f t="shared" si="34"/>
        <v>0</v>
      </c>
      <c r="N156" s="220">
        <f t="shared" si="34"/>
        <v>0</v>
      </c>
    </row>
    <row r="157" spans="6:14" ht="12" x14ac:dyDescent="0.2">
      <c r="F157" s="447"/>
      <c r="G157" s="42" t="str">
        <f>STRAT10_IND3</f>
        <v>Objetivo estratégico 10 Indicador 3</v>
      </c>
      <c r="H157" s="260" t="str">
        <f ca="1">OFFSET(Variables_Lu!$D$10,Basic_Setup!H90,0)</f>
        <v>Nutrition-specific</v>
      </c>
      <c r="I157" s="238">
        <f t="shared" si="34"/>
        <v>0</v>
      </c>
      <c r="J157" s="234">
        <f t="shared" si="34"/>
        <v>0</v>
      </c>
      <c r="K157" s="220">
        <f t="shared" si="34"/>
        <v>0</v>
      </c>
      <c r="L157" s="220">
        <f t="shared" si="34"/>
        <v>0</v>
      </c>
      <c r="M157" s="220">
        <f t="shared" si="34"/>
        <v>0</v>
      </c>
      <c r="N157" s="220">
        <f t="shared" si="34"/>
        <v>0</v>
      </c>
    </row>
    <row r="158" spans="6:14" ht="12" x14ac:dyDescent="0.2">
      <c r="F158" s="447"/>
      <c r="G158" s="41" t="str">
        <f>STRAT10_IND4</f>
        <v>Objetivo estratégico 10 Indicador 4</v>
      </c>
      <c r="H158" s="260" t="str">
        <f ca="1">OFFSET(Variables_Lu!$D$10,Basic_Setup!H91,0)</f>
        <v>Nutrition-specific</v>
      </c>
      <c r="I158" s="238">
        <f t="shared" si="34"/>
        <v>0</v>
      </c>
      <c r="J158" s="234">
        <f t="shared" si="34"/>
        <v>0</v>
      </c>
      <c r="K158" s="220">
        <f t="shared" si="34"/>
        <v>0</v>
      </c>
      <c r="L158" s="220">
        <f t="shared" si="34"/>
        <v>0</v>
      </c>
      <c r="M158" s="220">
        <f t="shared" si="34"/>
        <v>0</v>
      </c>
      <c r="N158" s="220">
        <f t="shared" si="34"/>
        <v>0</v>
      </c>
    </row>
    <row r="159" spans="6:14" ht="12" x14ac:dyDescent="0.2">
      <c r="F159" s="448"/>
      <c r="G159" s="41" t="str">
        <f>STRAT10_IND5</f>
        <v>Objetivo estratégico 10 Indicador 5</v>
      </c>
      <c r="H159" s="260" t="str">
        <f ca="1">OFFSET(Variables_Lu!$D$10,Basic_Setup!H92,0)</f>
        <v>Nutrition-specific</v>
      </c>
      <c r="I159" s="238">
        <f t="shared" si="34"/>
        <v>0</v>
      </c>
      <c r="J159" s="234">
        <f t="shared" si="34"/>
        <v>0</v>
      </c>
      <c r="K159" s="220">
        <f t="shared" si="34"/>
        <v>0</v>
      </c>
      <c r="L159" s="220">
        <f t="shared" si="34"/>
        <v>0</v>
      </c>
      <c r="M159" s="220">
        <f t="shared" si="34"/>
        <v>0</v>
      </c>
      <c r="N159" s="220">
        <f t="shared" si="34"/>
        <v>0</v>
      </c>
    </row>
    <row r="160" spans="6:14" ht="12" x14ac:dyDescent="0.2">
      <c r="H160" s="152" t="s">
        <v>547</v>
      </c>
      <c r="I160" s="239">
        <f t="shared" si="34"/>
        <v>0</v>
      </c>
      <c r="J160" s="233">
        <f t="shared" si="34"/>
        <v>0</v>
      </c>
      <c r="K160" s="233">
        <f t="shared" si="34"/>
        <v>0</v>
      </c>
      <c r="L160" s="233">
        <f t="shared" si="34"/>
        <v>0</v>
      </c>
      <c r="M160" s="233">
        <f t="shared" si="34"/>
        <v>0</v>
      </c>
      <c r="N160" s="233">
        <f t="shared" si="34"/>
        <v>0</v>
      </c>
    </row>
    <row r="161" spans="5:14" ht="12" x14ac:dyDescent="0.2">
      <c r="I161" s="240"/>
    </row>
    <row r="162" spans="5:14" ht="12.6" thickBot="1" x14ac:dyDescent="0.25">
      <c r="H162" s="151" t="str">
        <f>"TOTAL - ALL Partners Contributions"&amp;" ("&amp;CURR_LCU_ABBR&amp;")"</f>
        <v>TOTAL - ALL Partners Contributions (GOZ)</v>
      </c>
      <c r="I162" s="237">
        <f t="shared" ref="I162:N162" si="35">I229*EXCHANGE_RATE</f>
        <v>288685634400</v>
      </c>
      <c r="J162" s="222">
        <f t="shared" si="35"/>
        <v>68669215200</v>
      </c>
      <c r="K162" s="222">
        <f t="shared" si="35"/>
        <v>112722328800</v>
      </c>
      <c r="L162" s="222">
        <f t="shared" si="35"/>
        <v>66117290400</v>
      </c>
      <c r="M162" s="222">
        <f t="shared" si="35"/>
        <v>20597400000</v>
      </c>
      <c r="N162" s="222">
        <f t="shared" si="35"/>
        <v>20579400000</v>
      </c>
    </row>
    <row r="163" spans="5:14" ht="12.75" customHeight="1" x14ac:dyDescent="0.2"/>
    <row r="165" spans="5:14" ht="15.6" x14ac:dyDescent="0.2">
      <c r="E165" s="86" t="str">
        <f>CURR_INT_ABBR</f>
        <v>USD</v>
      </c>
    </row>
    <row r="167" spans="5:14" s="38" customFormat="1" ht="12" x14ac:dyDescent="0.2">
      <c r="F167" s="1" t="s">
        <v>389</v>
      </c>
      <c r="G167" s="1" t="s">
        <v>399</v>
      </c>
      <c r="H167" s="1" t="s">
        <v>387</v>
      </c>
      <c r="I167" s="297" t="s">
        <v>106</v>
      </c>
      <c r="J167" s="298" t="str">
        <f>CURR_INT_ABBR</f>
        <v>USD</v>
      </c>
      <c r="K167" s="298" t="str">
        <f>CURR_INT_ABBR</f>
        <v>USD</v>
      </c>
      <c r="L167" s="298" t="str">
        <f>CURR_INT_ABBR</f>
        <v>USD</v>
      </c>
      <c r="M167" s="298" t="str">
        <f>CURR_INT_ABBR</f>
        <v>USD</v>
      </c>
      <c r="N167" s="298" t="str">
        <f>CURR_INT_ABBR</f>
        <v>USD</v>
      </c>
    </row>
    <row r="168" spans="5:14" s="38" customFormat="1" ht="22.8" x14ac:dyDescent="0.2">
      <c r="F168" s="447" t="str">
        <f>Strategy1</f>
        <v>Objetivo estratégico 1: Fortalecer la gobernanza de la nutrición</v>
      </c>
      <c r="G168" s="42" t="str">
        <f>STRAT1_IND1</f>
        <v>Se refuerza la coordinación multisectorial en materia de nutrición</v>
      </c>
      <c r="H168" s="260" t="str">
        <f ca="1">OFFSET(Variables_Lu!$D$10,Basic_Setup!H34,0)</f>
        <v>Governance</v>
      </c>
      <c r="I168" s="67">
        <f>SUM(J168:N168)</f>
        <v>1990344</v>
      </c>
      <c r="J168" s="150">
        <f>SUM(Partner1:Partner10!J20)</f>
        <v>470923</v>
      </c>
      <c r="K168" s="150">
        <f>SUM(Partner1:Partner10!K20)</f>
        <v>756148</v>
      </c>
      <c r="L168" s="150">
        <f>SUM(Partner1:Partner10!L20)</f>
        <v>448673</v>
      </c>
      <c r="M168" s="150">
        <f>SUM(Partner1:Partner10!M20)</f>
        <v>159800</v>
      </c>
      <c r="N168" s="150">
        <f>SUM(Partner1:Partner10!N20)</f>
        <v>154800</v>
      </c>
    </row>
    <row r="169" spans="5:14" s="38" customFormat="1" ht="34.200000000000003" x14ac:dyDescent="0.2">
      <c r="F169" s="447"/>
      <c r="G169" s="42" t="str">
        <f>STRAT1_IND2</f>
        <v>Está en funcionamiento el sistema multisectorial de información sobre nutrición para la adopción de decisiones eficaces.</v>
      </c>
      <c r="H169" s="260" t="str">
        <f ca="1">OFFSET(Variables_Lu!$D$10,Basic_Setup!H35,0)</f>
        <v>Governance</v>
      </c>
      <c r="I169" s="67">
        <f t="shared" ref="I169:I170" si="36">SUM(J169:N169)</f>
        <v>37400</v>
      </c>
      <c r="J169" s="150">
        <f>SUM(Partner1:Partner10!J21)</f>
        <v>17500</v>
      </c>
      <c r="K169" s="150">
        <f>SUM(Partner1:Partner10!K21)</f>
        <v>17500</v>
      </c>
      <c r="L169" s="150">
        <f>SUM(Partner1:Partner10!L21)</f>
        <v>800</v>
      </c>
      <c r="M169" s="150">
        <f>SUM(Partner1:Partner10!M21)</f>
        <v>800</v>
      </c>
      <c r="N169" s="150">
        <f>SUM(Partner1:Partner10!N21)</f>
        <v>800</v>
      </c>
    </row>
    <row r="170" spans="5:14" s="38" customFormat="1" ht="34.200000000000003" x14ac:dyDescent="0.2">
      <c r="F170" s="447"/>
      <c r="G170" s="42" t="str">
        <f>STRAT1_IND3</f>
        <v>La investigación en nutrición se utiliza para aclarar que la toma de decisiones se mejora y se refuerza.</v>
      </c>
      <c r="H170" s="260" t="str">
        <f ca="1">OFFSET(Variables_Lu!$D$10,Basic_Setup!H36,0)</f>
        <v>Governance</v>
      </c>
      <c r="I170" s="67">
        <f t="shared" si="36"/>
        <v>8000</v>
      </c>
      <c r="J170" s="150">
        <f>SUM(Partner1:Partner10!J22)</f>
        <v>1600</v>
      </c>
      <c r="K170" s="150">
        <f>SUM(Partner1:Partner10!K22)</f>
        <v>1600</v>
      </c>
      <c r="L170" s="150">
        <f>SUM(Partner1:Partner10!L22)</f>
        <v>1600</v>
      </c>
      <c r="M170" s="150">
        <f>SUM(Partner1:Partner10!M22)</f>
        <v>1600</v>
      </c>
      <c r="N170" s="150">
        <f>SUM(Partner1:Partner10!N22)</f>
        <v>1600</v>
      </c>
    </row>
    <row r="171" spans="5:14" s="38" customFormat="1" ht="34.200000000000003" x14ac:dyDescent="0.2">
      <c r="F171" s="447"/>
      <c r="G171" s="41" t="str">
        <f>STRAT1_IND4</f>
        <v>El marco legislativo y reglamentario de la nutrición se ha fortalecido y está en funcionamiento.</v>
      </c>
      <c r="H171" s="260" t="str">
        <f ca="1">OFFSET(Variables_Lu!$D$10,Basic_Setup!H37,0)</f>
        <v>Governance</v>
      </c>
      <c r="I171" s="67">
        <f>SUM(J171:N171)</f>
        <v>4000</v>
      </c>
      <c r="J171" s="150">
        <f>SUM(Partner1:Partner10!J23)</f>
        <v>800</v>
      </c>
      <c r="K171" s="150">
        <f>SUM(Partner1:Partner10!K23)</f>
        <v>800</v>
      </c>
      <c r="L171" s="150">
        <f>SUM(Partner1:Partner10!L23)</f>
        <v>800</v>
      </c>
      <c r="M171" s="150">
        <f>SUM(Partner1:Partner10!M23)</f>
        <v>800</v>
      </c>
      <c r="N171" s="150">
        <f>SUM(Partner1:Partner10!N23)</f>
        <v>800</v>
      </c>
    </row>
    <row r="172" spans="5:14" s="38" customFormat="1" ht="12" x14ac:dyDescent="0.2">
      <c r="F172" s="448"/>
      <c r="G172" s="41" t="str">
        <f>STRAT1_IND5</f>
        <v>Objetivo estratégico 1 Indicador 5</v>
      </c>
      <c r="H172" s="260" t="str">
        <f ca="1">OFFSET(Variables_Lu!$D$10,Basic_Setup!H38,0)</f>
        <v>Governance</v>
      </c>
      <c r="I172" s="67">
        <f>SUM(J172:N172)</f>
        <v>0</v>
      </c>
      <c r="J172" s="150">
        <f>SUM(Partner1:Partner10!J24)</f>
        <v>0</v>
      </c>
      <c r="K172" s="150">
        <f>SUM(Partner1:Partner10!K24)</f>
        <v>0</v>
      </c>
      <c r="L172" s="150">
        <f>SUM(Partner1:Partner10!L24)</f>
        <v>0</v>
      </c>
      <c r="M172" s="150">
        <f>SUM(Partner1:Partner10!M24)</f>
        <v>0</v>
      </c>
      <c r="N172" s="150">
        <f>SUM(Partner1:Partner10!N24)</f>
        <v>0</v>
      </c>
    </row>
    <row r="173" spans="5:14" s="38" customFormat="1" ht="12" x14ac:dyDescent="0.2">
      <c r="H173" s="152" t="s">
        <v>538</v>
      </c>
      <c r="I173" s="250">
        <f t="shared" ref="I173:N173" si="37">SUM(I168:I171)</f>
        <v>2039744</v>
      </c>
      <c r="J173" s="64">
        <f t="shared" si="37"/>
        <v>490823</v>
      </c>
      <c r="K173" s="64">
        <f t="shared" si="37"/>
        <v>776048</v>
      </c>
      <c r="L173" s="64">
        <f t="shared" si="37"/>
        <v>451873</v>
      </c>
      <c r="M173" s="64">
        <f t="shared" si="37"/>
        <v>163000</v>
      </c>
      <c r="N173" s="64">
        <f t="shared" si="37"/>
        <v>158000</v>
      </c>
    </row>
    <row r="174" spans="5:14" s="38" customFormat="1" ht="57" x14ac:dyDescent="0.2">
      <c r="F174" s="447" t="str">
        <f>Strategy2</f>
        <v>Objetivo estratégico 2: Fortalecer el acceso al tratamiento y a los servicios de salud y nutrición de calidad, así como al tratamiento de todas las formas de malnutrición</v>
      </c>
      <c r="G174" s="42" t="str">
        <f>STRAT2_IND1</f>
        <v>Se fortalece el acceso y la utilización sostenible de los servicios de salud y nutrición para los niños menores de 5 años, los adolescentes, las mujeres embarazadas y lactantes, y los demás grupos vulnerables</v>
      </c>
      <c r="H174" s="260" t="str">
        <f ca="1">OFFSET(Variables_Lu!$D$10,Basic_Setup!H40,0)</f>
        <v>Nutrition-specific</v>
      </c>
      <c r="I174" s="67">
        <f>SUM(J174:N174)</f>
        <v>22530000</v>
      </c>
      <c r="J174" s="150">
        <f>SUM(Partner1:Partner10!J26)</f>
        <v>4505000</v>
      </c>
      <c r="K174" s="150">
        <f>SUM(Partner1:Partner10!K26)</f>
        <v>4510000</v>
      </c>
      <c r="L174" s="150">
        <f>SUM(Partner1:Partner10!L26)</f>
        <v>4515000</v>
      </c>
      <c r="M174" s="150">
        <f>SUM(Partner1:Partner10!M26)</f>
        <v>4500000</v>
      </c>
      <c r="N174" s="150">
        <f>SUM(Partner1:Partner10!N26)</f>
        <v>4500000</v>
      </c>
    </row>
    <row r="175" spans="5:14" s="38" customFormat="1" ht="57" x14ac:dyDescent="0.2">
      <c r="F175" s="447"/>
      <c r="G175" s="42" t="str">
        <f>STRAT2_IND2</f>
        <v xml:space="preserve">Se reduce la prevalencia de enfermedades relacionadas con la prevalencia de la malnutrición (paludismo, diarrea, neumonía, parásitos intestinales, VIH, TNM) en lactantes, adolescentes y mujeres en edad reproductiva. </v>
      </c>
      <c r="H175" s="260" t="str">
        <f ca="1">OFFSET(Variables_Lu!$D$10,Basic_Setup!H41,0)</f>
        <v>Nutrition-sensitive</v>
      </c>
      <c r="I175" s="67">
        <f t="shared" ref="I175:I178" si="38">SUM(J175:N175)</f>
        <v>14067937</v>
      </c>
      <c r="J175" s="150">
        <f>SUM(Partner1:Partner10!J27)</f>
        <v>3333054.5</v>
      </c>
      <c r="K175" s="150">
        <f>SUM(Partner1:Partner10!K27)</f>
        <v>6396828</v>
      </c>
      <c r="L175" s="150">
        <f>SUM(Partner1:Partner10!L27)</f>
        <v>3333054.5</v>
      </c>
      <c r="M175" s="150">
        <f>SUM(Partner1:Partner10!M27)</f>
        <v>505000</v>
      </c>
      <c r="N175" s="150">
        <f>SUM(Partner1:Partner10!N27)</f>
        <v>500000</v>
      </c>
    </row>
    <row r="176" spans="5:14" s="38" customFormat="1" ht="22.8" x14ac:dyDescent="0.2">
      <c r="F176" s="447"/>
      <c r="G176" s="42" t="str">
        <f>STRAT2_IND3</f>
        <v>Se refuerzan las intervenciones comunitarias en materia de nutrición.</v>
      </c>
      <c r="H176" s="260" t="str">
        <f ca="1">OFFSET(Variables_Lu!$D$10,Basic_Setup!H42,0)</f>
        <v>Nutrition-specific</v>
      </c>
      <c r="I176" s="67">
        <f t="shared" si="38"/>
        <v>6500000</v>
      </c>
      <c r="J176" s="150">
        <f>SUM(Partner1:Partner10!J28)</f>
        <v>1300000</v>
      </c>
      <c r="K176" s="150">
        <f>SUM(Partner1:Partner10!K28)</f>
        <v>1300000</v>
      </c>
      <c r="L176" s="150">
        <f>SUM(Partner1:Partner10!L28)</f>
        <v>1300000</v>
      </c>
      <c r="M176" s="150">
        <f>SUM(Partner1:Partner10!M28)</f>
        <v>1300000</v>
      </c>
      <c r="N176" s="150">
        <f>SUM(Partner1:Partner10!N28)</f>
        <v>1300000</v>
      </c>
    </row>
    <row r="177" spans="6:14" s="38" customFormat="1" ht="12" x14ac:dyDescent="0.2">
      <c r="F177" s="447"/>
      <c r="G177" s="41" t="str">
        <f>STRAT2_IND4</f>
        <v>Objetivo estratégico 2 Indicador 4</v>
      </c>
      <c r="H177" s="260" t="str">
        <f ca="1">OFFSET(Variables_Lu!$D$10,Basic_Setup!H43,0)</f>
        <v>Nutrition-specific</v>
      </c>
      <c r="I177" s="67">
        <f t="shared" si="38"/>
        <v>0</v>
      </c>
      <c r="J177" s="150">
        <f>SUM(Partner1:Partner10!J29)</f>
        <v>0</v>
      </c>
      <c r="K177" s="150">
        <f>SUM(Partner1:Partner10!K29)</f>
        <v>0</v>
      </c>
      <c r="L177" s="150">
        <f>SUM(Partner1:Partner10!L29)</f>
        <v>0</v>
      </c>
      <c r="M177" s="150">
        <f>SUM(Partner1:Partner10!M29)</f>
        <v>0</v>
      </c>
      <c r="N177" s="150">
        <f>SUM(Partner1:Partner10!N29)</f>
        <v>0</v>
      </c>
    </row>
    <row r="178" spans="6:14" s="38" customFormat="1" ht="12" x14ac:dyDescent="0.2">
      <c r="F178" s="448"/>
      <c r="G178" s="41" t="str">
        <f>STRAT2_IND5</f>
        <v>Objetivo estratégico 2 Indicador 5</v>
      </c>
      <c r="H178" s="260" t="str">
        <f ca="1">OFFSET(Variables_Lu!$D$10,Basic_Setup!H44,0)</f>
        <v>Nutrition-specific</v>
      </c>
      <c r="I178" s="67">
        <f t="shared" si="38"/>
        <v>0</v>
      </c>
      <c r="J178" s="150">
        <f>SUM(Partner1:Partner10!J30)</f>
        <v>0</v>
      </c>
      <c r="K178" s="150">
        <f>SUM(Partner1:Partner10!K30)</f>
        <v>0</v>
      </c>
      <c r="L178" s="150">
        <f>SUM(Partner1:Partner10!L30)</f>
        <v>0</v>
      </c>
      <c r="M178" s="150">
        <f>SUM(Partner1:Partner10!M30)</f>
        <v>0</v>
      </c>
      <c r="N178" s="150">
        <f>SUM(Partner1:Partner10!N30)</f>
        <v>0</v>
      </c>
    </row>
    <row r="179" spans="6:14" s="38" customFormat="1" ht="12" x14ac:dyDescent="0.2">
      <c r="H179" s="152" t="s">
        <v>539</v>
      </c>
      <c r="I179" s="250">
        <f t="shared" ref="I179:N179" si="39">SUM(I174:I178)</f>
        <v>43097937</v>
      </c>
      <c r="J179" s="64">
        <f t="shared" si="39"/>
        <v>9138054.5</v>
      </c>
      <c r="K179" s="64">
        <f t="shared" si="39"/>
        <v>12206828</v>
      </c>
      <c r="L179" s="64">
        <f t="shared" si="39"/>
        <v>9148054.5</v>
      </c>
      <c r="M179" s="64">
        <f t="shared" si="39"/>
        <v>6305000</v>
      </c>
      <c r="N179" s="64">
        <f t="shared" si="39"/>
        <v>6300000</v>
      </c>
    </row>
    <row r="180" spans="6:14" s="38" customFormat="1" ht="22.8" x14ac:dyDescent="0.2">
      <c r="F180" s="447" t="str">
        <f>Strategy3</f>
        <v>Objetivo estratégico 3: Aumentar la disponibilidad y el acceso a alimentos nutritivos de alto valor, seguros y diversificados</v>
      </c>
      <c r="G180" s="42" t="str">
        <f>STRAT3_IND1</f>
        <v xml:space="preserve">Aumenta la disponibilidad y el acceso a alimentos de alto valor nutritivo en los hogares. </v>
      </c>
      <c r="H180" s="260" t="str">
        <f ca="1">OFFSET(Variables_Lu!$D$10,Basic_Setup!H46,0)</f>
        <v>Nutrition-specific</v>
      </c>
      <c r="I180" s="67">
        <f>SUM(J180:N180)</f>
        <v>78015629</v>
      </c>
      <c r="J180" s="150">
        <f>SUM(Partner1:Partner10!J32)</f>
        <v>19977850</v>
      </c>
      <c r="K180" s="150">
        <f>SUM(Partner1:Partner10!K32)</f>
        <v>37772829</v>
      </c>
      <c r="L180" s="150">
        <f>SUM(Partner1:Partner10!L32)</f>
        <v>19014950</v>
      </c>
      <c r="M180" s="150">
        <f>SUM(Partner1:Partner10!M32)</f>
        <v>625000</v>
      </c>
      <c r="N180" s="150">
        <f>SUM(Partner1:Partner10!N32)</f>
        <v>625000</v>
      </c>
    </row>
    <row r="181" spans="6:14" s="38" customFormat="1" ht="22.8" x14ac:dyDescent="0.2">
      <c r="F181" s="447"/>
      <c r="G181" s="42" t="str">
        <f>STRAT3_IND2</f>
        <v xml:space="preserve"> La seguridad alimentaria está garantizada para toda la nación.</v>
      </c>
      <c r="H181" s="260" t="str">
        <f ca="1">OFFSET(Variables_Lu!$D$10,Basic_Setup!H47,0)</f>
        <v>Nutrition-sensitive</v>
      </c>
      <c r="I181" s="67">
        <f t="shared" ref="I181:I184" si="40">SUM(J181:N181)</f>
        <v>0</v>
      </c>
      <c r="J181" s="150">
        <f>SUM(Partner1:Partner10!J33)</f>
        <v>0</v>
      </c>
      <c r="K181" s="150">
        <f>SUM(Partner1:Partner10!K33)</f>
        <v>0</v>
      </c>
      <c r="L181" s="150">
        <f>SUM(Partner1:Partner10!L33)</f>
        <v>0</v>
      </c>
      <c r="M181" s="150">
        <f>SUM(Partner1:Partner10!M33)</f>
        <v>0</v>
      </c>
      <c r="N181" s="150">
        <f>SUM(Partner1:Partner10!N33)</f>
        <v>0</v>
      </c>
    </row>
    <row r="182" spans="6:14" ht="12" x14ac:dyDescent="0.2">
      <c r="F182" s="447"/>
      <c r="G182" s="42" t="str">
        <f>STRAT3_IND3</f>
        <v>Objetivo estratégico 3 Indicador 3</v>
      </c>
      <c r="H182" s="260" t="str">
        <f ca="1">OFFSET(Variables_Lu!$D$10,Basic_Setup!H48,0)</f>
        <v>Nutrition-specific</v>
      </c>
      <c r="I182" s="67">
        <f t="shared" si="40"/>
        <v>0</v>
      </c>
      <c r="J182" s="150">
        <f>SUM(Partner1:Partner10!J34)</f>
        <v>0</v>
      </c>
      <c r="K182" s="150">
        <f>SUM(Partner1:Partner10!K34)</f>
        <v>0</v>
      </c>
      <c r="L182" s="150">
        <f>SUM(Partner1:Partner10!L34)</f>
        <v>0</v>
      </c>
      <c r="M182" s="150">
        <f>SUM(Partner1:Partner10!M34)</f>
        <v>0</v>
      </c>
      <c r="N182" s="150">
        <f>SUM(Partner1:Partner10!N34)</f>
        <v>0</v>
      </c>
    </row>
    <row r="183" spans="6:14" ht="12" x14ac:dyDescent="0.2">
      <c r="F183" s="447"/>
      <c r="G183" s="41" t="str">
        <f>STRAT3_IND4</f>
        <v>Objetivo estratégico 3 Indicador 4</v>
      </c>
      <c r="H183" s="260" t="str">
        <f ca="1">OFFSET(Variables_Lu!$D$10,Basic_Setup!H49,0)</f>
        <v>Nutrition-specific</v>
      </c>
      <c r="I183" s="67">
        <f t="shared" si="40"/>
        <v>0</v>
      </c>
      <c r="J183" s="150">
        <f>SUM(Partner1:Partner10!J35)</f>
        <v>0</v>
      </c>
      <c r="K183" s="150">
        <f>SUM(Partner1:Partner10!K35)</f>
        <v>0</v>
      </c>
      <c r="L183" s="150">
        <f>SUM(Partner1:Partner10!L35)</f>
        <v>0</v>
      </c>
      <c r="M183" s="150">
        <f>SUM(Partner1:Partner10!M35)</f>
        <v>0</v>
      </c>
      <c r="N183" s="150">
        <f>SUM(Partner1:Partner10!N35)</f>
        <v>0</v>
      </c>
    </row>
    <row r="184" spans="6:14" ht="12" x14ac:dyDescent="0.2">
      <c r="F184" s="448"/>
      <c r="G184" s="41" t="str">
        <f>STRAT3_IND5</f>
        <v>Objetivo estratégico 3 Indicador 5</v>
      </c>
      <c r="H184" s="260" t="str">
        <f ca="1">OFFSET(Variables_Lu!$D$10,Basic_Setup!H50,0)</f>
        <v>Nutrition-specific</v>
      </c>
      <c r="I184" s="67">
        <f t="shared" si="40"/>
        <v>0</v>
      </c>
      <c r="J184" s="150">
        <f>SUM(Partner1:Partner10!J36)</f>
        <v>0</v>
      </c>
      <c r="K184" s="150">
        <f>SUM(Partner1:Partner10!K36)</f>
        <v>0</v>
      </c>
      <c r="L184" s="150">
        <f>SUM(Partner1:Partner10!L36)</f>
        <v>0</v>
      </c>
      <c r="M184" s="150">
        <f>SUM(Partner1:Partner10!M36)</f>
        <v>0</v>
      </c>
      <c r="N184" s="150">
        <f>SUM(Partner1:Partner10!N36)</f>
        <v>0</v>
      </c>
    </row>
    <row r="185" spans="6:14" ht="12" x14ac:dyDescent="0.2">
      <c r="H185" s="152" t="s">
        <v>540</v>
      </c>
      <c r="I185" s="250">
        <f>SUM(I180:I184)</f>
        <v>78015629</v>
      </c>
      <c r="J185" s="64">
        <f>SUM(J180:J184)</f>
        <v>19977850</v>
      </c>
      <c r="K185" s="64">
        <f t="shared" ref="K185:N185" si="41">SUM(K180:K184)</f>
        <v>37772829</v>
      </c>
      <c r="L185" s="64">
        <f t="shared" si="41"/>
        <v>19014950</v>
      </c>
      <c r="M185" s="64">
        <f t="shared" si="41"/>
        <v>625000</v>
      </c>
      <c r="N185" s="64">
        <f t="shared" si="41"/>
        <v>625000</v>
      </c>
    </row>
    <row r="186" spans="6:14" ht="34.200000000000003" x14ac:dyDescent="0.2">
      <c r="F186" s="447" t="str">
        <f>Strategy4</f>
        <v>Objetivo estratégico 4: Fortalecer la protección social, la resiliencia de la respuesta a las emergencias y los desastres naturales.</v>
      </c>
      <c r="G186" s="42" t="str">
        <f>STRAT4_IND1</f>
        <v xml:space="preserve">Se garantiza la protección social de los niños menores de 5 años, los adolescentes, FE/FA y otros grupos vulnerables. </v>
      </c>
      <c r="H186" s="260" t="str">
        <f ca="1">OFFSET(Variables_Lu!$D$10,Basic_Setup!H52,0)</f>
        <v>Nutrition-sensitive</v>
      </c>
      <c r="I186" s="67">
        <f>SUM(J186:N186)</f>
        <v>16583068</v>
      </c>
      <c r="J186" s="150">
        <f>SUM(Partner1:Partner10!J38)</f>
        <v>4023077.5</v>
      </c>
      <c r="K186" s="150">
        <f>SUM(Partner1:Partner10!K38)</f>
        <v>7456913</v>
      </c>
      <c r="L186" s="150">
        <f>SUM(Partner1:Partner10!L38)</f>
        <v>4023077.5</v>
      </c>
      <c r="M186" s="150">
        <f>SUM(Partner1:Partner10!M38)</f>
        <v>540000</v>
      </c>
      <c r="N186" s="150">
        <f>SUM(Partner1:Partner10!N38)</f>
        <v>540000</v>
      </c>
    </row>
    <row r="187" spans="6:14" ht="45.6" x14ac:dyDescent="0.2">
      <c r="F187" s="447"/>
      <c r="G187" s="42" t="str">
        <f>STRAT4_IND2</f>
        <v xml:space="preserve">Se fortalece la capacidad de resiliencia y el estado nutricional de las poblaciones vulnerables, incluidos los niños de las zonas desfavorecidas.  </v>
      </c>
      <c r="H187" s="260" t="str">
        <f ca="1">OFFSET(Variables_Lu!$D$10,Basic_Setup!H53,0)</f>
        <v>Nutrition-specific</v>
      </c>
      <c r="I187" s="67">
        <f t="shared" ref="I187:I190" si="42">SUM(J187:N187)</f>
        <v>501900</v>
      </c>
      <c r="J187" s="150">
        <f>SUM(Partner1:Partner10!J39)</f>
        <v>127400</v>
      </c>
      <c r="K187" s="150">
        <f>SUM(Partner1:Partner10!K39)</f>
        <v>104500</v>
      </c>
      <c r="L187" s="150">
        <f>SUM(Partner1:Partner10!L39)</f>
        <v>90000</v>
      </c>
      <c r="M187" s="150">
        <f>SUM(Partner1:Partner10!M39)</f>
        <v>90000</v>
      </c>
      <c r="N187" s="150">
        <f>SUM(Partner1:Partner10!N39)</f>
        <v>90000</v>
      </c>
    </row>
    <row r="188" spans="6:14" ht="34.200000000000003" x14ac:dyDescent="0.2">
      <c r="F188" s="447"/>
      <c r="G188" s="42" t="str">
        <f>STRAT4_IND3</f>
        <v xml:space="preserve"> Se introducen eficazmente intervenciones para emergencias y catástrofes naturales integrales de la nutrición.</v>
      </c>
      <c r="H188" s="260" t="str">
        <f ca="1">OFFSET(Variables_Lu!$D$10,Basic_Setup!H54,0)</f>
        <v>Nutrition-specific</v>
      </c>
      <c r="I188" s="67">
        <f>SUM(J188:N188)</f>
        <v>1600000</v>
      </c>
      <c r="J188" s="150">
        <f>SUM(Partner1:Partner10!J40)</f>
        <v>320000</v>
      </c>
      <c r="K188" s="150">
        <f>SUM(Partner1:Partner10!K40)</f>
        <v>320000</v>
      </c>
      <c r="L188" s="150">
        <f>SUM(Partner1:Partner10!L40)</f>
        <v>320000</v>
      </c>
      <c r="M188" s="150">
        <f>SUM(Partner1:Partner10!M40)</f>
        <v>320000</v>
      </c>
      <c r="N188" s="150">
        <f>SUM(Partner1:Partner10!N40)</f>
        <v>320000</v>
      </c>
    </row>
    <row r="189" spans="6:14" ht="12" x14ac:dyDescent="0.2">
      <c r="F189" s="447"/>
      <c r="G189" s="41" t="str">
        <f>STRAT4_IND4</f>
        <v>Objetivo estratégico 4 Indicador 4</v>
      </c>
      <c r="H189" s="260" t="str">
        <f ca="1">OFFSET(Variables_Lu!$D$10,Basic_Setup!H55,0)</f>
        <v>Nutrition-specific</v>
      </c>
      <c r="I189" s="67">
        <f>SUM(J189:N189)</f>
        <v>0</v>
      </c>
      <c r="J189" s="150">
        <f>SUM(Partner1:Partner10!J41)</f>
        <v>0</v>
      </c>
      <c r="K189" s="150">
        <f>SUM(Partner1:Partner10!K41)</f>
        <v>0</v>
      </c>
      <c r="L189" s="150">
        <f>SUM(Partner1:Partner10!L41)</f>
        <v>0</v>
      </c>
      <c r="M189" s="150">
        <f>SUM(Partner1:Partner10!M41)</f>
        <v>0</v>
      </c>
      <c r="N189" s="150">
        <f>SUM(Partner1:Partner10!N41)</f>
        <v>0</v>
      </c>
    </row>
    <row r="190" spans="6:14" ht="12" x14ac:dyDescent="0.2">
      <c r="F190" s="448"/>
      <c r="G190" s="41" t="str">
        <f>STRAT4_IND5</f>
        <v>Objetivo estratégico 4 Indicador 5</v>
      </c>
      <c r="H190" s="260" t="str">
        <f ca="1">OFFSET(Variables_Lu!$D$10,Basic_Setup!H56,0)</f>
        <v>Nutrition-specific</v>
      </c>
      <c r="I190" s="67">
        <f t="shared" si="42"/>
        <v>0</v>
      </c>
      <c r="J190" s="150">
        <f>SUM(Partner1:Partner10!J42)</f>
        <v>0</v>
      </c>
      <c r="K190" s="150">
        <f>SUM(Partner1:Partner10!K42)</f>
        <v>0</v>
      </c>
      <c r="L190" s="150">
        <f>SUM(Partner1:Partner10!L42)</f>
        <v>0</v>
      </c>
      <c r="M190" s="150">
        <f>SUM(Partner1:Partner10!M42)</f>
        <v>0</v>
      </c>
      <c r="N190" s="150">
        <f>SUM(Partner1:Partner10!N42)</f>
        <v>0</v>
      </c>
    </row>
    <row r="191" spans="6:14" ht="12" x14ac:dyDescent="0.2">
      <c r="H191" s="152" t="s">
        <v>541</v>
      </c>
      <c r="I191" s="250">
        <f>SUM(I186:I190)</f>
        <v>18684968</v>
      </c>
      <c r="J191" s="64">
        <f>SUM(J186:J190)</f>
        <v>4470477.5</v>
      </c>
      <c r="K191" s="64">
        <f t="shared" ref="K191:N191" si="43">SUM(K186:K190)</f>
        <v>7881413</v>
      </c>
      <c r="L191" s="64">
        <f t="shared" si="43"/>
        <v>4433077.5</v>
      </c>
      <c r="M191" s="64">
        <f t="shared" si="43"/>
        <v>950000</v>
      </c>
      <c r="N191" s="64">
        <f t="shared" si="43"/>
        <v>950000</v>
      </c>
    </row>
    <row r="192" spans="6:14" ht="45.6" x14ac:dyDescent="0.2">
      <c r="F192" s="447" t="str">
        <f>Strategy5</f>
        <v xml:space="preserve">Objetivo estratégico 5: Promoción de prácticas favorables a una nutrición óptima, de higiene y saneamiento básico. </v>
      </c>
      <c r="G192" s="42" t="str">
        <f>STRAT5_IND1</f>
        <v>Se mejoran las prácticas nutricionales favorables para los niños menores de 5 años, los adolescentes, las mujeres embarazadas y lactantes, y otros grupos vulnerables.</v>
      </c>
      <c r="H192" s="260" t="str">
        <f ca="1">OFFSET(Variables_Lu!$D$10,Basic_Setup!H58,0)</f>
        <v>Nutrition-specific</v>
      </c>
      <c r="I192" s="67">
        <f>SUM(J192:N192)</f>
        <v>12506730</v>
      </c>
      <c r="J192" s="150">
        <f>SUM(Partner1:Partner10!J44)</f>
        <v>2853759</v>
      </c>
      <c r="K192" s="150">
        <f>SUM(Partner1:Partner10!K44)</f>
        <v>2769098</v>
      </c>
      <c r="L192" s="150">
        <f>SUM(Partner1:Partner10!L44)</f>
        <v>2483873</v>
      </c>
      <c r="M192" s="150">
        <f>SUM(Partner1:Partner10!M44)</f>
        <v>2200000</v>
      </c>
      <c r="N192" s="150">
        <f>SUM(Partner1:Partner10!N44)</f>
        <v>2200000</v>
      </c>
    </row>
    <row r="193" spans="6:14" ht="22.8" x14ac:dyDescent="0.2">
      <c r="F193" s="447"/>
      <c r="G193" s="42" t="str">
        <f>STRAT5_IND2</f>
        <v>Se promueven dietas saludables y estilos de vida saludables para las personas.</v>
      </c>
      <c r="H193" s="260" t="str">
        <f ca="1">OFFSET(Variables_Lu!$D$10,Basic_Setup!H59,0)</f>
        <v>Nutrition-specific</v>
      </c>
      <c r="I193" s="67">
        <f t="shared" ref="I193:I196" si="44">SUM(J193:N193)</f>
        <v>2435900</v>
      </c>
      <c r="J193" s="150">
        <f>SUM(Partner1:Partner10!J45)</f>
        <v>498600</v>
      </c>
      <c r="K193" s="150">
        <f>SUM(Partner1:Partner10!K45)</f>
        <v>497300</v>
      </c>
      <c r="L193" s="150">
        <f>SUM(Partner1:Partner10!L45)</f>
        <v>480000</v>
      </c>
      <c r="M193" s="150">
        <f>SUM(Partner1:Partner10!M45)</f>
        <v>480000</v>
      </c>
      <c r="N193" s="150">
        <f>SUM(Partner1:Partner10!N45)</f>
        <v>480000</v>
      </c>
    </row>
    <row r="194" spans="6:14" ht="22.8" x14ac:dyDescent="0.2">
      <c r="F194" s="447"/>
      <c r="G194" s="42" t="str">
        <f>STRAT5_IND3</f>
        <v>Se promueven las buenas prácticas WASH a nivel comunitario y doméstico</v>
      </c>
      <c r="H194" s="260" t="str">
        <f ca="1">OFFSET(Variables_Lu!$D$10,Basic_Setup!H60,0)</f>
        <v>Nutrition-sensitive</v>
      </c>
      <c r="I194" s="67">
        <f t="shared" si="44"/>
        <v>3600000</v>
      </c>
      <c r="J194" s="150">
        <f>SUM(Partner1:Partner10!J46)</f>
        <v>720000</v>
      </c>
      <c r="K194" s="150">
        <f>SUM(Partner1:Partner10!K46)</f>
        <v>720000</v>
      </c>
      <c r="L194" s="150">
        <f>SUM(Partner1:Partner10!L46)</f>
        <v>720000</v>
      </c>
      <c r="M194" s="150">
        <f>SUM(Partner1:Partner10!M46)</f>
        <v>720000</v>
      </c>
      <c r="N194" s="150">
        <f>SUM(Partner1:Partner10!N46)</f>
        <v>720000</v>
      </c>
    </row>
    <row r="195" spans="6:14" ht="12" x14ac:dyDescent="0.2">
      <c r="F195" s="447"/>
      <c r="G195" s="41" t="str">
        <f>STRAT5_IND4</f>
        <v>Objetivo estratégico 5 Indicador 4</v>
      </c>
      <c r="H195" s="260" t="str">
        <f ca="1">OFFSET(Variables_Lu!$D$10,Basic_Setup!H61,0)</f>
        <v>Nutrition-specific</v>
      </c>
      <c r="I195" s="67">
        <f t="shared" si="44"/>
        <v>0</v>
      </c>
      <c r="J195" s="150">
        <f>SUM(Partner1:Partner10!J47)</f>
        <v>0</v>
      </c>
      <c r="K195" s="150">
        <f>SUM(Partner1:Partner10!K47)</f>
        <v>0</v>
      </c>
      <c r="L195" s="150">
        <f>SUM(Partner1:Partner10!L47)</f>
        <v>0</v>
      </c>
      <c r="M195" s="150">
        <f>SUM(Partner1:Partner10!M47)</f>
        <v>0</v>
      </c>
      <c r="N195" s="150">
        <f>SUM(Partner1:Partner10!N47)</f>
        <v>0</v>
      </c>
    </row>
    <row r="196" spans="6:14" ht="12" x14ac:dyDescent="0.2">
      <c r="F196" s="448"/>
      <c r="G196" s="41" t="str">
        <f>STRAT5_IND5</f>
        <v>Objetivo estratégico 5 Indicador 5</v>
      </c>
      <c r="H196" s="260" t="str">
        <f ca="1">OFFSET(Variables_Lu!$D$10,Basic_Setup!H62,0)</f>
        <v>Nutrition-specific</v>
      </c>
      <c r="I196" s="67">
        <f t="shared" si="44"/>
        <v>0</v>
      </c>
      <c r="J196" s="150">
        <f>SUM(Partner1:Partner10!J48)</f>
        <v>0</v>
      </c>
      <c r="K196" s="150">
        <f>SUM(Partner1:Partner10!K48)</f>
        <v>0</v>
      </c>
      <c r="L196" s="150">
        <f>SUM(Partner1:Partner10!L48)</f>
        <v>0</v>
      </c>
      <c r="M196" s="150">
        <f>SUM(Partner1:Partner10!M48)</f>
        <v>0</v>
      </c>
      <c r="N196" s="150">
        <f>SUM(Partner1:Partner10!N48)</f>
        <v>0</v>
      </c>
    </row>
    <row r="197" spans="6:14" ht="12" x14ac:dyDescent="0.2">
      <c r="F197" s="66"/>
      <c r="G197" s="261"/>
      <c r="H197" s="152" t="s">
        <v>542</v>
      </c>
      <c r="I197" s="250">
        <f t="shared" ref="I197:N197" si="45">SUM(I192:I196)</f>
        <v>18542630</v>
      </c>
      <c r="J197" s="64">
        <f t="shared" si="45"/>
        <v>4072359</v>
      </c>
      <c r="K197" s="64">
        <f t="shared" si="45"/>
        <v>3986398</v>
      </c>
      <c r="L197" s="64">
        <f t="shared" si="45"/>
        <v>3683873</v>
      </c>
      <c r="M197" s="64">
        <f t="shared" si="45"/>
        <v>3400000</v>
      </c>
      <c r="N197" s="64">
        <f t="shared" si="45"/>
        <v>3400000</v>
      </c>
    </row>
    <row r="198" spans="6:14" ht="12" x14ac:dyDescent="0.2">
      <c r="F198" s="447" t="str">
        <f>Strategy6</f>
        <v>Objetivo estratégico 6: [No está en uso]</v>
      </c>
      <c r="G198" s="42" t="str">
        <f>STRAT6_IND1</f>
        <v>Objetivo estratégico 6 Indicador 1</v>
      </c>
      <c r="H198" s="260" t="str">
        <f ca="1">OFFSET(Variables_Lu!$D$10,Basic_Setup!H64,0)</f>
        <v>Nutrition-specific</v>
      </c>
      <c r="I198" s="67">
        <f>SUM(J198:N198)</f>
        <v>0</v>
      </c>
      <c r="J198" s="150">
        <f>SUM(Partner1:Partner10!J50)</f>
        <v>0</v>
      </c>
      <c r="K198" s="150">
        <f>SUM(Partner1:Partner10!K50)</f>
        <v>0</v>
      </c>
      <c r="L198" s="150">
        <f>SUM(Partner1:Partner10!L50)</f>
        <v>0</v>
      </c>
      <c r="M198" s="150">
        <f>SUM(Partner1:Partner10!M50)</f>
        <v>0</v>
      </c>
      <c r="N198" s="150">
        <f>SUM(Partner1:Partner10!N50)</f>
        <v>0</v>
      </c>
    </row>
    <row r="199" spans="6:14" ht="12" x14ac:dyDescent="0.2">
      <c r="F199" s="447"/>
      <c r="G199" s="42" t="str">
        <f>STRAT6_IND2</f>
        <v>Objetivo estratégico 6 Indicador 2</v>
      </c>
      <c r="H199" s="260" t="str">
        <f ca="1">OFFSET(Variables_Lu!$D$10,Basic_Setup!H65,0)</f>
        <v>Nutrition-specific</v>
      </c>
      <c r="I199" s="67">
        <f>SUM(J199:N199)</f>
        <v>0</v>
      </c>
      <c r="J199" s="150">
        <f>SUM(Partner1:Partner10!J51)</f>
        <v>0</v>
      </c>
      <c r="K199" s="150">
        <f>SUM(Partner1:Partner10!K51)</f>
        <v>0</v>
      </c>
      <c r="L199" s="150">
        <f>SUM(Partner1:Partner10!L51)</f>
        <v>0</v>
      </c>
      <c r="M199" s="150">
        <f>SUM(Partner1:Partner10!M51)</f>
        <v>0</v>
      </c>
      <c r="N199" s="150">
        <f>SUM(Partner1:Partner10!N51)</f>
        <v>0</v>
      </c>
    </row>
    <row r="200" spans="6:14" s="38" customFormat="1" ht="12" x14ac:dyDescent="0.2">
      <c r="F200" s="447"/>
      <c r="G200" s="42" t="str">
        <f>STRAT6_IND3</f>
        <v>Objetivo estratégico 6 Indicador 3</v>
      </c>
      <c r="H200" s="260" t="str">
        <f ca="1">OFFSET(Variables_Lu!$D$10,Basic_Setup!H66,0)</f>
        <v>Nutrition-specific</v>
      </c>
      <c r="I200" s="67">
        <f>SUM(J200:N200)</f>
        <v>0</v>
      </c>
      <c r="J200" s="150">
        <f>SUM(Partner1:Partner10!J52)</f>
        <v>0</v>
      </c>
      <c r="K200" s="150">
        <f>SUM(Partner1:Partner10!K52)</f>
        <v>0</v>
      </c>
      <c r="L200" s="150">
        <f>SUM(Partner1:Partner10!L52)</f>
        <v>0</v>
      </c>
      <c r="M200" s="150">
        <f>SUM(Partner1:Partner10!M52)</f>
        <v>0</v>
      </c>
      <c r="N200" s="150">
        <f>SUM(Partner1:Partner10!N52)</f>
        <v>0</v>
      </c>
    </row>
    <row r="201" spans="6:14" s="38" customFormat="1" ht="12" x14ac:dyDescent="0.2">
      <c r="F201" s="447"/>
      <c r="G201" s="41" t="str">
        <f>STRAT6_IND4</f>
        <v>Objetivo estratégico 6 Indicador 4</v>
      </c>
      <c r="H201" s="260" t="str">
        <f ca="1">OFFSET(Variables_Lu!$D$10,Basic_Setup!H67,0)</f>
        <v>Nutrition-specific</v>
      </c>
      <c r="I201" s="67">
        <f>SUM(J201:N201)</f>
        <v>0</v>
      </c>
      <c r="J201" s="150">
        <f>SUM(Partner1:Partner10!J53)</f>
        <v>0</v>
      </c>
      <c r="K201" s="150">
        <f>SUM(Partner1:Partner10!K53)</f>
        <v>0</v>
      </c>
      <c r="L201" s="150">
        <f>SUM(Partner1:Partner10!L53)</f>
        <v>0</v>
      </c>
      <c r="M201" s="150">
        <f>SUM(Partner1:Partner10!M53)</f>
        <v>0</v>
      </c>
      <c r="N201" s="150">
        <f>SUM(Partner1:Partner10!N53)</f>
        <v>0</v>
      </c>
    </row>
    <row r="202" spans="6:14" s="38" customFormat="1" ht="12" x14ac:dyDescent="0.2">
      <c r="F202" s="448"/>
      <c r="G202" s="41" t="str">
        <f>STRAT6_IND5</f>
        <v>Objetivo estratégico 6 Indicador 5</v>
      </c>
      <c r="H202" s="260" t="str">
        <f ca="1">OFFSET(Variables_Lu!$D$10,Basic_Setup!H68,0)</f>
        <v>Nutrition-specific</v>
      </c>
      <c r="I202" s="67">
        <f>SUM(J202:N202)</f>
        <v>0</v>
      </c>
      <c r="J202" s="150">
        <f>SUM(Partner1:Partner10!J54)</f>
        <v>0</v>
      </c>
      <c r="K202" s="150">
        <f>SUM(Partner1:Partner10!K54)</f>
        <v>0</v>
      </c>
      <c r="L202" s="150">
        <f>SUM(Partner1:Partner10!L54)</f>
        <v>0</v>
      </c>
      <c r="M202" s="150">
        <f>SUM(Partner1:Partner10!M54)</f>
        <v>0</v>
      </c>
      <c r="N202" s="150">
        <f>SUM(Partner1:Partner10!N54)</f>
        <v>0</v>
      </c>
    </row>
    <row r="203" spans="6:14" s="38" customFormat="1" ht="12" x14ac:dyDescent="0.2">
      <c r="F203"/>
      <c r="G203"/>
      <c r="H203" s="152" t="s">
        <v>543</v>
      </c>
      <c r="I203" s="250">
        <f t="shared" ref="I203:N203" si="46">SUM(I198:I202)</f>
        <v>0</v>
      </c>
      <c r="J203" s="64">
        <f t="shared" si="46"/>
        <v>0</v>
      </c>
      <c r="K203" s="64">
        <f t="shared" si="46"/>
        <v>0</v>
      </c>
      <c r="L203" s="64">
        <f t="shared" si="46"/>
        <v>0</v>
      </c>
      <c r="M203" s="64">
        <f t="shared" si="46"/>
        <v>0</v>
      </c>
      <c r="N203" s="64">
        <f t="shared" si="46"/>
        <v>0</v>
      </c>
    </row>
    <row r="204" spans="6:14" s="38" customFormat="1" ht="12" x14ac:dyDescent="0.2">
      <c r="F204" s="447" t="str">
        <f>Strategy7</f>
        <v>Objetivo estratégico 7: [No está en uso]</v>
      </c>
      <c r="G204" s="42" t="str">
        <f>STRAT7_IND1</f>
        <v>Objetivo estratégico 7 Indicador 1</v>
      </c>
      <c r="H204" s="260" t="str">
        <f ca="1">OFFSET(Variables_Lu!$D$10,Basic_Setup!H70,0)</f>
        <v>Nutrition-specific</v>
      </c>
      <c r="I204" s="67">
        <f>SUM(J204:N204)</f>
        <v>0</v>
      </c>
      <c r="J204" s="150">
        <f>SUM(Partner1:Partner10!J56)</f>
        <v>0</v>
      </c>
      <c r="K204" s="150">
        <f>SUM(Partner1:Partner10!K56)</f>
        <v>0</v>
      </c>
      <c r="L204" s="150">
        <f>SUM(Partner1:Partner10!L56)</f>
        <v>0</v>
      </c>
      <c r="M204" s="150">
        <f>SUM(Partner1:Partner10!M56)</f>
        <v>0</v>
      </c>
      <c r="N204" s="150">
        <f>SUM(Partner1:Partner10!N56)</f>
        <v>0</v>
      </c>
    </row>
    <row r="205" spans="6:14" s="38" customFormat="1" ht="12" x14ac:dyDescent="0.2">
      <c r="F205" s="447"/>
      <c r="G205" s="42" t="str">
        <f>STRAT7_IND2</f>
        <v>Objetivo estratégico 7 Indicador 2</v>
      </c>
      <c r="H205" s="260" t="str">
        <f ca="1">OFFSET(Variables_Lu!$D$10,Basic_Setup!H71,0)</f>
        <v>Nutrition-specific</v>
      </c>
      <c r="I205" s="67">
        <f>SUM(J205:N205)</f>
        <v>0</v>
      </c>
      <c r="J205" s="150">
        <f>SUM(Partner1:Partner10!J57)</f>
        <v>0</v>
      </c>
      <c r="K205" s="150">
        <f>SUM(Partner1:Partner10!K57)</f>
        <v>0</v>
      </c>
      <c r="L205" s="150">
        <f>SUM(Partner1:Partner10!L57)</f>
        <v>0</v>
      </c>
      <c r="M205" s="150">
        <f>SUM(Partner1:Partner10!M57)</f>
        <v>0</v>
      </c>
      <c r="N205" s="150">
        <f>SUM(Partner1:Partner10!N57)</f>
        <v>0</v>
      </c>
    </row>
    <row r="206" spans="6:14" s="38" customFormat="1" ht="12" x14ac:dyDescent="0.2">
      <c r="F206" s="447"/>
      <c r="G206" s="42" t="str">
        <f>STRAT7_IND3</f>
        <v>Objetivo estratégico 7 Indicador 3</v>
      </c>
      <c r="H206" s="260" t="str">
        <f ca="1">OFFSET(Variables_Lu!$D$10,Basic_Setup!H72,0)</f>
        <v>Nutrition-specific</v>
      </c>
      <c r="I206" s="67">
        <f>SUM(J206:N206)</f>
        <v>0</v>
      </c>
      <c r="J206" s="150">
        <f>SUM(Partner1:Partner10!J58)</f>
        <v>0</v>
      </c>
      <c r="K206" s="150">
        <f>SUM(Partner1:Partner10!K58)</f>
        <v>0</v>
      </c>
      <c r="L206" s="150">
        <f>SUM(Partner1:Partner10!L58)</f>
        <v>0</v>
      </c>
      <c r="M206" s="150">
        <f>SUM(Partner1:Partner10!M58)</f>
        <v>0</v>
      </c>
      <c r="N206" s="150">
        <f>SUM(Partner1:Partner10!N58)</f>
        <v>0</v>
      </c>
    </row>
    <row r="207" spans="6:14" s="38" customFormat="1" ht="12" x14ac:dyDescent="0.2">
      <c r="F207" s="447"/>
      <c r="G207" s="41" t="str">
        <f>STRAT7_IND4</f>
        <v>Objetivo estratégico 7 Indicador 4</v>
      </c>
      <c r="H207" s="260" t="str">
        <f ca="1">OFFSET(Variables_Lu!$D$10,Basic_Setup!H73,0)</f>
        <v>Nutrition-specific</v>
      </c>
      <c r="I207" s="67">
        <f>SUM(J207:N207)</f>
        <v>0</v>
      </c>
      <c r="J207" s="150">
        <f>SUM(Partner1:Partner10!J59)</f>
        <v>0</v>
      </c>
      <c r="K207" s="150">
        <f>SUM(Partner1:Partner10!K59)</f>
        <v>0</v>
      </c>
      <c r="L207" s="150">
        <f>SUM(Partner1:Partner10!L59)</f>
        <v>0</v>
      </c>
      <c r="M207" s="150">
        <f>SUM(Partner1:Partner10!M59)</f>
        <v>0</v>
      </c>
      <c r="N207" s="150">
        <f>SUM(Partner1:Partner10!N59)</f>
        <v>0</v>
      </c>
    </row>
    <row r="208" spans="6:14" s="38" customFormat="1" ht="12" x14ac:dyDescent="0.2">
      <c r="F208" s="448"/>
      <c r="G208" s="41" t="str">
        <f>STRAT7_IND5</f>
        <v>Objetivo estratégico 7 Indicador 5</v>
      </c>
      <c r="H208" s="260" t="str">
        <f ca="1">OFFSET(Variables_Lu!$D$10,Basic_Setup!H74,0)</f>
        <v>Nutrition-specific</v>
      </c>
      <c r="I208" s="67">
        <f>SUM(J208:N208)</f>
        <v>0</v>
      </c>
      <c r="J208" s="150">
        <f>SUM(Partner1:Partner10!J60)</f>
        <v>0</v>
      </c>
      <c r="K208" s="150">
        <f>SUM(Partner1:Partner10!K60)</f>
        <v>0</v>
      </c>
      <c r="L208" s="150">
        <f>SUM(Partner1:Partner10!L60)</f>
        <v>0</v>
      </c>
      <c r="M208" s="150">
        <f>SUM(Partner1:Partner10!M60)</f>
        <v>0</v>
      </c>
      <c r="N208" s="150">
        <f>SUM(Partner1:Partner10!N60)</f>
        <v>0</v>
      </c>
    </row>
    <row r="209" spans="6:14" s="38" customFormat="1" ht="12" x14ac:dyDescent="0.2">
      <c r="F209"/>
      <c r="G209"/>
      <c r="H209" s="152" t="s">
        <v>544</v>
      </c>
      <c r="I209" s="250">
        <f t="shared" ref="I209:N209" si="47">SUM(I204:I208)</f>
        <v>0</v>
      </c>
      <c r="J209" s="106">
        <f t="shared" si="47"/>
        <v>0</v>
      </c>
      <c r="K209" s="106">
        <f t="shared" si="47"/>
        <v>0</v>
      </c>
      <c r="L209" s="106">
        <f t="shared" si="47"/>
        <v>0</v>
      </c>
      <c r="M209" s="106">
        <f t="shared" si="47"/>
        <v>0</v>
      </c>
      <c r="N209" s="106">
        <f t="shared" si="47"/>
        <v>0</v>
      </c>
    </row>
    <row r="210" spans="6:14" s="38" customFormat="1" ht="12" x14ac:dyDescent="0.2">
      <c r="F210" s="447" t="str">
        <f>Strategy8</f>
        <v>Objetivo estratégico 8: [No está en uso]</v>
      </c>
      <c r="G210" s="42" t="str">
        <f>STRAT8_IND1</f>
        <v>Objetivo estratégico 8 Indicador 1</v>
      </c>
      <c r="H210" s="260" t="str">
        <f ca="1">OFFSET(Variables_Lu!$D$10,Basic_Setup!H76,0)</f>
        <v>Nutrition-specific</v>
      </c>
      <c r="I210" s="67">
        <f>SUM(J210:N210)</f>
        <v>0</v>
      </c>
      <c r="J210" s="150">
        <f>SUM(Partner1:Partner10!J62)</f>
        <v>0</v>
      </c>
      <c r="K210" s="150">
        <f>SUM(Partner1:Partner10!K62)</f>
        <v>0</v>
      </c>
      <c r="L210" s="150">
        <f>SUM(Partner1:Partner10!L62)</f>
        <v>0</v>
      </c>
      <c r="M210" s="150">
        <f>SUM(Partner1:Partner10!M62)</f>
        <v>0</v>
      </c>
      <c r="N210" s="150">
        <f>SUM(Partner1:Partner10!N62)</f>
        <v>0</v>
      </c>
    </row>
    <row r="211" spans="6:14" s="38" customFormat="1" ht="12" x14ac:dyDescent="0.2">
      <c r="F211" s="447"/>
      <c r="G211" s="42" t="str">
        <f>STRAT8_IND2</f>
        <v>Objetivo estratégico 8 Indicador 2</v>
      </c>
      <c r="H211" s="260" t="str">
        <f ca="1">OFFSET(Variables_Lu!$D$10,Basic_Setup!H77,0)</f>
        <v>Nutrition-specific</v>
      </c>
      <c r="I211" s="67">
        <f>SUM(J211:N211)</f>
        <v>0</v>
      </c>
      <c r="J211" s="150">
        <f>SUM(Partner1:Partner10!J63)</f>
        <v>0</v>
      </c>
      <c r="K211" s="150">
        <f>SUM(Partner1:Partner10!K63)</f>
        <v>0</v>
      </c>
      <c r="L211" s="150">
        <f>SUM(Partner1:Partner10!L63)</f>
        <v>0</v>
      </c>
      <c r="M211" s="150">
        <f>SUM(Partner1:Partner10!M63)</f>
        <v>0</v>
      </c>
      <c r="N211" s="150">
        <f>SUM(Partner1:Partner10!N63)</f>
        <v>0</v>
      </c>
    </row>
    <row r="212" spans="6:14" s="38" customFormat="1" ht="12" x14ac:dyDescent="0.2">
      <c r="F212" s="447"/>
      <c r="G212" s="42" t="str">
        <f>STRAT8_IND3</f>
        <v>Objetivo estratégico 8 Indicador 3</v>
      </c>
      <c r="H212" s="260" t="str">
        <f ca="1">OFFSET(Variables_Lu!$D$10,Basic_Setup!H78,0)</f>
        <v>Nutrition-specific</v>
      </c>
      <c r="I212" s="67">
        <f>SUM(J212:N212)</f>
        <v>0</v>
      </c>
      <c r="J212" s="150">
        <f>SUM(Partner1:Partner10!J64)</f>
        <v>0</v>
      </c>
      <c r="K212" s="150">
        <f>SUM(Partner1:Partner10!K64)</f>
        <v>0</v>
      </c>
      <c r="L212" s="150">
        <f>SUM(Partner1:Partner10!L64)</f>
        <v>0</v>
      </c>
      <c r="M212" s="150">
        <f>SUM(Partner1:Partner10!M64)</f>
        <v>0</v>
      </c>
      <c r="N212" s="150">
        <f>SUM(Partner1:Partner10!N64)</f>
        <v>0</v>
      </c>
    </row>
    <row r="213" spans="6:14" s="38" customFormat="1" ht="12" x14ac:dyDescent="0.2">
      <c r="F213" s="447"/>
      <c r="G213" s="41" t="str">
        <f>STRAT8_IND4</f>
        <v>Objetivo estratégico 8 Indicador 4</v>
      </c>
      <c r="H213" s="260" t="str">
        <f ca="1">OFFSET(Variables_Lu!$D$10,Basic_Setup!H79,0)</f>
        <v>Nutrition-specific</v>
      </c>
      <c r="I213" s="67">
        <f>SUM(J213:N213)</f>
        <v>0</v>
      </c>
      <c r="J213" s="150">
        <f>SUM(Partner1:Partner10!J65)</f>
        <v>0</v>
      </c>
      <c r="K213" s="150">
        <f>SUM(Partner1:Partner10!K65)</f>
        <v>0</v>
      </c>
      <c r="L213" s="150">
        <f>SUM(Partner1:Partner10!L65)</f>
        <v>0</v>
      </c>
      <c r="M213" s="150">
        <f>SUM(Partner1:Partner10!M65)</f>
        <v>0</v>
      </c>
      <c r="N213" s="150">
        <f>SUM(Partner1:Partner10!N65)</f>
        <v>0</v>
      </c>
    </row>
    <row r="214" spans="6:14" s="38" customFormat="1" ht="12" x14ac:dyDescent="0.2">
      <c r="F214" s="448"/>
      <c r="G214" s="41" t="str">
        <f>STRAT8_IND5</f>
        <v>Objetivo estratégico 8 Indicador 5</v>
      </c>
      <c r="H214" s="260" t="str">
        <f ca="1">OFFSET(Variables_Lu!$D$10,Basic_Setup!H80,0)</f>
        <v>Nutrition-specific</v>
      </c>
      <c r="I214" s="67">
        <f>SUM(J214:N214)</f>
        <v>0</v>
      </c>
      <c r="J214" s="150">
        <f>SUM(Partner1:Partner10!J66)</f>
        <v>0</v>
      </c>
      <c r="K214" s="150">
        <f>SUM(Partner1:Partner10!K66)</f>
        <v>0</v>
      </c>
      <c r="L214" s="150">
        <f>SUM(Partner1:Partner10!L66)</f>
        <v>0</v>
      </c>
      <c r="M214" s="150">
        <f>SUM(Partner1:Partner10!M66)</f>
        <v>0</v>
      </c>
      <c r="N214" s="150">
        <f>SUM(Partner1:Partner10!N66)</f>
        <v>0</v>
      </c>
    </row>
    <row r="215" spans="6:14" ht="12" x14ac:dyDescent="0.2">
      <c r="H215" s="152" t="s">
        <v>545</v>
      </c>
      <c r="I215" s="250">
        <f t="shared" ref="I215:N215" si="48">SUM(I210:I214)</f>
        <v>0</v>
      </c>
      <c r="J215" s="106">
        <f t="shared" si="48"/>
        <v>0</v>
      </c>
      <c r="K215" s="106">
        <f t="shared" si="48"/>
        <v>0</v>
      </c>
      <c r="L215" s="106">
        <f t="shared" si="48"/>
        <v>0</v>
      </c>
      <c r="M215" s="106">
        <f t="shared" si="48"/>
        <v>0</v>
      </c>
      <c r="N215" s="106">
        <f t="shared" si="48"/>
        <v>0</v>
      </c>
    </row>
    <row r="216" spans="6:14" ht="12" x14ac:dyDescent="0.2">
      <c r="F216" s="447" t="str">
        <f>Strategy9</f>
        <v>Objetivo estratégico 9: [No está en uso]</v>
      </c>
      <c r="G216" s="42" t="str">
        <f>STRAT9_IND1</f>
        <v>Objetivo estratégico 9 Indicador 1</v>
      </c>
      <c r="H216" s="260" t="str">
        <f ca="1">OFFSET(Variables_Lu!$D$10,Basic_Setup!H82,0)</f>
        <v>Nutrition-specific</v>
      </c>
      <c r="I216" s="67">
        <f>SUM(J216:N216)</f>
        <v>0</v>
      </c>
      <c r="J216" s="150">
        <f>SUM(Partner1:Partner10!J68)</f>
        <v>0</v>
      </c>
      <c r="K216" s="150">
        <f>SUM(Partner1:Partner10!K68)</f>
        <v>0</v>
      </c>
      <c r="L216" s="150">
        <f>SUM(Partner1:Partner10!L68)</f>
        <v>0</v>
      </c>
      <c r="M216" s="150">
        <f>SUM(Partner1:Partner10!M68)</f>
        <v>0</v>
      </c>
      <c r="N216" s="150">
        <f>SUM(Partner1:Partner10!N68)</f>
        <v>0</v>
      </c>
    </row>
    <row r="217" spans="6:14" ht="12" x14ac:dyDescent="0.2">
      <c r="F217" s="447"/>
      <c r="G217" s="42" t="str">
        <f>STRAT9_IND2</f>
        <v>Objetivo estratégico 9 Indicador 2</v>
      </c>
      <c r="H217" s="260" t="str">
        <f ca="1">OFFSET(Variables_Lu!$D$10,Basic_Setup!H83,0)</f>
        <v>Nutrition-specific</v>
      </c>
      <c r="I217" s="67">
        <f>SUM(J217:N217)</f>
        <v>0</v>
      </c>
      <c r="J217" s="150">
        <f>SUM(Partner1:Partner10!J69)</f>
        <v>0</v>
      </c>
      <c r="K217" s="150">
        <f>SUM(Partner1:Partner10!K69)</f>
        <v>0</v>
      </c>
      <c r="L217" s="150">
        <f>SUM(Partner1:Partner10!L69)</f>
        <v>0</v>
      </c>
      <c r="M217" s="150">
        <f>SUM(Partner1:Partner10!M69)</f>
        <v>0</v>
      </c>
      <c r="N217" s="150">
        <f>SUM(Partner1:Partner10!N69)</f>
        <v>0</v>
      </c>
    </row>
    <row r="218" spans="6:14" ht="12" x14ac:dyDescent="0.2">
      <c r="F218" s="447"/>
      <c r="G218" s="42" t="str">
        <f>STRAT9_IND3</f>
        <v>Objetivo estratégico 9 Indicador 3</v>
      </c>
      <c r="H218" s="260" t="str">
        <f ca="1">OFFSET(Variables_Lu!$D$10,Basic_Setup!H84,0)</f>
        <v>Nutrition-specific</v>
      </c>
      <c r="I218" s="67">
        <f>SUM(J218:N218)</f>
        <v>0</v>
      </c>
      <c r="J218" s="150">
        <f>SUM(Partner1:Partner10!J70)</f>
        <v>0</v>
      </c>
      <c r="K218" s="150">
        <f>SUM(Partner1:Partner10!K70)</f>
        <v>0</v>
      </c>
      <c r="L218" s="150">
        <f>SUM(Partner1:Partner10!L70)</f>
        <v>0</v>
      </c>
      <c r="M218" s="150">
        <f>SUM(Partner1:Partner10!M70)</f>
        <v>0</v>
      </c>
      <c r="N218" s="150">
        <f>SUM(Partner1:Partner10!N70)</f>
        <v>0</v>
      </c>
    </row>
    <row r="219" spans="6:14" ht="12" x14ac:dyDescent="0.2">
      <c r="F219" s="447"/>
      <c r="G219" s="41" t="str">
        <f>STRAT9_IND4</f>
        <v>Objetivo estratégico 9 Indicador 4</v>
      </c>
      <c r="H219" s="260" t="str">
        <f ca="1">OFFSET(Variables_Lu!$D$10,Basic_Setup!H85,0)</f>
        <v>Nutrition-specific</v>
      </c>
      <c r="I219" s="67">
        <f>SUM(J219:N219)</f>
        <v>0</v>
      </c>
      <c r="J219" s="150">
        <f>SUM(Partner1:Partner10!J71)</f>
        <v>0</v>
      </c>
      <c r="K219" s="150">
        <f>SUM(Partner1:Partner10!K71)</f>
        <v>0</v>
      </c>
      <c r="L219" s="150">
        <f>SUM(Partner1:Partner10!L71)</f>
        <v>0</v>
      </c>
      <c r="M219" s="150">
        <f>SUM(Partner1:Partner10!M71)</f>
        <v>0</v>
      </c>
      <c r="N219" s="150">
        <f>SUM(Partner1:Partner10!N71)</f>
        <v>0</v>
      </c>
    </row>
    <row r="220" spans="6:14" ht="12" x14ac:dyDescent="0.2">
      <c r="F220" s="448"/>
      <c r="G220" s="41" t="str">
        <f>STRAT9_IND5</f>
        <v>Objetivo estratégico 9 Indicador 5</v>
      </c>
      <c r="H220" s="260" t="str">
        <f ca="1">OFFSET(Variables_Lu!$D$10,Basic_Setup!H86,0)</f>
        <v>Nutrition-specific</v>
      </c>
      <c r="I220" s="67">
        <f>SUM(J220:N220)</f>
        <v>0</v>
      </c>
      <c r="J220" s="150">
        <f>SUM(Partner1:Partner10!J72)</f>
        <v>0</v>
      </c>
      <c r="K220" s="150">
        <f>SUM(Partner1:Partner10!K72)</f>
        <v>0</v>
      </c>
      <c r="L220" s="150">
        <f>SUM(Partner1:Partner10!L72)</f>
        <v>0</v>
      </c>
      <c r="M220" s="150">
        <f>SUM(Partner1:Partner10!M72)</f>
        <v>0</v>
      </c>
      <c r="N220" s="150">
        <f>SUM(Partner1:Partner10!N72)</f>
        <v>0</v>
      </c>
    </row>
    <row r="221" spans="6:14" ht="12" x14ac:dyDescent="0.2">
      <c r="H221" s="152" t="s">
        <v>546</v>
      </c>
      <c r="I221" s="250">
        <f t="shared" ref="I221:N221" si="49">SUM(I216:I220)</f>
        <v>0</v>
      </c>
      <c r="J221" s="106">
        <f t="shared" si="49"/>
        <v>0</v>
      </c>
      <c r="K221" s="106">
        <f t="shared" si="49"/>
        <v>0</v>
      </c>
      <c r="L221" s="106">
        <f t="shared" si="49"/>
        <v>0</v>
      </c>
      <c r="M221" s="106">
        <f t="shared" si="49"/>
        <v>0</v>
      </c>
      <c r="N221" s="106">
        <f t="shared" si="49"/>
        <v>0</v>
      </c>
    </row>
    <row r="222" spans="6:14" ht="12" x14ac:dyDescent="0.2">
      <c r="F222" s="447" t="str">
        <f>Strategy10</f>
        <v>Objetivo estratégico 10: [No está en uso]</v>
      </c>
      <c r="G222" s="42" t="str">
        <f>STRAT10_IND1</f>
        <v>Objetivo estratégico 10 Indicador 1</v>
      </c>
      <c r="H222" s="260" t="str">
        <f ca="1">OFFSET(Variables_Lu!$D$10,Basic_Setup!H88,0)</f>
        <v>Nutrition-specific</v>
      </c>
      <c r="I222" s="67">
        <f>SUM(J222:N222)</f>
        <v>0</v>
      </c>
      <c r="J222" s="150">
        <f>SUM(Partner1:Partner10!J74)</f>
        <v>0</v>
      </c>
      <c r="K222" s="150">
        <f>SUM(Partner1:Partner10!K74)</f>
        <v>0</v>
      </c>
      <c r="L222" s="150">
        <f>SUM(Partner1:Partner10!L74)</f>
        <v>0</v>
      </c>
      <c r="M222" s="150">
        <f>SUM(Partner1:Partner10!M74)</f>
        <v>0</v>
      </c>
      <c r="N222" s="150">
        <f>SUM(Partner1:Partner10!N74)</f>
        <v>0</v>
      </c>
    </row>
    <row r="223" spans="6:14" ht="12" x14ac:dyDescent="0.2">
      <c r="F223" s="447"/>
      <c r="G223" s="42" t="str">
        <f>STRAT10_IND2</f>
        <v>Objetivo estratégico 10 Indicador 2</v>
      </c>
      <c r="H223" s="260" t="str">
        <f ca="1">OFFSET(Variables_Lu!$D$10,Basic_Setup!H89,0)</f>
        <v>Nutrition-specific</v>
      </c>
      <c r="I223" s="67">
        <f>SUM(J223:N223)</f>
        <v>0</v>
      </c>
      <c r="J223" s="150">
        <f>SUM(Partner1:Partner10!J75)</f>
        <v>0</v>
      </c>
      <c r="K223" s="150">
        <f>SUM(Partner1:Partner10!K75)</f>
        <v>0</v>
      </c>
      <c r="L223" s="150">
        <f>SUM(Partner1:Partner10!L75)</f>
        <v>0</v>
      </c>
      <c r="M223" s="150">
        <f>SUM(Partner1:Partner10!M75)</f>
        <v>0</v>
      </c>
      <c r="N223" s="150">
        <f>SUM(Partner1:Partner10!N75)</f>
        <v>0</v>
      </c>
    </row>
    <row r="224" spans="6:14" ht="12" x14ac:dyDescent="0.2">
      <c r="F224" s="447"/>
      <c r="G224" s="42" t="str">
        <f>STRAT10_IND3</f>
        <v>Objetivo estratégico 10 Indicador 3</v>
      </c>
      <c r="H224" s="260" t="str">
        <f ca="1">OFFSET(Variables_Lu!$D$10,Basic_Setup!H90,0)</f>
        <v>Nutrition-specific</v>
      </c>
      <c r="I224" s="67">
        <f>SUM(J224:N224)</f>
        <v>0</v>
      </c>
      <c r="J224" s="150">
        <f>SUM(Partner1:Partner10!J76)</f>
        <v>0</v>
      </c>
      <c r="K224" s="150">
        <f>SUM(Partner1:Partner10!K76)</f>
        <v>0</v>
      </c>
      <c r="L224" s="150">
        <f>SUM(Partner1:Partner10!L76)</f>
        <v>0</v>
      </c>
      <c r="M224" s="150">
        <f>SUM(Partner1:Partner10!M76)</f>
        <v>0</v>
      </c>
      <c r="N224" s="150">
        <f>SUM(Partner1:Partner10!N76)</f>
        <v>0</v>
      </c>
    </row>
    <row r="225" spans="6:14" ht="12" x14ac:dyDescent="0.2">
      <c r="F225" s="447"/>
      <c r="G225" s="41" t="str">
        <f>STRAT10_IND4</f>
        <v>Objetivo estratégico 10 Indicador 4</v>
      </c>
      <c r="H225" s="260" t="str">
        <f ca="1">OFFSET(Variables_Lu!$D$10,Basic_Setup!H91,0)</f>
        <v>Nutrition-specific</v>
      </c>
      <c r="I225" s="67">
        <f>SUM(J225:N225)</f>
        <v>0</v>
      </c>
      <c r="J225" s="150">
        <f>SUM(Partner1:Partner10!J77)</f>
        <v>0</v>
      </c>
      <c r="K225" s="150">
        <f>SUM(Partner1:Partner10!K77)</f>
        <v>0</v>
      </c>
      <c r="L225" s="150">
        <f>SUM(Partner1:Partner10!L77)</f>
        <v>0</v>
      </c>
      <c r="M225" s="150">
        <f>SUM(Partner1:Partner10!M77)</f>
        <v>0</v>
      </c>
      <c r="N225" s="150">
        <f>SUM(Partner1:Partner10!N77)</f>
        <v>0</v>
      </c>
    </row>
    <row r="226" spans="6:14" ht="12" x14ac:dyDescent="0.2">
      <c r="F226" s="448"/>
      <c r="G226" s="41" t="str">
        <f>STRAT10_IND5</f>
        <v>Objetivo estratégico 10 Indicador 5</v>
      </c>
      <c r="H226" s="260" t="str">
        <f ca="1">OFFSET(Variables_Lu!$D$10,Basic_Setup!H92,0)</f>
        <v>Nutrition-specific</v>
      </c>
      <c r="I226" s="67">
        <f>SUM(J226:N226)</f>
        <v>0</v>
      </c>
      <c r="J226" s="150">
        <f>SUM(Partner1:Partner10!J78)</f>
        <v>0</v>
      </c>
      <c r="K226" s="150">
        <f>SUM(Partner1:Partner10!K78)</f>
        <v>0</v>
      </c>
      <c r="L226" s="150">
        <f>SUM(Partner1:Partner10!L78)</f>
        <v>0</v>
      </c>
      <c r="M226" s="150">
        <f>SUM(Partner1:Partner10!M78)</f>
        <v>0</v>
      </c>
      <c r="N226" s="150">
        <f>SUM(Partner1:Partner10!N78)</f>
        <v>0</v>
      </c>
    </row>
    <row r="227" spans="6:14" ht="12" x14ac:dyDescent="0.2">
      <c r="H227" s="152" t="s">
        <v>547</v>
      </c>
      <c r="I227" s="250">
        <f t="shared" ref="I227:N227" si="50">SUM(I222:I226)</f>
        <v>0</v>
      </c>
      <c r="J227" s="64">
        <f t="shared" si="50"/>
        <v>0</v>
      </c>
      <c r="K227" s="64">
        <f t="shared" si="50"/>
        <v>0</v>
      </c>
      <c r="L227" s="64">
        <f t="shared" si="50"/>
        <v>0</v>
      </c>
      <c r="M227" s="64">
        <f t="shared" si="50"/>
        <v>0</v>
      </c>
      <c r="N227" s="64">
        <f t="shared" si="50"/>
        <v>0</v>
      </c>
    </row>
    <row r="228" spans="6:14" ht="12" x14ac:dyDescent="0.2">
      <c r="H228" s="53"/>
      <c r="I228" s="104"/>
      <c r="J228" s="64"/>
      <c r="K228" s="64"/>
      <c r="L228" s="64"/>
      <c r="M228" s="64"/>
      <c r="N228" s="64"/>
    </row>
    <row r="229" spans="6:14" ht="12.6" thickBot="1" x14ac:dyDescent="0.25">
      <c r="H229" s="149" t="str">
        <f>"TOTAL - "&amp;Summary_Partner_Contributions!$F$12&amp;" ("&amp;CURR_INT_ABBR&amp;")"</f>
        <v>TOTAL - TODAS las contribuciones de los socios (USD)</v>
      </c>
      <c r="I229" s="321">
        <f t="shared" ref="I229:N229" si="51">SUM(I173,I179,I185,I191,I197,I203,I209,I215,I221,I227)</f>
        <v>160380908</v>
      </c>
      <c r="J229" s="65">
        <f t="shared" si="51"/>
        <v>38149564</v>
      </c>
      <c r="K229" s="65">
        <f t="shared" si="51"/>
        <v>62623516</v>
      </c>
      <c r="L229" s="65">
        <f t="shared" si="51"/>
        <v>36731828</v>
      </c>
      <c r="M229" s="65">
        <f t="shared" si="51"/>
        <v>11443000</v>
      </c>
      <c r="N229" s="65">
        <f t="shared" si="51"/>
        <v>11433000</v>
      </c>
    </row>
    <row r="230" spans="6:14" x14ac:dyDescent="0.2">
      <c r="I230" s="105"/>
    </row>
  </sheetData>
  <sheetProtection algorithmName="SHA-512" hashValue="Yya+GpvcDI7YkmOPjtzY0cSBCsmdtnwkNFskh8Opl/xSbIAE+wVB95hNza3yIRuYov6xp6oXKaA27WwyccJImw==" saltValue="G+wtolerQiZIBeFuwwnc3w==" spinCount="100000" sheet="1" objects="1" scenarios="1"/>
  <mergeCells count="21">
    <mergeCell ref="F216:F220"/>
    <mergeCell ref="F222:F226"/>
    <mergeCell ref="B3:F3"/>
    <mergeCell ref="F168:F172"/>
    <mergeCell ref="F174:F178"/>
    <mergeCell ref="F180:F184"/>
    <mergeCell ref="F186:F190"/>
    <mergeCell ref="F192:F196"/>
    <mergeCell ref="F198:F202"/>
    <mergeCell ref="F204:F208"/>
    <mergeCell ref="F210:F214"/>
    <mergeCell ref="F101:F105"/>
    <mergeCell ref="F107:F111"/>
    <mergeCell ref="F113:F117"/>
    <mergeCell ref="F119:F123"/>
    <mergeCell ref="F125:F129"/>
    <mergeCell ref="F131:F135"/>
    <mergeCell ref="F137:F141"/>
    <mergeCell ref="F143:F147"/>
    <mergeCell ref="F149:F153"/>
    <mergeCell ref="F155:F159"/>
  </mergeCells>
  <conditionalFormatting sqref="I195">
    <cfRule type="cellIs" dxfId="0" priority="3" stopIfTrue="1" operator="notEqual">
      <formula>0</formula>
    </cfRule>
  </conditionalFormatting>
  <dataValidations count="1">
    <dataValidation type="custom" showErrorMessage="1" errorTitle="Invalid Assumption" error="Assumption must be a number." sqref="J101:N105 J180:N184 J174:N178 J168:N172 J186:N190 J192:N202 J204:N208 J210:N214 J216:N220 J155:N159 J107:N111 J149:N153 J113:N117 J119:N123 J125:N129 J131:N135 J137:N141 J143:N147 J222:N226" xr:uid="{00000000-0002-0000-2100-000000000000}">
      <formula1>NOT(ISERROR(J101/1))</formula1>
    </dataValidation>
  </dataValidations>
  <hyperlinks>
    <hyperlink ref="C4" location="HL_Sheet_Main_15" tooltip="Go to Next Sheet" display="è" xr:uid="{00000000-0004-0000-2100-000000000000}"/>
    <hyperlink ref="A4" r:id="rId1" tooltip="Go to Top of Sheet" xr:uid="{00000000-0004-0000-2100-000001000000}"/>
    <hyperlink ref="B4" location="Summary_Govt_Contributions!HL_Sheet_Main_14" tooltip="Go to Previous Sheet" display="ç" xr:uid="{00000000-0004-0000-2100-000002000000}"/>
    <hyperlink ref="B3" location="HL_Home" tooltip="Go to Table of Contents" display="Ir al índice" xr:uid="{00000000-0004-0000-2100-000003000000}"/>
    <hyperlink ref="A14" location="Outputs!A1" tooltip="Click to follow hyperlink." display="ï" xr:uid="{00000000-0004-0000-2100-000004000000}"/>
    <hyperlink ref="A46" location="Outputs!A1" tooltip="Click to follow hyperlink." display="ï" xr:uid="{00000000-0004-0000-2100-000005000000}"/>
    <hyperlink ref="A78" location="Outputs!A1" tooltip="Click to follow hyperlink." display="ï" xr:uid="{00000000-0004-0000-2100-000006000000}"/>
    <hyperlink ref="A96" location="Outputs!A1" tooltip="Click to follow hyperlink." display="ï" xr:uid="{00000000-0004-0000-2100-000007000000}"/>
  </hyperlinks>
  <pageMargins left="0.4" right="0.4" top="0.6" bottom="1" header="0" footer="0.3"/>
  <pageSetup orientation="landscape" r:id="rId2"/>
  <headerFooter>
    <oddFooter>&amp;L&amp;F
&amp;A
Impreso: &amp;T en &amp;D&amp;C&amp;",Bold"Sheet 3.b.
Página &amp;P de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4"/>
  </sheetPr>
  <dimension ref="A1:N202"/>
  <sheetViews>
    <sheetView showGridLines="0" workbookViewId="0">
      <pane ySplit="12" topLeftCell="A205" activePane="bottomLeft" state="frozen"/>
      <selection pane="bottomLeft"/>
    </sheetView>
  </sheetViews>
  <sheetFormatPr defaultColWidth="11.75" defaultRowHeight="11.4" x14ac:dyDescent="0.2"/>
  <cols>
    <col min="1" max="5" width="3.75" customWidth="1"/>
    <col min="6" max="6" width="30.125" customWidth="1"/>
    <col min="7" max="7" width="50.75" customWidth="1"/>
    <col min="8" max="8" width="23.25" customWidth="1"/>
    <col min="9" max="9" width="26.75" customWidth="1"/>
    <col min="10" max="14" width="20.625" customWidth="1"/>
  </cols>
  <sheetData>
    <row r="1" spans="1:14" ht="13.8" x14ac:dyDescent="0.2">
      <c r="B1" s="143" t="str">
        <f ca="1">IF(ISERROR(RIGHT(CELL("filename",$A$1),LEN(CELL("filename",$A$1))-FIND("]",CELL("filename",$A$1)))),"This workbook never saved",RIGHT(CELL("filename",$A$1),LEN(CELL("filename",$A$1))-FIND("]",CELL("filename",$A$1))))</f>
        <v>Summary_Available_Funds</v>
      </c>
    </row>
    <row r="2" spans="1:14" ht="13.2" x14ac:dyDescent="0.2">
      <c r="B2" s="185" t="str">
        <f>Model_Name</f>
        <v>Financial Gap Analysis Tool - País X (Datos de la muestra)</v>
      </c>
    </row>
    <row r="3" spans="1:14" x14ac:dyDescent="0.2">
      <c r="B3" s="425" t="s">
        <v>524</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collapsed="1" x14ac:dyDescent="0.2"/>
    <row r="12" spans="1:14" ht="12" x14ac:dyDescent="0.2">
      <c r="F12" s="48" t="s">
        <v>288</v>
      </c>
    </row>
    <row r="14" spans="1:14" x14ac:dyDescent="0.2">
      <c r="A14" s="35" t="s">
        <v>77</v>
      </c>
      <c r="B14" s="1" t="s">
        <v>488</v>
      </c>
      <c r="C14" s="1"/>
      <c r="D14" s="1"/>
      <c r="E14" s="1"/>
      <c r="F14" s="1"/>
      <c r="G14" s="1"/>
      <c r="H14" s="1"/>
      <c r="I14" s="1"/>
      <c r="J14" s="1"/>
      <c r="K14" s="1"/>
      <c r="L14" s="1"/>
      <c r="M14" s="1"/>
      <c r="N14" s="1"/>
    </row>
    <row r="16" spans="1:14" ht="12.75" customHeight="1" x14ac:dyDescent="0.2">
      <c r="F16" s="148" t="str">
        <f>"Contributions - "&amp;CURR_LCU_ABBR</f>
        <v>Contributions - GOZ</v>
      </c>
    </row>
    <row r="17" spans="6:14" ht="12" x14ac:dyDescent="0.2">
      <c r="H17" s="136" t="s">
        <v>548</v>
      </c>
      <c r="I17" s="145" t="s">
        <v>106</v>
      </c>
      <c r="J17" s="56" t="str">
        <f>CURR_LCU_ABBR</f>
        <v>GOZ</v>
      </c>
      <c r="K17" s="56" t="str">
        <f>CURR_LCU_ABBR</f>
        <v>GOZ</v>
      </c>
      <c r="L17" s="56" t="str">
        <f>CURR_LCU_ABBR</f>
        <v>GOZ</v>
      </c>
      <c r="M17" s="56" t="str">
        <f>CURR_LCU_ABBR</f>
        <v>GOZ</v>
      </c>
      <c r="N17" s="56" t="str">
        <f>CURR_LCU_ABBR</f>
        <v>GOZ</v>
      </c>
    </row>
    <row r="18" spans="6:14" ht="12" x14ac:dyDescent="0.2">
      <c r="F18" t="str">
        <f>Strategy1</f>
        <v>Objetivo estratégico 1: Fortalecer la gobernanza de la nutrición</v>
      </c>
      <c r="H18" s="289">
        <f>I18/I$28</f>
        <v>8.933172457237272E-3</v>
      </c>
      <c r="I18" s="323">
        <f t="shared" ref="I18:N18" si="2">I74</f>
        <v>3909943115.5439701</v>
      </c>
      <c r="J18" s="52">
        <f t="shared" si="2"/>
        <v>931162183.10879397</v>
      </c>
      <c r="K18" s="52">
        <f t="shared" si="2"/>
        <v>1444567183.108794</v>
      </c>
      <c r="L18" s="52">
        <f t="shared" si="2"/>
        <v>861052183.10879397</v>
      </c>
      <c r="M18" s="52">
        <f t="shared" si="2"/>
        <v>341080783.10879397</v>
      </c>
      <c r="N18" s="52">
        <f t="shared" si="2"/>
        <v>332080783.10879397</v>
      </c>
    </row>
    <row r="19" spans="6:14" ht="12" x14ac:dyDescent="0.2">
      <c r="F19" t="str">
        <f>Strategy2</f>
        <v>Objetivo estratégico 2: Fortalecer el acceso al tratamiento y a los servicios de salud y nutrición de calidad, así como al tratamiento de todas las formas de malnutrición</v>
      </c>
      <c r="H19" s="289">
        <f t="shared" ref="H19:H25" si="3">I19/I$28</f>
        <v>0.19885837804172951</v>
      </c>
      <c r="I19" s="323">
        <f>I80</f>
        <v>87037941998.151306</v>
      </c>
      <c r="J19" s="52">
        <f>J80</f>
        <v>18340829179.63026</v>
      </c>
      <c r="K19" s="52">
        <f t="shared" ref="K19:N19" si="4">K80</f>
        <v>23864621479.63026</v>
      </c>
      <c r="L19" s="52">
        <f t="shared" si="4"/>
        <v>18358829179.63026</v>
      </c>
      <c r="M19" s="52">
        <f t="shared" si="4"/>
        <v>13241331079.630262</v>
      </c>
      <c r="N19" s="52">
        <f t="shared" si="4"/>
        <v>13232331079.630262</v>
      </c>
    </row>
    <row r="20" spans="6:14" ht="12" x14ac:dyDescent="0.2">
      <c r="F20" t="str">
        <f>Strategy3</f>
        <v>Objetivo estratégico 3: Aumentar la disponibilidad y el acceso a alimentos nutritivos de alto valor, seguros y diversificados</v>
      </c>
      <c r="H20" s="289">
        <f t="shared" si="3"/>
        <v>0.49126025200970408</v>
      </c>
      <c r="I20" s="323">
        <f t="shared" ref="I20:N20" si="5">I86</f>
        <v>215018757275.81961</v>
      </c>
      <c r="J20" s="52">
        <f t="shared" si="5"/>
        <v>50878255015.163925</v>
      </c>
      <c r="K20" s="52">
        <f t="shared" si="5"/>
        <v>82909217215.163925</v>
      </c>
      <c r="L20" s="52">
        <f t="shared" si="5"/>
        <v>49145035015.163925</v>
      </c>
      <c r="M20" s="52">
        <f t="shared" si="5"/>
        <v>16043125015.163923</v>
      </c>
      <c r="N20" s="52">
        <f t="shared" si="5"/>
        <v>16043125015.163923</v>
      </c>
    </row>
    <row r="21" spans="6:14" ht="12" x14ac:dyDescent="0.2">
      <c r="F21" t="str">
        <f>Strategy4</f>
        <v>Objetivo estratégico 4: Fortalecer la protección social, la resiliencia de la respuesta a las emergencias y los desastres naturales.</v>
      </c>
      <c r="H21" s="289">
        <f t="shared" si="3"/>
        <v>0.22074230689873459</v>
      </c>
      <c r="I21" s="323">
        <f t="shared" ref="I21:N21" si="6">I92</f>
        <v>96616276837.772583</v>
      </c>
      <c r="J21" s="52">
        <f t="shared" si="6"/>
        <v>20643526387.554512</v>
      </c>
      <c r="K21" s="52">
        <f t="shared" si="6"/>
        <v>26783210287.554512</v>
      </c>
      <c r="L21" s="52">
        <f t="shared" si="6"/>
        <v>20576206387.554512</v>
      </c>
      <c r="M21" s="52">
        <f t="shared" si="6"/>
        <v>14306666887.554514</v>
      </c>
      <c r="N21" s="52">
        <f t="shared" si="6"/>
        <v>14306666887.554514</v>
      </c>
    </row>
    <row r="22" spans="6:14" ht="12" x14ac:dyDescent="0.2">
      <c r="F22" t="str">
        <f>Strategy5</f>
        <v xml:space="preserve">Objetivo estratégico 5: Promoción de prácticas favorables a una nutrición óptima, de higiene y saneamiento básico. </v>
      </c>
      <c r="H22" s="289">
        <f t="shared" si="3"/>
        <v>8.0205890592594545E-2</v>
      </c>
      <c r="I22" s="323">
        <f t="shared" ref="I22:N22" si="7">I98</f>
        <v>35105162387.693779</v>
      </c>
      <c r="J22" s="52">
        <f t="shared" si="7"/>
        <v>7675931877.5387564</v>
      </c>
      <c r="K22" s="52">
        <f t="shared" si="7"/>
        <v>7521202077.5387564</v>
      </c>
      <c r="L22" s="52">
        <f t="shared" si="7"/>
        <v>6976657077.5387564</v>
      </c>
      <c r="M22" s="52">
        <f t="shared" si="7"/>
        <v>6465685677.5387564</v>
      </c>
      <c r="N22" s="52">
        <f t="shared" si="7"/>
        <v>6465685677.5387564</v>
      </c>
    </row>
    <row r="23" spans="6:14" ht="12" x14ac:dyDescent="0.2">
      <c r="F23" t="str">
        <f>Strategy6</f>
        <v>Objetivo estratégico 6: [No está en uso]</v>
      </c>
      <c r="H23" s="289">
        <f t="shared" si="3"/>
        <v>0</v>
      </c>
      <c r="I23" s="323">
        <f t="shared" ref="I23:N23" si="8">I104</f>
        <v>0</v>
      </c>
      <c r="J23" s="52">
        <f t="shared" si="8"/>
        <v>0</v>
      </c>
      <c r="K23" s="52">
        <f t="shared" si="8"/>
        <v>0</v>
      </c>
      <c r="L23" s="52">
        <f t="shared" si="8"/>
        <v>0</v>
      </c>
      <c r="M23" s="52">
        <f t="shared" si="8"/>
        <v>0</v>
      </c>
      <c r="N23" s="52">
        <f t="shared" si="8"/>
        <v>0</v>
      </c>
    </row>
    <row r="24" spans="6:14" ht="12" x14ac:dyDescent="0.2">
      <c r="F24" t="str">
        <f>Strategy7</f>
        <v>Objetivo estratégico 7: [No está en uso]</v>
      </c>
      <c r="H24" s="289">
        <f t="shared" si="3"/>
        <v>0</v>
      </c>
      <c r="I24" s="323">
        <f t="shared" ref="I24:N24" si="9">I110</f>
        <v>0</v>
      </c>
      <c r="J24" s="52">
        <f t="shared" si="9"/>
        <v>0</v>
      </c>
      <c r="K24" s="52">
        <f t="shared" si="9"/>
        <v>0</v>
      </c>
      <c r="L24" s="52">
        <f t="shared" si="9"/>
        <v>0</v>
      </c>
      <c r="M24" s="52">
        <f t="shared" si="9"/>
        <v>0</v>
      </c>
      <c r="N24" s="52">
        <f t="shared" si="9"/>
        <v>0</v>
      </c>
    </row>
    <row r="25" spans="6:14" ht="12" x14ac:dyDescent="0.2">
      <c r="F25" t="str">
        <f>Strategy8</f>
        <v>Objetivo estratégico 8: [No está en uso]</v>
      </c>
      <c r="H25" s="289">
        <f t="shared" si="3"/>
        <v>0</v>
      </c>
      <c r="I25" s="323">
        <f t="shared" ref="I25:N25" si="10">I116</f>
        <v>0</v>
      </c>
      <c r="J25" s="52">
        <f t="shared" si="10"/>
        <v>0</v>
      </c>
      <c r="K25" s="52">
        <f t="shared" si="10"/>
        <v>0</v>
      </c>
      <c r="L25" s="52">
        <f t="shared" si="10"/>
        <v>0</v>
      </c>
      <c r="M25" s="52">
        <f t="shared" si="10"/>
        <v>0</v>
      </c>
      <c r="N25" s="52">
        <f t="shared" si="10"/>
        <v>0</v>
      </c>
    </row>
    <row r="26" spans="6:14" ht="12" x14ac:dyDescent="0.2">
      <c r="F26" t="str">
        <f>Strategy9</f>
        <v>Objetivo estratégico 9: [No está en uso]</v>
      </c>
      <c r="H26" s="289">
        <f>I26/I$28</f>
        <v>0</v>
      </c>
      <c r="I26" s="323">
        <f>I122</f>
        <v>0</v>
      </c>
      <c r="J26" s="52">
        <f>J122</f>
        <v>0</v>
      </c>
      <c r="K26" s="52">
        <f t="shared" ref="K26:N26" si="11">K122</f>
        <v>0</v>
      </c>
      <c r="L26" s="52">
        <f t="shared" si="11"/>
        <v>0</v>
      </c>
      <c r="M26" s="52">
        <f t="shared" si="11"/>
        <v>0</v>
      </c>
      <c r="N26" s="52">
        <f t="shared" si="11"/>
        <v>0</v>
      </c>
    </row>
    <row r="27" spans="6:14" ht="12" x14ac:dyDescent="0.2">
      <c r="F27" t="str">
        <f>Strategy10</f>
        <v>Objetivo estratégico 10: [No está en uso]</v>
      </c>
      <c r="H27" s="289">
        <f>I27/I$28</f>
        <v>0</v>
      </c>
      <c r="I27" s="323">
        <f>I128</f>
        <v>0</v>
      </c>
      <c r="J27" s="52">
        <f>J128</f>
        <v>0</v>
      </c>
      <c r="K27" s="52">
        <f t="shared" ref="K27:N27" si="12">K128</f>
        <v>0</v>
      </c>
      <c r="L27" s="52">
        <f t="shared" si="12"/>
        <v>0</v>
      </c>
      <c r="M27" s="52">
        <f t="shared" si="12"/>
        <v>0</v>
      </c>
      <c r="N27" s="52">
        <f t="shared" si="12"/>
        <v>0</v>
      </c>
    </row>
    <row r="28" spans="6:14" ht="12" x14ac:dyDescent="0.2">
      <c r="F28" s="324" t="str">
        <f>"TOTAL - All Available Funds ("&amp;CURR_LCU_ABBR&amp;")"</f>
        <v>TOTAL - All Available Funds (GOZ)</v>
      </c>
      <c r="G28" s="74"/>
      <c r="H28" s="291">
        <f t="shared" ref="H28" si="13">I28/I$28</f>
        <v>1</v>
      </c>
      <c r="I28" s="57">
        <f t="shared" ref="I28:N28" si="14">SUM(I18:I27)</f>
        <v>437688081614.98126</v>
      </c>
      <c r="J28" s="55">
        <f t="shared" si="14"/>
        <v>98469704642.996246</v>
      </c>
      <c r="K28" s="55">
        <f t="shared" si="14"/>
        <v>142522818242.99625</v>
      </c>
      <c r="L28" s="55">
        <f t="shared" si="14"/>
        <v>95917779842.996246</v>
      </c>
      <c r="M28" s="55">
        <f t="shared" si="14"/>
        <v>50397889442.996246</v>
      </c>
      <c r="N28" s="55">
        <f t="shared" si="14"/>
        <v>50379889442.996246</v>
      </c>
    </row>
    <row r="31" spans="6:14" ht="12" x14ac:dyDescent="0.2">
      <c r="F31" s="148" t="str">
        <f>"Contributions - "&amp;CURR_INT_ABBR</f>
        <v>Contributions - USD</v>
      </c>
    </row>
    <row r="32" spans="6:14" ht="12" x14ac:dyDescent="0.2">
      <c r="F32" s="148"/>
      <c r="H32" s="136" t="s">
        <v>548</v>
      </c>
      <c r="I32" s="145" t="s">
        <v>106</v>
      </c>
      <c r="J32" s="56" t="str">
        <f>CURR_INT_ABBR</f>
        <v>USD</v>
      </c>
      <c r="K32" s="56" t="str">
        <f>CURR_INT_ABBR</f>
        <v>USD</v>
      </c>
      <c r="L32" s="56" t="str">
        <f>CURR_INT_ABBR</f>
        <v>USD</v>
      </c>
      <c r="M32" s="56" t="str">
        <f>CURR_INT_ABBR</f>
        <v>USD</v>
      </c>
      <c r="N32" s="56" t="str">
        <f>CURR_INT_ABBR</f>
        <v>USD</v>
      </c>
    </row>
    <row r="33" spans="1:14" ht="12" x14ac:dyDescent="0.2">
      <c r="F33" t="str">
        <f>Strategy1</f>
        <v>Objetivo estratégico 1: Fortalecer la gobernanza de la nutrición</v>
      </c>
      <c r="H33" s="289">
        <f>I33/I$43</f>
        <v>8.933172457237272E-3</v>
      </c>
      <c r="I33" s="77">
        <f t="shared" ref="I33:N43" si="15">I18/EXCHANGE_RATE</f>
        <v>2172190.6197466501</v>
      </c>
      <c r="J33" s="76">
        <f t="shared" si="15"/>
        <v>517312.32394932996</v>
      </c>
      <c r="K33" s="76">
        <f t="shared" si="15"/>
        <v>802537.32394933002</v>
      </c>
      <c r="L33" s="76">
        <f t="shared" si="15"/>
        <v>478362.32394932996</v>
      </c>
      <c r="M33" s="76">
        <f t="shared" si="15"/>
        <v>189489.32394932999</v>
      </c>
      <c r="N33" s="76">
        <f t="shared" si="15"/>
        <v>184489.32394932999</v>
      </c>
    </row>
    <row r="34" spans="1:14" ht="12" x14ac:dyDescent="0.2">
      <c r="F34" t="str">
        <f>Strategy2</f>
        <v>Objetivo estratégico 2: Fortalecer el acceso al tratamiento y a los servicios de salud y nutrición de calidad, así como al tratamiento de todas las formas de malnutrición</v>
      </c>
      <c r="H34" s="289">
        <f t="shared" ref="H34:H43" si="16">I34/I$43</f>
        <v>0.19885837804172951</v>
      </c>
      <c r="I34" s="77">
        <f t="shared" si="15"/>
        <v>48354412.221195169</v>
      </c>
      <c r="J34" s="76">
        <f t="shared" si="15"/>
        <v>10189349.544239033</v>
      </c>
      <c r="K34" s="76">
        <f t="shared" si="15"/>
        <v>13258123.044239033</v>
      </c>
      <c r="L34" s="76">
        <f t="shared" si="15"/>
        <v>10199349.544239033</v>
      </c>
      <c r="M34" s="76">
        <f t="shared" si="15"/>
        <v>7356295.0442390349</v>
      </c>
      <c r="N34" s="76">
        <f t="shared" si="15"/>
        <v>7351295.0442390349</v>
      </c>
    </row>
    <row r="35" spans="1:14" ht="12" x14ac:dyDescent="0.2">
      <c r="F35" t="str">
        <f>Strategy3</f>
        <v>Objetivo estratégico 3: Aumentar la disponibilidad y el acceso a alimentos nutritivos de alto valor, seguros y diversificados</v>
      </c>
      <c r="H35" s="289">
        <f t="shared" si="16"/>
        <v>0.49126025200970402</v>
      </c>
      <c r="I35" s="77">
        <f t="shared" si="15"/>
        <v>119454865.15323311</v>
      </c>
      <c r="J35" s="76">
        <f t="shared" si="15"/>
        <v>28265697.230646625</v>
      </c>
      <c r="K35" s="76">
        <f t="shared" si="15"/>
        <v>46060676.230646625</v>
      </c>
      <c r="L35" s="76">
        <f t="shared" si="15"/>
        <v>27302797.230646625</v>
      </c>
      <c r="M35" s="76">
        <f t="shared" si="15"/>
        <v>8912847.2306466233</v>
      </c>
      <c r="N35" s="76">
        <f t="shared" si="15"/>
        <v>8912847.2306466233</v>
      </c>
    </row>
    <row r="36" spans="1:14" ht="12" x14ac:dyDescent="0.2">
      <c r="F36" t="str">
        <f>Strategy4</f>
        <v>Objetivo estratégico 4: Fortalecer la protección social, la resiliencia de la respuesta a las emergencias y los desastres naturales.</v>
      </c>
      <c r="H36" s="289">
        <f t="shared" si="16"/>
        <v>0.22074230689873459</v>
      </c>
      <c r="I36" s="77">
        <f t="shared" si="15"/>
        <v>53675709.354318105</v>
      </c>
      <c r="J36" s="76">
        <f t="shared" si="15"/>
        <v>11468625.770863619</v>
      </c>
      <c r="K36" s="76">
        <f t="shared" si="15"/>
        <v>14879561.270863619</v>
      </c>
      <c r="L36" s="76">
        <f t="shared" si="15"/>
        <v>11431225.770863619</v>
      </c>
      <c r="M36" s="76">
        <f t="shared" si="15"/>
        <v>7948148.2708636187</v>
      </c>
      <c r="N36" s="76">
        <f t="shared" si="15"/>
        <v>7948148.2708636187</v>
      </c>
    </row>
    <row r="37" spans="1:14" ht="12" x14ac:dyDescent="0.2">
      <c r="F37" t="str">
        <f>Strategy5</f>
        <v xml:space="preserve">Objetivo estratégico 5: Promoción de prácticas favorables a una nutrición óptima, de higiene y saneamiento básico. </v>
      </c>
      <c r="H37" s="289">
        <f t="shared" si="16"/>
        <v>8.0205890592594531E-2</v>
      </c>
      <c r="I37" s="77">
        <f t="shared" si="15"/>
        <v>19502867.993163209</v>
      </c>
      <c r="J37" s="76">
        <f t="shared" si="15"/>
        <v>4264406.5986326421</v>
      </c>
      <c r="K37" s="76">
        <f t="shared" si="15"/>
        <v>4178445.5986326425</v>
      </c>
      <c r="L37" s="76">
        <f t="shared" si="15"/>
        <v>3875920.5986326425</v>
      </c>
      <c r="M37" s="76">
        <f t="shared" si="15"/>
        <v>3592047.5986326425</v>
      </c>
      <c r="N37" s="76">
        <f t="shared" si="15"/>
        <v>3592047.5986326425</v>
      </c>
    </row>
    <row r="38" spans="1:14" ht="12" x14ac:dyDescent="0.2">
      <c r="F38" t="str">
        <f>Strategy6</f>
        <v>Objetivo estratégico 6: [No está en uso]</v>
      </c>
      <c r="H38" s="289">
        <f t="shared" si="16"/>
        <v>0</v>
      </c>
      <c r="I38" s="77">
        <f t="shared" si="15"/>
        <v>0</v>
      </c>
      <c r="J38" s="76">
        <f t="shared" si="15"/>
        <v>0</v>
      </c>
      <c r="K38" s="76">
        <f t="shared" si="15"/>
        <v>0</v>
      </c>
      <c r="L38" s="76">
        <f t="shared" si="15"/>
        <v>0</v>
      </c>
      <c r="M38" s="76">
        <f t="shared" si="15"/>
        <v>0</v>
      </c>
      <c r="N38" s="76">
        <f t="shared" si="15"/>
        <v>0</v>
      </c>
    </row>
    <row r="39" spans="1:14" ht="12" x14ac:dyDescent="0.2">
      <c r="F39" t="str">
        <f>Strategy7</f>
        <v>Objetivo estratégico 7: [No está en uso]</v>
      </c>
      <c r="H39" s="289">
        <f t="shared" si="16"/>
        <v>0</v>
      </c>
      <c r="I39" s="77">
        <f t="shared" si="15"/>
        <v>0</v>
      </c>
      <c r="J39" s="76">
        <f t="shared" si="15"/>
        <v>0</v>
      </c>
      <c r="K39" s="76">
        <f t="shared" si="15"/>
        <v>0</v>
      </c>
      <c r="L39" s="76">
        <f t="shared" si="15"/>
        <v>0</v>
      </c>
      <c r="M39" s="76">
        <f t="shared" si="15"/>
        <v>0</v>
      </c>
      <c r="N39" s="76">
        <f t="shared" si="15"/>
        <v>0</v>
      </c>
    </row>
    <row r="40" spans="1:14" ht="12" x14ac:dyDescent="0.2">
      <c r="F40" t="str">
        <f>Strategy8</f>
        <v>Objetivo estratégico 8: [No está en uso]</v>
      </c>
      <c r="H40" s="289">
        <f t="shared" si="16"/>
        <v>0</v>
      </c>
      <c r="I40" s="77">
        <f t="shared" si="15"/>
        <v>0</v>
      </c>
      <c r="J40" s="76">
        <f t="shared" si="15"/>
        <v>0</v>
      </c>
      <c r="K40" s="76">
        <f t="shared" si="15"/>
        <v>0</v>
      </c>
      <c r="L40" s="76">
        <f t="shared" si="15"/>
        <v>0</v>
      </c>
      <c r="M40" s="76">
        <f t="shared" si="15"/>
        <v>0</v>
      </c>
      <c r="N40" s="76">
        <f t="shared" si="15"/>
        <v>0</v>
      </c>
    </row>
    <row r="41" spans="1:14" ht="12" x14ac:dyDescent="0.2">
      <c r="F41" t="str">
        <f>Strategy9</f>
        <v>Objetivo estratégico 9: [No está en uso]</v>
      </c>
      <c r="H41" s="289">
        <f t="shared" si="16"/>
        <v>0</v>
      </c>
      <c r="I41" s="77">
        <f t="shared" si="15"/>
        <v>0</v>
      </c>
      <c r="J41" s="76">
        <f t="shared" si="15"/>
        <v>0</v>
      </c>
      <c r="K41" s="76">
        <f t="shared" si="15"/>
        <v>0</v>
      </c>
      <c r="L41" s="76">
        <f t="shared" si="15"/>
        <v>0</v>
      </c>
      <c r="M41" s="76">
        <f t="shared" si="15"/>
        <v>0</v>
      </c>
      <c r="N41" s="76">
        <f t="shared" si="15"/>
        <v>0</v>
      </c>
    </row>
    <row r="42" spans="1:14" ht="12" x14ac:dyDescent="0.2">
      <c r="F42" t="str">
        <f>Strategy10</f>
        <v>Objetivo estratégico 10: [No está en uso]</v>
      </c>
      <c r="H42" s="289">
        <f t="shared" si="16"/>
        <v>0</v>
      </c>
      <c r="I42" s="77">
        <f t="shared" si="15"/>
        <v>0</v>
      </c>
      <c r="J42" s="76">
        <f t="shared" si="15"/>
        <v>0</v>
      </c>
      <c r="K42" s="76">
        <f t="shared" si="15"/>
        <v>0</v>
      </c>
      <c r="L42" s="76">
        <f t="shared" si="15"/>
        <v>0</v>
      </c>
      <c r="M42" s="76">
        <f t="shared" si="15"/>
        <v>0</v>
      </c>
      <c r="N42" s="76">
        <f t="shared" si="15"/>
        <v>0</v>
      </c>
    </row>
    <row r="43" spans="1:14" ht="12" x14ac:dyDescent="0.2">
      <c r="F43" s="324" t="str">
        <f>"TOTAL - All Available Funds ("&amp;CURR_INT_ABBR&amp;")"</f>
        <v>TOTAL - All Available Funds (USD)</v>
      </c>
      <c r="G43" s="74"/>
      <c r="H43" s="291">
        <f t="shared" si="16"/>
        <v>1</v>
      </c>
      <c r="I43" s="78">
        <f t="shared" si="15"/>
        <v>243160045.34165627</v>
      </c>
      <c r="J43" s="79">
        <f t="shared" si="15"/>
        <v>54705391.468331248</v>
      </c>
      <c r="K43" s="79">
        <f t="shared" si="15"/>
        <v>79179343.468331248</v>
      </c>
      <c r="L43" s="79">
        <f t="shared" si="15"/>
        <v>53287655.468331248</v>
      </c>
      <c r="M43" s="79">
        <f t="shared" si="15"/>
        <v>27998827.468331248</v>
      </c>
      <c r="N43" s="79">
        <f t="shared" si="15"/>
        <v>27988827.468331248</v>
      </c>
    </row>
    <row r="46" spans="1:14" x14ac:dyDescent="0.2">
      <c r="A46" s="35" t="s">
        <v>77</v>
      </c>
      <c r="B46" s="1" t="s">
        <v>489</v>
      </c>
      <c r="C46" s="1"/>
      <c r="D46" s="1"/>
      <c r="E46" s="1"/>
      <c r="F46" s="1"/>
      <c r="G46" s="1"/>
      <c r="H46" s="1"/>
      <c r="I46" s="1"/>
      <c r="J46" s="1"/>
      <c r="K46" s="1"/>
      <c r="L46" s="1"/>
      <c r="M46" s="1"/>
      <c r="N46" s="1"/>
    </row>
    <row r="48" spans="1:14" ht="12" x14ac:dyDescent="0.2">
      <c r="F48" s="148" t="str">
        <f>"Contributions - "&amp;CURR_LCU_ABBR</f>
        <v>Contributions - GOZ</v>
      </c>
    </row>
    <row r="49" spans="1:14" ht="12" x14ac:dyDescent="0.2">
      <c r="H49" s="136" t="s">
        <v>548</v>
      </c>
      <c r="I49" s="145" t="s">
        <v>106</v>
      </c>
      <c r="J49" s="330" t="str">
        <f>CURR_LCU_ABBR</f>
        <v>GOZ</v>
      </c>
      <c r="K49" s="56" t="str">
        <f>CURR_LCU_ABBR</f>
        <v>GOZ</v>
      </c>
      <c r="L49" s="56" t="str">
        <f>CURR_LCU_ABBR</f>
        <v>GOZ</v>
      </c>
      <c r="M49" s="56" t="str">
        <f>CURR_LCU_ABBR</f>
        <v>GOZ</v>
      </c>
      <c r="N49" s="56" t="str">
        <f>CURR_LCU_ABBR</f>
        <v>GOZ</v>
      </c>
    </row>
    <row r="50" spans="1:14" ht="12" x14ac:dyDescent="0.2">
      <c r="F50" t="str">
        <f>Lu_Nutrition_Specific</f>
        <v>Nutrition-specific</v>
      </c>
      <c r="H50" s="289">
        <f ca="1">I50/I$53</f>
        <v>0.70851036901916697</v>
      </c>
      <c r="I50" s="68">
        <f t="shared" ref="I50:N50" ca="1" si="17">SUMIF($H$69:$H$128,Lu_Nutrition_Specific,I$69:I$128)</f>
        <v>310106544220.32159</v>
      </c>
      <c r="J50" s="325">
        <f t="shared" ca="1" si="17"/>
        <v>70597547804.064316</v>
      </c>
      <c r="K50" s="325">
        <f t="shared" ca="1" si="17"/>
        <v>102441560204.0643</v>
      </c>
      <c r="L50" s="325">
        <f t="shared" ca="1" si="17"/>
        <v>68115733004.064331</v>
      </c>
      <c r="M50" s="325">
        <f t="shared" ca="1" si="17"/>
        <v>34475851604.064316</v>
      </c>
      <c r="N50" s="325">
        <f t="shared" ca="1" si="17"/>
        <v>34475851604.064316</v>
      </c>
    </row>
    <row r="51" spans="1:14" ht="12" x14ac:dyDescent="0.2">
      <c r="F51" t="str">
        <f>Lu_Nutrition_Sensitive</f>
        <v>Nutrition-sensitive</v>
      </c>
      <c r="H51" s="289">
        <f t="shared" ref="H51:H53" ca="1" si="18">I51/I$53</f>
        <v>0.2825564585235959</v>
      </c>
      <c r="I51" s="69">
        <f t="shared" ref="I51:N51" ca="1" si="19">SUMIF($H$69:$H$128,Lu_Nutrition_Sensitive,I$69:I$128)</f>
        <v>123671594279.11569</v>
      </c>
      <c r="J51" s="325">
        <f t="shared" ca="1" si="19"/>
        <v>26940994655.823139</v>
      </c>
      <c r="K51" s="325">
        <f t="shared" ca="1" si="19"/>
        <v>38636690855.823143</v>
      </c>
      <c r="L51" s="325">
        <f t="shared" ca="1" si="19"/>
        <v>26940994655.823139</v>
      </c>
      <c r="M51" s="325">
        <f t="shared" ca="1" si="19"/>
        <v>15580957055.823139</v>
      </c>
      <c r="N51" s="325">
        <f t="shared" ca="1" si="19"/>
        <v>15571957055.823139</v>
      </c>
    </row>
    <row r="52" spans="1:14" ht="12" x14ac:dyDescent="0.2">
      <c r="F52" t="str">
        <f>Lu_Governance</f>
        <v>Governance</v>
      </c>
      <c r="H52" s="289">
        <f t="shared" ca="1" si="18"/>
        <v>8.9331724572372737E-3</v>
      </c>
      <c r="I52" s="69">
        <f t="shared" ref="I52:N52" ca="1" si="20">SUMIF($H$69:$H$128,Lu_Governance,I$69:I$128)</f>
        <v>3909943115.5439701</v>
      </c>
      <c r="J52" s="325">
        <f t="shared" ca="1" si="20"/>
        <v>931162183.10879421</v>
      </c>
      <c r="K52" s="325">
        <f t="shared" ca="1" si="20"/>
        <v>1444567183.1087942</v>
      </c>
      <c r="L52" s="325">
        <f t="shared" ca="1" si="20"/>
        <v>861052183.10879421</v>
      </c>
      <c r="M52" s="325">
        <f t="shared" ca="1" si="20"/>
        <v>341080783.10879397</v>
      </c>
      <c r="N52" s="325">
        <f t="shared" ca="1" si="20"/>
        <v>332080783.10879397</v>
      </c>
    </row>
    <row r="53" spans="1:14" ht="12" x14ac:dyDescent="0.2">
      <c r="F53" s="324" t="str">
        <f>"TOTAL - All Available Funds ("&amp;CURR_LCU_ABBR&amp;")"</f>
        <v>TOTAL - All Available Funds (GOZ)</v>
      </c>
      <c r="G53" s="74"/>
      <c r="H53" s="291">
        <f t="shared" ca="1" si="18"/>
        <v>1</v>
      </c>
      <c r="I53" s="57">
        <f ca="1">SUM(I50:I52)</f>
        <v>437688081614.9812</v>
      </c>
      <c r="J53" s="55">
        <f ca="1">SUM(J50:J52)</f>
        <v>98469704642.996246</v>
      </c>
      <c r="K53" s="55">
        <f t="shared" ref="K53:N53" ca="1" si="21">SUM(K50:K52)</f>
        <v>142522818242.99625</v>
      </c>
      <c r="L53" s="55">
        <f t="shared" ca="1" si="21"/>
        <v>95917779842.996262</v>
      </c>
      <c r="M53" s="55">
        <f t="shared" ca="1" si="21"/>
        <v>50397889442.996246</v>
      </c>
      <c r="N53" s="55">
        <f t="shared" ca="1" si="21"/>
        <v>50379889442.996246</v>
      </c>
    </row>
    <row r="56" spans="1:14" ht="12" x14ac:dyDescent="0.2">
      <c r="F56" s="148" t="str">
        <f>"Contributions - "&amp;CURR_INT_ABBR</f>
        <v>Contributions - USD</v>
      </c>
    </row>
    <row r="57" spans="1:14" ht="12" x14ac:dyDescent="0.2">
      <c r="F57" s="148"/>
      <c r="H57" s="140" t="s">
        <v>548</v>
      </c>
      <c r="I57" s="145" t="s">
        <v>106</v>
      </c>
      <c r="J57" s="56" t="str">
        <f>CURR_INT_ABBR</f>
        <v>USD</v>
      </c>
      <c r="K57" s="56" t="str">
        <f>CURR_INT_ABBR</f>
        <v>USD</v>
      </c>
      <c r="L57" s="56" t="str">
        <f>CURR_INT_ABBR</f>
        <v>USD</v>
      </c>
      <c r="M57" s="56" t="str">
        <f>CURR_INT_ABBR</f>
        <v>USD</v>
      </c>
      <c r="N57" s="56" t="str">
        <f>CURR_INT_ABBR</f>
        <v>USD</v>
      </c>
    </row>
    <row r="58" spans="1:14" ht="12" x14ac:dyDescent="0.2">
      <c r="F58" t="str">
        <f>Lu_Nutrition_Specific</f>
        <v>Nutrition-specific</v>
      </c>
      <c r="H58" s="289">
        <f ca="1">I58/I$61</f>
        <v>0.70851036901916697</v>
      </c>
      <c r="I58" s="295">
        <f t="shared" ref="I58:N61" ca="1" si="22">I50/EXCHANGE_RATE</f>
        <v>172281413.45573422</v>
      </c>
      <c r="J58" s="329">
        <f t="shared" ca="1" si="22"/>
        <v>39220859.891146839</v>
      </c>
      <c r="K58" s="329">
        <f t="shared" ca="1" si="22"/>
        <v>56911977.891146831</v>
      </c>
      <c r="L58" s="329">
        <f t="shared" ca="1" si="22"/>
        <v>37842073.891146854</v>
      </c>
      <c r="M58" s="329">
        <f t="shared" ca="1" si="22"/>
        <v>19153250.891146842</v>
      </c>
      <c r="N58" s="329">
        <f t="shared" ca="1" si="22"/>
        <v>19153250.891146842</v>
      </c>
    </row>
    <row r="59" spans="1:14" ht="12" x14ac:dyDescent="0.2">
      <c r="F59" t="str">
        <f>Lu_Nutrition_Sensitive</f>
        <v>Nutrition-sensitive</v>
      </c>
      <c r="H59" s="289">
        <f ca="1">I59/I$61</f>
        <v>0.28255645852359595</v>
      </c>
      <c r="I59" s="120">
        <f t="shared" ca="1" si="22"/>
        <v>68706441.266175389</v>
      </c>
      <c r="J59" s="329">
        <f t="shared" ca="1" si="22"/>
        <v>14967219.253235077</v>
      </c>
      <c r="K59" s="329">
        <f t="shared" ca="1" si="22"/>
        <v>21464828.253235079</v>
      </c>
      <c r="L59" s="329">
        <f t="shared" ca="1" si="22"/>
        <v>14967219.253235077</v>
      </c>
      <c r="M59" s="329">
        <f t="shared" ca="1" si="22"/>
        <v>8656087.2532350775</v>
      </c>
      <c r="N59" s="329">
        <f t="shared" ca="1" si="22"/>
        <v>8651087.2532350775</v>
      </c>
    </row>
    <row r="60" spans="1:14" ht="12" x14ac:dyDescent="0.2">
      <c r="F60" t="str">
        <f>Lu_Governance</f>
        <v>Governance</v>
      </c>
      <c r="H60" s="289">
        <f ca="1">I60/I$61</f>
        <v>8.9331724572372755E-3</v>
      </c>
      <c r="I60" s="120">
        <f t="shared" ca="1" si="22"/>
        <v>2172190.6197466501</v>
      </c>
      <c r="J60" s="329">
        <f t="shared" ca="1" si="22"/>
        <v>517312.32394933014</v>
      </c>
      <c r="K60" s="329">
        <f t="shared" ca="1" si="22"/>
        <v>802537.32394933014</v>
      </c>
      <c r="L60" s="329">
        <f t="shared" ca="1" si="22"/>
        <v>478362.32394933014</v>
      </c>
      <c r="M60" s="329">
        <f t="shared" ca="1" si="22"/>
        <v>189489.32394932999</v>
      </c>
      <c r="N60" s="329">
        <f t="shared" ca="1" si="22"/>
        <v>184489.32394932999</v>
      </c>
    </row>
    <row r="61" spans="1:14" ht="12" x14ac:dyDescent="0.2">
      <c r="F61" s="324" t="str">
        <f>"TOTAL - All Available Funds ("&amp;CURR_INT_ABBR&amp;")"</f>
        <v>TOTAL - All Available Funds (USD)</v>
      </c>
      <c r="G61" s="74"/>
      <c r="H61" s="291">
        <f ca="1">I61/I$61</f>
        <v>1</v>
      </c>
      <c r="I61" s="295">
        <f t="shared" ca="1" si="22"/>
        <v>243160045.34165621</v>
      </c>
      <c r="J61" s="122">
        <f t="shared" ca="1" si="22"/>
        <v>54705391.468331248</v>
      </c>
      <c r="K61" s="122">
        <f t="shared" ca="1" si="22"/>
        <v>79179343.468331248</v>
      </c>
      <c r="L61" s="122">
        <f t="shared" ca="1" si="22"/>
        <v>53287655.468331255</v>
      </c>
      <c r="M61" s="122">
        <f t="shared" ca="1" si="22"/>
        <v>27998827.468331248</v>
      </c>
      <c r="N61" s="122">
        <f t="shared" ca="1" si="22"/>
        <v>27988827.468331248</v>
      </c>
    </row>
    <row r="62" spans="1:14" ht="12" x14ac:dyDescent="0.2">
      <c r="F62" s="327"/>
      <c r="G62" s="50"/>
      <c r="H62" s="328"/>
      <c r="I62" s="326"/>
      <c r="J62" s="326"/>
      <c r="K62" s="326"/>
      <c r="L62" s="326"/>
      <c r="M62" s="326"/>
      <c r="N62" s="326"/>
    </row>
    <row r="64" spans="1:14" x14ac:dyDescent="0.2">
      <c r="A64" s="35" t="s">
        <v>77</v>
      </c>
      <c r="B64" s="1" t="s">
        <v>490</v>
      </c>
      <c r="C64" s="1"/>
      <c r="D64" s="1"/>
      <c r="E64" s="1"/>
      <c r="F64" s="1"/>
      <c r="G64" s="1"/>
      <c r="H64" s="1"/>
      <c r="I64" s="1"/>
      <c r="J64" s="1"/>
      <c r="K64" s="1"/>
      <c r="L64" s="1"/>
      <c r="M64" s="1"/>
      <c r="N64" s="1"/>
    </row>
    <row r="66" spans="5:14" ht="15.6" x14ac:dyDescent="0.2">
      <c r="E66" s="86" t="str">
        <f>CURR_LCU_ABBR</f>
        <v>GOZ</v>
      </c>
    </row>
    <row r="68" spans="5:14" ht="12" x14ac:dyDescent="0.2">
      <c r="F68" s="1" t="s">
        <v>389</v>
      </c>
      <c r="G68" s="1" t="s">
        <v>399</v>
      </c>
      <c r="H68" s="1" t="s">
        <v>387</v>
      </c>
      <c r="I68" s="297" t="s">
        <v>106</v>
      </c>
      <c r="J68" s="298" t="str">
        <f>CURR_LCU_ABBR</f>
        <v>GOZ</v>
      </c>
      <c r="K68" s="298" t="str">
        <f>CURR_LCU_ABBR</f>
        <v>GOZ</v>
      </c>
      <c r="L68" s="298" t="str">
        <f>CURR_LCU_ABBR</f>
        <v>GOZ</v>
      </c>
      <c r="M68" s="298" t="str">
        <f>CURR_LCU_ABBR</f>
        <v>GOZ</v>
      </c>
      <c r="N68" s="298" t="str">
        <f>CURR_LCU_ABBR</f>
        <v>GOZ</v>
      </c>
    </row>
    <row r="69" spans="5:14" ht="22.8" x14ac:dyDescent="0.2">
      <c r="F69" s="447" t="str">
        <f>Strategy1</f>
        <v>Objetivo estratégico 1: Fortalecer la gobernanza de la nutrición</v>
      </c>
      <c r="G69" s="42" t="str">
        <f>STRAT1_IND1</f>
        <v>Se refuerza la coordinación multisectorial en materia de nutrición</v>
      </c>
      <c r="H69" s="260" t="str">
        <f ca="1">OFFSET(Variables_Lu!$D$10,Basic_Setup!H34,0)</f>
        <v>Governance</v>
      </c>
      <c r="I69" s="306">
        <f>SUM(Government1:Government10!I20)+SUM(Partner1:Partner10!I91)</f>
        <v>3642220178.8859925</v>
      </c>
      <c r="J69" s="283">
        <f>SUM(Government1:Government10!J20)+SUM(Partner1:Partner10!J91)</f>
        <v>859581595.77719855</v>
      </c>
      <c r="K69" s="283">
        <f>SUM(Government1:Government10!K20)+SUM(Partner1:Partner10!K91)</f>
        <v>1372986595.7771986</v>
      </c>
      <c r="L69" s="283">
        <f>SUM(Government1:Government10!L20)+SUM(Partner1:Partner10!L91)</f>
        <v>819531595.77719855</v>
      </c>
      <c r="M69" s="283">
        <f>SUM(Government1:Government10!M20)+SUM(Partner1:Partner10!M91)</f>
        <v>299560195.77719849</v>
      </c>
      <c r="N69" s="283">
        <f>SUM(Government1:Government10!N20)+SUM(Partner1:Partner10!N91)</f>
        <v>290560195.77719849</v>
      </c>
    </row>
    <row r="70" spans="5:14" ht="34.200000000000003" x14ac:dyDescent="0.2">
      <c r="F70" s="447"/>
      <c r="G70" s="42" t="str">
        <f>STRAT1_IND2</f>
        <v>Está en funcionamiento el sistema multisectorial de información sobre nutrición para la adopción de decisiones eficaces.</v>
      </c>
      <c r="H70" s="260" t="str">
        <f ca="1">OFFSET(Variables_Lu!$D$10,Basic_Setup!H35,0)</f>
        <v>Governance</v>
      </c>
      <c r="I70" s="306">
        <f>SUM(Government1:Government10!I21)+SUM(Partner1:Partner10!I92)</f>
        <v>126920978.8859925</v>
      </c>
      <c r="J70" s="283">
        <f>SUM(Government1:Government10!J21)+SUM(Partner1:Partner10!J92)</f>
        <v>43420195.777198501</v>
      </c>
      <c r="K70" s="283">
        <f>SUM(Government1:Government10!K21)+SUM(Partner1:Partner10!K92)</f>
        <v>43420195.777198501</v>
      </c>
      <c r="L70" s="283">
        <f>SUM(Government1:Government10!L21)+SUM(Partner1:Partner10!L92)</f>
        <v>13360195.777198501</v>
      </c>
      <c r="M70" s="283">
        <f>SUM(Government1:Government10!M21)+SUM(Partner1:Partner10!M92)</f>
        <v>13360195.777198501</v>
      </c>
      <c r="N70" s="283">
        <f>SUM(Government1:Government10!N21)+SUM(Partner1:Partner10!N92)</f>
        <v>13360195.777198501</v>
      </c>
    </row>
    <row r="71" spans="5:14" ht="22.8" x14ac:dyDescent="0.2">
      <c r="F71" s="447"/>
      <c r="G71" s="42" t="str">
        <f>STRAT1_IND3</f>
        <v>La investigación en nutrición se utiliza para aclarar que la toma de decisiones se mejora y se refuerza.</v>
      </c>
      <c r="H71" s="260" t="str">
        <f ca="1">OFFSET(Variables_Lu!$D$10,Basic_Setup!H36,0)</f>
        <v>Governance</v>
      </c>
      <c r="I71" s="306">
        <f>SUM(Government1:Government10!I22)+SUM(Partner1:Partner10!I93)</f>
        <v>74000978.885992497</v>
      </c>
      <c r="J71" s="283">
        <f>SUM(Government1:Government10!J22)+SUM(Partner1:Partner10!J93)</f>
        <v>14800195.777198501</v>
      </c>
      <c r="K71" s="283">
        <f>SUM(Government1:Government10!K22)+SUM(Partner1:Partner10!K93)</f>
        <v>14800195.777198501</v>
      </c>
      <c r="L71" s="283">
        <f>SUM(Government1:Government10!L22)+SUM(Partner1:Partner10!L93)</f>
        <v>14800195.777198501</v>
      </c>
      <c r="M71" s="283">
        <f>SUM(Government1:Government10!M22)+SUM(Partner1:Partner10!M93)</f>
        <v>14800195.777198501</v>
      </c>
      <c r="N71" s="283">
        <f>SUM(Government1:Government10!N22)+SUM(Partner1:Partner10!N93)</f>
        <v>14800195.777198501</v>
      </c>
    </row>
    <row r="72" spans="5:14" ht="22.8" x14ac:dyDescent="0.2">
      <c r="F72" s="447"/>
      <c r="G72" s="41" t="str">
        <f>STRAT1_IND4</f>
        <v>El marco legislativo y reglamentario de la nutrición se ha fortalecido y está en funcionamiento.</v>
      </c>
      <c r="H72" s="260" t="str">
        <f ca="1">OFFSET(Variables_Lu!$D$10,Basic_Setup!H37,0)</f>
        <v>Governance</v>
      </c>
      <c r="I72" s="306">
        <f>SUM(Government1:Government10!I23)+SUM(Partner1:Partner10!I94)</f>
        <v>66800978.88599249</v>
      </c>
      <c r="J72" s="283">
        <f>SUM(Government1:Government10!J23)+SUM(Partner1:Partner10!J94)</f>
        <v>13360195.777198501</v>
      </c>
      <c r="K72" s="283">
        <f>SUM(Government1:Government10!K23)+SUM(Partner1:Partner10!K94)</f>
        <v>13360195.777198501</v>
      </c>
      <c r="L72" s="283">
        <f>SUM(Government1:Government10!L23)+SUM(Partner1:Partner10!L94)</f>
        <v>13360195.777198501</v>
      </c>
      <c r="M72" s="283">
        <f>SUM(Government1:Government10!M23)+SUM(Partner1:Partner10!M94)</f>
        <v>13360195.777198501</v>
      </c>
      <c r="N72" s="283">
        <f>SUM(Government1:Government10!N23)+SUM(Partner1:Partner10!N94)</f>
        <v>13360195.777198501</v>
      </c>
    </row>
    <row r="73" spans="5:14" ht="12" x14ac:dyDescent="0.2">
      <c r="F73" s="448"/>
      <c r="G73" s="41" t="str">
        <f>STRAT1_IND5</f>
        <v>Objetivo estratégico 1 Indicador 5</v>
      </c>
      <c r="H73" s="260" t="str">
        <f ca="1">OFFSET(Variables_Lu!$D$10,Basic_Setup!H38,0)</f>
        <v>Governance</v>
      </c>
      <c r="I73" s="306">
        <f>SUM(Government1:Government10!I24)+SUM(Partner1:Partner10!I95)</f>
        <v>0</v>
      </c>
      <c r="J73" s="283">
        <f>SUM(Government1:Government10!J24)+SUM(Partner1:Partner10!J95)</f>
        <v>0</v>
      </c>
      <c r="K73" s="283">
        <f>SUM(Government1:Government10!K24)+SUM(Partner1:Partner10!K95)</f>
        <v>0</v>
      </c>
      <c r="L73" s="283">
        <f>SUM(Government1:Government10!L24)+SUM(Partner1:Partner10!L95)</f>
        <v>0</v>
      </c>
      <c r="M73" s="283">
        <f>SUM(Government1:Government10!M24)+SUM(Partner1:Partner10!M95)</f>
        <v>0</v>
      </c>
      <c r="N73" s="283">
        <f>SUM(Government1:Government10!N24)+SUM(Partner1:Partner10!N95)</f>
        <v>0</v>
      </c>
    </row>
    <row r="74" spans="5:14" ht="12" x14ac:dyDescent="0.2">
      <c r="F74" s="38"/>
      <c r="G74" s="38"/>
      <c r="H74" s="152" t="s">
        <v>538</v>
      </c>
      <c r="I74" s="311">
        <f>SUM(Government1:Government10!I25)+SUM(Partner1:Partner10!I96)</f>
        <v>3909943115.5439701</v>
      </c>
      <c r="J74" s="312">
        <f>SUM(Government1:Government10!J25)+SUM(Partner1:Partner10!J96)</f>
        <v>931162183.10879397</v>
      </c>
      <c r="K74" s="312">
        <f>SUM(Government1:Government10!K25)+SUM(Partner1:Partner10!K96)</f>
        <v>1444567183.108794</v>
      </c>
      <c r="L74" s="312">
        <f>SUM(Government1:Government10!L25)+SUM(Partner1:Partner10!L96)</f>
        <v>861052183.10879397</v>
      </c>
      <c r="M74" s="312">
        <f>SUM(Government1:Government10!M25)+SUM(Partner1:Partner10!M96)</f>
        <v>341080783.10879397</v>
      </c>
      <c r="N74" s="312">
        <f>SUM(Government1:Government10!N25)+SUM(Partner1:Partner10!N96)</f>
        <v>332080783.10879397</v>
      </c>
    </row>
    <row r="75" spans="5:14" ht="45.6" x14ac:dyDescent="0.2">
      <c r="F75" s="447" t="str">
        <f>Strategy2</f>
        <v>Objetivo estratégico 2: Fortalecer el acceso al tratamiento y a los servicios de salud y nutrición de calidad, así como al tratamiento de todas las formas de malnutrición</v>
      </c>
      <c r="G75" s="42" t="str">
        <f>STRAT2_IND1</f>
        <v>Se fortalece el acceso y la utilización sostenible de los servicios de salud y nutrición para los niños menores de 5 años, los adolescentes, las mujeres embarazadas y lactantes, y los demás grupos vulnerables</v>
      </c>
      <c r="H75" s="260" t="str">
        <f ca="1">OFFSET(Variables_Lu!$D$10,Basic_Setup!H40,0)</f>
        <v>Nutrition-specific</v>
      </c>
      <c r="I75" s="306">
        <f>SUM(Government1:Government10!I26)+SUM(Partner1:Partner10!I97)</f>
        <v>43707885132.717102</v>
      </c>
      <c r="J75" s="283">
        <f>SUM(Government1:Government10!J26)+SUM(Partner1:Partner10!J97)</f>
        <v>8739777026.5434208</v>
      </c>
      <c r="K75" s="283">
        <f>SUM(Government1:Government10!K26)+SUM(Partner1:Partner10!K97)</f>
        <v>8748777026.5434208</v>
      </c>
      <c r="L75" s="283">
        <f>SUM(Government1:Government10!L26)+SUM(Partner1:Partner10!L97)</f>
        <v>8757777026.5434208</v>
      </c>
      <c r="M75" s="283">
        <f>SUM(Government1:Government10!M26)+SUM(Partner1:Partner10!M97)</f>
        <v>8730777026.5434208</v>
      </c>
      <c r="N75" s="283">
        <f>SUM(Government1:Government10!N26)+SUM(Partner1:Partner10!N97)</f>
        <v>8730777026.5434208</v>
      </c>
    </row>
    <row r="76" spans="5:14" ht="45.6" x14ac:dyDescent="0.2">
      <c r="F76" s="447"/>
      <c r="G76" s="42" t="str">
        <f>STRAT2_IND2</f>
        <v xml:space="preserve">Se reduce la prevalencia de enfermedades relacionadas con la prevalencia de la malnutrición (paludismo, diarrea, neumonía, parásitos intestinales, VIH, TNM) en lactantes, adolescentes y mujeres en edad reproductiva. </v>
      </c>
      <c r="H76" s="260" t="str">
        <f ca="1">OFFSET(Variables_Lu!$D$10,Basic_Setup!H41,0)</f>
        <v>Nutrition-sensitive</v>
      </c>
      <c r="I76" s="306">
        <f>SUM(Government1:Government10!I27)+SUM(Partner1:Partner10!I98)</f>
        <v>28476171732.717102</v>
      </c>
      <c r="J76" s="283">
        <f>SUM(Government1:Government10!J27)+SUM(Partner1:Partner10!J98)</f>
        <v>6630275126.5434208</v>
      </c>
      <c r="K76" s="283">
        <f>SUM(Government1:Government10!K27)+SUM(Partner1:Partner10!K98)</f>
        <v>12145067426.543421</v>
      </c>
      <c r="L76" s="283">
        <f>SUM(Government1:Government10!L27)+SUM(Partner1:Partner10!L98)</f>
        <v>6630275126.5434208</v>
      </c>
      <c r="M76" s="283">
        <f>SUM(Government1:Government10!M27)+SUM(Partner1:Partner10!M98)</f>
        <v>1539777026.5434206</v>
      </c>
      <c r="N76" s="283">
        <f>SUM(Government1:Government10!N27)+SUM(Partner1:Partner10!N98)</f>
        <v>1530777026.5434206</v>
      </c>
    </row>
    <row r="77" spans="5:14" ht="22.8" x14ac:dyDescent="0.2">
      <c r="F77" s="447"/>
      <c r="G77" s="42" t="str">
        <f>STRAT2_IND3</f>
        <v>Se refuerzan las intervenciones comunitarias en materia de nutrición.</v>
      </c>
      <c r="H77" s="260" t="str">
        <f ca="1">OFFSET(Variables_Lu!$D$10,Basic_Setup!H42,0)</f>
        <v>Nutrition-specific</v>
      </c>
      <c r="I77" s="306">
        <f>SUM(Government1:Government10!I28)+SUM(Partner1:Partner10!I99)</f>
        <v>14853885132.717104</v>
      </c>
      <c r="J77" s="283">
        <f>SUM(Government1:Government10!J28)+SUM(Partner1:Partner10!J99)</f>
        <v>2970777026.5434208</v>
      </c>
      <c r="K77" s="283">
        <f>SUM(Government1:Government10!K28)+SUM(Partner1:Partner10!K99)</f>
        <v>2970777026.5434208</v>
      </c>
      <c r="L77" s="283">
        <f>SUM(Government1:Government10!L28)+SUM(Partner1:Partner10!L99)</f>
        <v>2970777026.5434208</v>
      </c>
      <c r="M77" s="283">
        <f>SUM(Government1:Government10!M28)+SUM(Partner1:Partner10!M99)</f>
        <v>2970777026.5434208</v>
      </c>
      <c r="N77" s="283">
        <f>SUM(Government1:Government10!N28)+SUM(Partner1:Partner10!N99)</f>
        <v>2970777026.5434208</v>
      </c>
    </row>
    <row r="78" spans="5:14" ht="12" x14ac:dyDescent="0.2">
      <c r="F78" s="447"/>
      <c r="G78" s="41" t="str">
        <f>STRAT2_IND4</f>
        <v>Objetivo estratégico 2 Indicador 4</v>
      </c>
      <c r="H78" s="260" t="str">
        <f ca="1">OFFSET(Variables_Lu!$D$10,Basic_Setup!H43,0)</f>
        <v>Nutrition-specific</v>
      </c>
      <c r="I78" s="306">
        <f>SUM(Government1:Government10!I29)+SUM(Partner1:Partner10!I100)</f>
        <v>0</v>
      </c>
      <c r="J78" s="283">
        <f>SUM(Government1:Government10!J29)+SUM(Partner1:Partner10!J100)</f>
        <v>0</v>
      </c>
      <c r="K78" s="283">
        <f>SUM(Government1:Government10!K29)+SUM(Partner1:Partner10!K100)</f>
        <v>0</v>
      </c>
      <c r="L78" s="283">
        <f>SUM(Government1:Government10!L29)+SUM(Partner1:Partner10!L100)</f>
        <v>0</v>
      </c>
      <c r="M78" s="283">
        <f>SUM(Government1:Government10!M29)+SUM(Partner1:Partner10!M100)</f>
        <v>0</v>
      </c>
      <c r="N78" s="283">
        <f>SUM(Government1:Government10!N29)+SUM(Partner1:Partner10!N100)</f>
        <v>0</v>
      </c>
    </row>
    <row r="79" spans="5:14" ht="12" x14ac:dyDescent="0.2">
      <c r="F79" s="448"/>
      <c r="G79" s="41" t="str">
        <f>STRAT2_IND5</f>
        <v>Objetivo estratégico 2 Indicador 5</v>
      </c>
      <c r="H79" s="260" t="str">
        <f ca="1">OFFSET(Variables_Lu!$D$10,Basic_Setup!H44,0)</f>
        <v>Nutrition-specific</v>
      </c>
      <c r="I79" s="306">
        <f>SUM(Government1:Government10!I30)+SUM(Partner1:Partner10!I101)</f>
        <v>0</v>
      </c>
      <c r="J79" s="283">
        <f>SUM(Government1:Government10!J30)+SUM(Partner1:Partner10!J101)</f>
        <v>0</v>
      </c>
      <c r="K79" s="283">
        <f>SUM(Government1:Government10!K30)+SUM(Partner1:Partner10!K101)</f>
        <v>0</v>
      </c>
      <c r="L79" s="283">
        <f>SUM(Government1:Government10!L30)+SUM(Partner1:Partner10!L101)</f>
        <v>0</v>
      </c>
      <c r="M79" s="283">
        <f>SUM(Government1:Government10!M30)+SUM(Partner1:Partner10!M101)</f>
        <v>0</v>
      </c>
      <c r="N79" s="283">
        <f>SUM(Government1:Government10!N30)+SUM(Partner1:Partner10!N101)</f>
        <v>0</v>
      </c>
    </row>
    <row r="80" spans="5:14" ht="12" x14ac:dyDescent="0.2">
      <c r="F80" s="38"/>
      <c r="G80" s="38"/>
      <c r="H80" s="152" t="s">
        <v>539</v>
      </c>
      <c r="I80" s="311">
        <f>SUM(Government1:Government10!I31)+SUM(Partner1:Partner10!I102)</f>
        <v>87037941998.151306</v>
      </c>
      <c r="J80" s="312">
        <f>SUM(Government1:Government10!J31)+SUM(Partner1:Partner10!J102)</f>
        <v>18340829179.63026</v>
      </c>
      <c r="K80" s="312">
        <f>SUM(Government1:Government10!K31)+SUM(Partner1:Partner10!K102)</f>
        <v>23864621479.63026</v>
      </c>
      <c r="L80" s="312">
        <f>SUM(Government1:Government10!L31)+SUM(Partner1:Partner10!L102)</f>
        <v>18358829179.63026</v>
      </c>
      <c r="M80" s="312">
        <f>SUM(Government1:Government10!M31)+SUM(Partner1:Partner10!M102)</f>
        <v>13241331079.630262</v>
      </c>
      <c r="N80" s="312">
        <f>SUM(Government1:Government10!N31)+SUM(Partner1:Partner10!N102)</f>
        <v>13232331079.630262</v>
      </c>
    </row>
    <row r="81" spans="6:14" ht="22.8" x14ac:dyDescent="0.2">
      <c r="F81" s="447" t="str">
        <f>Strategy3</f>
        <v>Objetivo estratégico 3: Aumentar la disponibilidad y el acceso a alimentos nutritivos de alto valor, seguros y diversificados</v>
      </c>
      <c r="G81" s="42" t="str">
        <f>STRAT3_IND1</f>
        <v xml:space="preserve">Aumenta la disponibilidad y el acceso a alimentos de alto valor nutritivo en los hogares. </v>
      </c>
      <c r="H81" s="260" t="str">
        <f ca="1">OFFSET(Variables_Lu!$D$10,Basic_Setup!H46,0)</f>
        <v>Nutrition-specific</v>
      </c>
      <c r="I81" s="306">
        <f>SUM(Government1:Government10!I32)+SUM(Partner1:Partner10!I103)</f>
        <v>177723444737.90979</v>
      </c>
      <c r="J81" s="283">
        <f>SUM(Government1:Government10!J32)+SUM(Partner1:Partner10!J103)</f>
        <v>43419192507.581963</v>
      </c>
      <c r="K81" s="283">
        <f>SUM(Government1:Government10!K32)+SUM(Partner1:Partner10!K103)</f>
        <v>75450154707.581955</v>
      </c>
      <c r="L81" s="283">
        <f>SUM(Government1:Government10!L32)+SUM(Partner1:Partner10!L103)</f>
        <v>41685972507.581963</v>
      </c>
      <c r="M81" s="283">
        <f>SUM(Government1:Government10!M32)+SUM(Partner1:Partner10!M103)</f>
        <v>8584062507.5819616</v>
      </c>
      <c r="N81" s="283">
        <f>SUM(Government1:Government10!N32)+SUM(Partner1:Partner10!N103)</f>
        <v>8584062507.5819616</v>
      </c>
    </row>
    <row r="82" spans="6:14" ht="22.8" x14ac:dyDescent="0.2">
      <c r="F82" s="447"/>
      <c r="G82" s="42" t="str">
        <f>STRAT3_IND2</f>
        <v xml:space="preserve"> La seguridad alimentaria está garantizada para toda la nación.</v>
      </c>
      <c r="H82" s="260" t="str">
        <f ca="1">OFFSET(Variables_Lu!$D$10,Basic_Setup!H47,0)</f>
        <v>Nutrition-sensitive</v>
      </c>
      <c r="I82" s="306">
        <f>SUM(Government1:Government10!I33)+SUM(Partner1:Partner10!I104)</f>
        <v>37295312537.909805</v>
      </c>
      <c r="J82" s="283">
        <f>SUM(Government1:Government10!J33)+SUM(Partner1:Partner10!J104)</f>
        <v>7459062507.5819616</v>
      </c>
      <c r="K82" s="283">
        <f>SUM(Government1:Government10!K33)+SUM(Partner1:Partner10!K104)</f>
        <v>7459062507.5819616</v>
      </c>
      <c r="L82" s="283">
        <f>SUM(Government1:Government10!L33)+SUM(Partner1:Partner10!L104)</f>
        <v>7459062507.5819616</v>
      </c>
      <c r="M82" s="283">
        <f>SUM(Government1:Government10!M33)+SUM(Partner1:Partner10!M104)</f>
        <v>7459062507.5819616</v>
      </c>
      <c r="N82" s="283">
        <f>SUM(Government1:Government10!N33)+SUM(Partner1:Partner10!N104)</f>
        <v>7459062507.5819616</v>
      </c>
    </row>
    <row r="83" spans="6:14" ht="12" x14ac:dyDescent="0.2">
      <c r="F83" s="447"/>
      <c r="G83" s="42" t="str">
        <f>STRAT3_IND3</f>
        <v>Objetivo estratégico 3 Indicador 3</v>
      </c>
      <c r="H83" s="260" t="str">
        <f ca="1">OFFSET(Variables_Lu!$D$10,Basic_Setup!H48,0)</f>
        <v>Nutrition-specific</v>
      </c>
      <c r="I83" s="306">
        <f>SUM(Government1:Government10!I34)+SUM(Partner1:Partner10!I105)</f>
        <v>0</v>
      </c>
      <c r="J83" s="283">
        <f>SUM(Government1:Government10!J34)+SUM(Partner1:Partner10!J105)</f>
        <v>0</v>
      </c>
      <c r="K83" s="283">
        <f>SUM(Government1:Government10!K34)+SUM(Partner1:Partner10!K105)</f>
        <v>0</v>
      </c>
      <c r="L83" s="283">
        <f>SUM(Government1:Government10!L34)+SUM(Partner1:Partner10!L105)</f>
        <v>0</v>
      </c>
      <c r="M83" s="283">
        <f>SUM(Government1:Government10!M34)+SUM(Partner1:Partner10!M105)</f>
        <v>0</v>
      </c>
      <c r="N83" s="283">
        <f>SUM(Government1:Government10!N34)+SUM(Partner1:Partner10!N105)</f>
        <v>0</v>
      </c>
    </row>
    <row r="84" spans="6:14" ht="12" x14ac:dyDescent="0.2">
      <c r="F84" s="447"/>
      <c r="G84" s="41" t="str">
        <f>STRAT3_IND4</f>
        <v>Objetivo estratégico 3 Indicador 4</v>
      </c>
      <c r="H84" s="260" t="str">
        <f ca="1">OFFSET(Variables_Lu!$D$10,Basic_Setup!H49,0)</f>
        <v>Nutrition-specific</v>
      </c>
      <c r="I84" s="306">
        <f>SUM(Government1:Government10!I35)+SUM(Partner1:Partner10!I106)</f>
        <v>0</v>
      </c>
      <c r="J84" s="283">
        <f>SUM(Government1:Government10!J35)+SUM(Partner1:Partner10!J106)</f>
        <v>0</v>
      </c>
      <c r="K84" s="283">
        <f>SUM(Government1:Government10!K35)+SUM(Partner1:Partner10!K106)</f>
        <v>0</v>
      </c>
      <c r="L84" s="283">
        <f>SUM(Government1:Government10!L35)+SUM(Partner1:Partner10!L106)</f>
        <v>0</v>
      </c>
      <c r="M84" s="283">
        <f>SUM(Government1:Government10!M35)+SUM(Partner1:Partner10!M106)</f>
        <v>0</v>
      </c>
      <c r="N84" s="283">
        <f>SUM(Government1:Government10!N35)+SUM(Partner1:Partner10!N106)</f>
        <v>0</v>
      </c>
    </row>
    <row r="85" spans="6:14" ht="12" x14ac:dyDescent="0.2">
      <c r="F85" s="448"/>
      <c r="G85" s="41" t="str">
        <f>STRAT3_IND5</f>
        <v>Objetivo estratégico 3 Indicador 5</v>
      </c>
      <c r="H85" s="260" t="str">
        <f ca="1">OFFSET(Variables_Lu!$D$10,Basic_Setup!H50,0)</f>
        <v>Nutrition-specific</v>
      </c>
      <c r="I85" s="306">
        <f>SUM(Government1:Government10!I36)+SUM(Partner1:Partner10!I107)</f>
        <v>0</v>
      </c>
      <c r="J85" s="283">
        <f>SUM(Government1:Government10!J36)+SUM(Partner1:Partner10!J107)</f>
        <v>0</v>
      </c>
      <c r="K85" s="283">
        <f>SUM(Government1:Government10!K36)+SUM(Partner1:Partner10!K107)</f>
        <v>0</v>
      </c>
      <c r="L85" s="283">
        <f>SUM(Government1:Government10!L36)+SUM(Partner1:Partner10!L107)</f>
        <v>0</v>
      </c>
      <c r="M85" s="283">
        <f>SUM(Government1:Government10!M36)+SUM(Partner1:Partner10!M107)</f>
        <v>0</v>
      </c>
      <c r="N85" s="283">
        <f>SUM(Government1:Government10!N36)+SUM(Partner1:Partner10!N107)</f>
        <v>0</v>
      </c>
    </row>
    <row r="86" spans="6:14" ht="12" x14ac:dyDescent="0.2">
      <c r="H86" s="152" t="s">
        <v>540</v>
      </c>
      <c r="I86" s="311">
        <f>SUM(Government1:Government10!I37)+SUM(Partner1:Partner10!I108)</f>
        <v>215018757275.81961</v>
      </c>
      <c r="J86" s="312">
        <f>SUM(Government1:Government10!J37)+SUM(Partner1:Partner10!J108)</f>
        <v>50878255015.163925</v>
      </c>
      <c r="K86" s="312">
        <f>SUM(Government1:Government10!K37)+SUM(Partner1:Partner10!K108)</f>
        <v>82909217215.163925</v>
      </c>
      <c r="L86" s="312">
        <f>SUM(Government1:Government10!L37)+SUM(Partner1:Partner10!L108)</f>
        <v>49145035015.163925</v>
      </c>
      <c r="M86" s="312">
        <f>SUM(Government1:Government10!M37)+SUM(Partner1:Partner10!M108)</f>
        <v>16043125015.163923</v>
      </c>
      <c r="N86" s="312">
        <f>SUM(Government1:Government10!N37)+SUM(Partner1:Partner10!N108)</f>
        <v>16043125015.163923</v>
      </c>
    </row>
    <row r="87" spans="6:14" ht="34.200000000000003" x14ac:dyDescent="0.2">
      <c r="F87" s="447" t="str">
        <f>Strategy4</f>
        <v>Objetivo estratégico 4: Fortalecer la protección social, la resiliencia de la respuesta a las emergencias y los desastres naturales.</v>
      </c>
      <c r="G87" s="42" t="str">
        <f>STRAT4_IND1</f>
        <v xml:space="preserve">Se garantiza la protección social de los niños menores de 5 años, los adolescentes, FE/FA y otros grupos vulnerables. </v>
      </c>
      <c r="H87" s="260" t="str">
        <f ca="1">OFFSET(Variables_Lu!$D$10,Basic_Setup!H52,0)</f>
        <v>Nutrition-sensitive</v>
      </c>
      <c r="I87" s="306">
        <f>SUM(Government1:Government10!I38)+SUM(Partner1:Partner10!I109)</f>
        <v>50843967212.590851</v>
      </c>
      <c r="J87" s="283">
        <f>SUM(Government1:Government10!J38)+SUM(Partner1:Partner10!J109)</f>
        <v>11440428462.518171</v>
      </c>
      <c r="K87" s="283">
        <f>SUM(Government1:Government10!K38)+SUM(Partner1:Partner10!K109)</f>
        <v>17621332362.518173</v>
      </c>
      <c r="L87" s="283">
        <f>SUM(Government1:Government10!L38)+SUM(Partner1:Partner10!L109)</f>
        <v>11440428462.518171</v>
      </c>
      <c r="M87" s="283">
        <f>SUM(Government1:Government10!M38)+SUM(Partner1:Partner10!M109)</f>
        <v>5170888962.5181713</v>
      </c>
      <c r="N87" s="283">
        <f>SUM(Government1:Government10!N38)+SUM(Partner1:Partner10!N109)</f>
        <v>5170888962.5181713</v>
      </c>
    </row>
    <row r="88" spans="6:14" ht="34.200000000000003" x14ac:dyDescent="0.2">
      <c r="F88" s="447"/>
      <c r="G88" s="42" t="str">
        <f>STRAT4_IND2</f>
        <v xml:space="preserve">Se fortalece la capacidad de resiliencia y el estado nutricional de las poblaciones vulnerables, incluidos los niños de las zonas desfavorecidas.  </v>
      </c>
      <c r="H88" s="260" t="str">
        <f ca="1">OFFSET(Variables_Lu!$D$10,Basic_Setup!H53,0)</f>
        <v>Nutrition-specific</v>
      </c>
      <c r="I88" s="306">
        <f>SUM(Government1:Government10!I39)+SUM(Partner1:Partner10!I110)</f>
        <v>21897864812.590855</v>
      </c>
      <c r="J88" s="283">
        <f>SUM(Government1:Government10!J39)+SUM(Partner1:Partner10!J110)</f>
        <v>4428208962.5181713</v>
      </c>
      <c r="K88" s="283">
        <f>SUM(Government1:Government10!K39)+SUM(Partner1:Partner10!K110)</f>
        <v>4386988962.5181713</v>
      </c>
      <c r="L88" s="283">
        <f>SUM(Government1:Government10!L39)+SUM(Partner1:Partner10!L110)</f>
        <v>4360888962.5181713</v>
      </c>
      <c r="M88" s="283">
        <f>SUM(Government1:Government10!M39)+SUM(Partner1:Partner10!M110)</f>
        <v>4360888962.5181713</v>
      </c>
      <c r="N88" s="283">
        <f>SUM(Government1:Government10!N39)+SUM(Partner1:Partner10!N110)</f>
        <v>4360888962.5181713</v>
      </c>
    </row>
    <row r="89" spans="6:14" ht="34.200000000000003" x14ac:dyDescent="0.2">
      <c r="F89" s="447"/>
      <c r="G89" s="42" t="str">
        <f>STRAT4_IND3</f>
        <v xml:space="preserve"> Se introducen eficazmente intervenciones para emergencias y catástrofes naturales integrales de la nutrición.</v>
      </c>
      <c r="H89" s="260" t="str">
        <f ca="1">OFFSET(Variables_Lu!$D$10,Basic_Setup!H54,0)</f>
        <v>Nutrition-specific</v>
      </c>
      <c r="I89" s="306">
        <f>SUM(Government1:Government10!I40)+SUM(Partner1:Partner10!I111)</f>
        <v>23874444812.590855</v>
      </c>
      <c r="J89" s="283">
        <f>SUM(Government1:Government10!J40)+SUM(Partner1:Partner10!J111)</f>
        <v>4774888962.5181713</v>
      </c>
      <c r="K89" s="283">
        <f>SUM(Government1:Government10!K40)+SUM(Partner1:Partner10!K111)</f>
        <v>4774888962.5181713</v>
      </c>
      <c r="L89" s="283">
        <f>SUM(Government1:Government10!L40)+SUM(Partner1:Partner10!L111)</f>
        <v>4774888962.5181713</v>
      </c>
      <c r="M89" s="283">
        <f>SUM(Government1:Government10!M40)+SUM(Partner1:Partner10!M111)</f>
        <v>4774888962.5181713</v>
      </c>
      <c r="N89" s="283">
        <f>SUM(Government1:Government10!N40)+SUM(Partner1:Partner10!N111)</f>
        <v>4774888962.5181713</v>
      </c>
    </row>
    <row r="90" spans="6:14" ht="12" x14ac:dyDescent="0.2">
      <c r="F90" s="447"/>
      <c r="G90" s="41" t="str">
        <f>STRAT4_IND4</f>
        <v>Objetivo estratégico 4 Indicador 4</v>
      </c>
      <c r="H90" s="260" t="str">
        <f ca="1">OFFSET(Variables_Lu!$D$10,Basic_Setup!H55,0)</f>
        <v>Nutrition-specific</v>
      </c>
      <c r="I90" s="306">
        <f>SUM(Government1:Government10!I41)+SUM(Partner1:Partner10!I112)</f>
        <v>0</v>
      </c>
      <c r="J90" s="283">
        <f>SUM(Government1:Government10!J41)+SUM(Partner1:Partner10!J112)</f>
        <v>0</v>
      </c>
      <c r="K90" s="283">
        <f>SUM(Government1:Government10!K41)+SUM(Partner1:Partner10!K112)</f>
        <v>0</v>
      </c>
      <c r="L90" s="283">
        <f>SUM(Government1:Government10!L41)+SUM(Partner1:Partner10!L112)</f>
        <v>0</v>
      </c>
      <c r="M90" s="283">
        <f>SUM(Government1:Government10!M41)+SUM(Partner1:Partner10!M112)</f>
        <v>0</v>
      </c>
      <c r="N90" s="283">
        <f>SUM(Government1:Government10!N41)+SUM(Partner1:Partner10!N112)</f>
        <v>0</v>
      </c>
    </row>
    <row r="91" spans="6:14" ht="12" x14ac:dyDescent="0.2">
      <c r="F91" s="448"/>
      <c r="G91" s="41" t="str">
        <f>STRAT4_IND5</f>
        <v>Objetivo estratégico 4 Indicador 5</v>
      </c>
      <c r="H91" s="260" t="str">
        <f ca="1">OFFSET(Variables_Lu!$D$10,Basic_Setup!H56,0)</f>
        <v>Nutrition-specific</v>
      </c>
      <c r="I91" s="306">
        <f>SUM(Government1:Government10!I42)+SUM(Partner1:Partner10!I113)</f>
        <v>0</v>
      </c>
      <c r="J91" s="283">
        <f>SUM(Government1:Government10!J42)+SUM(Partner1:Partner10!J113)</f>
        <v>0</v>
      </c>
      <c r="K91" s="283">
        <f>SUM(Government1:Government10!K42)+SUM(Partner1:Partner10!K113)</f>
        <v>0</v>
      </c>
      <c r="L91" s="283">
        <f>SUM(Government1:Government10!L42)+SUM(Partner1:Partner10!L113)</f>
        <v>0</v>
      </c>
      <c r="M91" s="283">
        <f>SUM(Government1:Government10!M42)+SUM(Partner1:Partner10!M113)</f>
        <v>0</v>
      </c>
      <c r="N91" s="283">
        <f>SUM(Government1:Government10!N42)+SUM(Partner1:Partner10!N113)</f>
        <v>0</v>
      </c>
    </row>
    <row r="92" spans="6:14" ht="12" x14ac:dyDescent="0.2">
      <c r="H92" s="152" t="s">
        <v>541</v>
      </c>
      <c r="I92" s="311">
        <f>SUM(Government1:Government10!I43)+SUM(Partner1:Partner10!I114)</f>
        <v>96616276837.772583</v>
      </c>
      <c r="J92" s="312">
        <f>SUM(Government1:Government10!J43)+SUM(Partner1:Partner10!J114)</f>
        <v>20643526387.554512</v>
      </c>
      <c r="K92" s="312">
        <f>SUM(Government1:Government10!K43)+SUM(Partner1:Partner10!K114)</f>
        <v>26783210287.554512</v>
      </c>
      <c r="L92" s="312">
        <f>SUM(Government1:Government10!L43)+SUM(Partner1:Partner10!L114)</f>
        <v>20576206387.554512</v>
      </c>
      <c r="M92" s="312">
        <f>SUM(Government1:Government10!M43)+SUM(Partner1:Partner10!M114)</f>
        <v>14306666887.554514</v>
      </c>
      <c r="N92" s="312">
        <f>SUM(Government1:Government10!N43)+SUM(Partner1:Partner10!N114)</f>
        <v>14306666887.554514</v>
      </c>
    </row>
    <row r="93" spans="6:14" ht="34.200000000000003" x14ac:dyDescent="0.2">
      <c r="F93" s="447" t="str">
        <f>Strategy5</f>
        <v xml:space="preserve">Objetivo estratégico 5: Promoción de prácticas favorables a una nutrición óptima, de higiene y saneamiento básico. </v>
      </c>
      <c r="G93" s="42" t="str">
        <f>STRAT5_IND1</f>
        <v>Se mejoran las prácticas nutricionales favorables para los niños menores de 5 años, los adolescentes, las mujeres embarazadas y lactantes, y otros grupos vulnerables.</v>
      </c>
      <c r="H93" s="260" t="str">
        <f ca="1">OFFSET(Variables_Lu!$D$10,Basic_Setup!H58,0)</f>
        <v>Nutrition-specific</v>
      </c>
      <c r="I93" s="306">
        <f>SUM(Government1:Government10!I44)+SUM(Partner1:Partner10!I115)</f>
        <v>23088256795.897926</v>
      </c>
      <c r="J93" s="283">
        <f>SUM(Government1:Government10!J44)+SUM(Partner1:Partner10!J115)</f>
        <v>5251994759.1795855</v>
      </c>
      <c r="K93" s="283">
        <f>SUM(Government1:Government10!K44)+SUM(Partner1:Partner10!K115)</f>
        <v>5099604959.1795855</v>
      </c>
      <c r="L93" s="283">
        <f>SUM(Government1:Government10!L44)+SUM(Partner1:Partner10!L115)</f>
        <v>4586199959.1795855</v>
      </c>
      <c r="M93" s="283">
        <f>SUM(Government1:Government10!M44)+SUM(Partner1:Partner10!M115)</f>
        <v>4075228559.1795855</v>
      </c>
      <c r="N93" s="283">
        <f>SUM(Government1:Government10!N44)+SUM(Partner1:Partner10!N115)</f>
        <v>4075228559.1795855</v>
      </c>
    </row>
    <row r="94" spans="6:14" ht="22.8" x14ac:dyDescent="0.2">
      <c r="F94" s="447"/>
      <c r="G94" s="42" t="str">
        <f>STRAT5_IND2</f>
        <v>Se promueven dietas saludables y estilos de vida saludables para las personas.</v>
      </c>
      <c r="H94" s="260" t="str">
        <f ca="1">OFFSET(Variables_Lu!$D$10,Basic_Setup!H59,0)</f>
        <v>Nutrition-specific</v>
      </c>
      <c r="I94" s="306">
        <f>SUM(Government1:Government10!I45)+SUM(Partner1:Partner10!I116)</f>
        <v>4960762795.8979273</v>
      </c>
      <c r="J94" s="283">
        <f>SUM(Government1:Government10!J45)+SUM(Partner1:Partner10!J116)</f>
        <v>1012708559.1795855</v>
      </c>
      <c r="K94" s="283">
        <f>SUM(Government1:Government10!K45)+SUM(Partner1:Partner10!K116)</f>
        <v>1010368559.1795855</v>
      </c>
      <c r="L94" s="283">
        <f>SUM(Government1:Government10!L45)+SUM(Partner1:Partner10!L116)</f>
        <v>979228559.17958546</v>
      </c>
      <c r="M94" s="283">
        <f>SUM(Government1:Government10!M45)+SUM(Partner1:Partner10!M116)</f>
        <v>979228559.17958546</v>
      </c>
      <c r="N94" s="283">
        <f>SUM(Government1:Government10!N45)+SUM(Partner1:Partner10!N116)</f>
        <v>979228559.17958546</v>
      </c>
    </row>
    <row r="95" spans="6:14" ht="22.8" x14ac:dyDescent="0.2">
      <c r="F95" s="447"/>
      <c r="G95" s="42" t="str">
        <f>STRAT5_IND3</f>
        <v>Se promueven las buenas prácticas WASH a nivel comunitario y doméstico</v>
      </c>
      <c r="H95" s="260" t="str">
        <f ca="1">OFFSET(Variables_Lu!$D$10,Basic_Setup!H60,0)</f>
        <v>Nutrition-sensitive</v>
      </c>
      <c r="I95" s="306">
        <f>SUM(Government1:Government10!I46)+SUM(Partner1:Partner10!I117)</f>
        <v>7056142795.8979273</v>
      </c>
      <c r="J95" s="283">
        <f>SUM(Government1:Government10!J46)+SUM(Partner1:Partner10!J117)</f>
        <v>1411228559.1795855</v>
      </c>
      <c r="K95" s="283">
        <f>SUM(Government1:Government10!K46)+SUM(Partner1:Partner10!K117)</f>
        <v>1411228559.1795855</v>
      </c>
      <c r="L95" s="283">
        <f>SUM(Government1:Government10!L46)+SUM(Partner1:Partner10!L117)</f>
        <v>1411228559.1795855</v>
      </c>
      <c r="M95" s="283">
        <f>SUM(Government1:Government10!M46)+SUM(Partner1:Partner10!M117)</f>
        <v>1411228559.1795855</v>
      </c>
      <c r="N95" s="283">
        <f>SUM(Government1:Government10!N46)+SUM(Partner1:Partner10!N117)</f>
        <v>1411228559.1795855</v>
      </c>
    </row>
    <row r="96" spans="6:14" ht="12" x14ac:dyDescent="0.2">
      <c r="F96" s="447"/>
      <c r="G96" s="41" t="str">
        <f>STRAT5_IND4</f>
        <v>Objetivo estratégico 5 Indicador 4</v>
      </c>
      <c r="H96" s="260" t="str">
        <f ca="1">OFFSET(Variables_Lu!$D$10,Basic_Setup!H61,0)</f>
        <v>Nutrition-specific</v>
      </c>
      <c r="I96" s="306">
        <f>SUM(Government1:Government10!I47)+SUM(Partner1:Partner10!I118)</f>
        <v>0</v>
      </c>
      <c r="J96" s="283">
        <f>SUM(Government1:Government10!J47)+SUM(Partner1:Partner10!J118)</f>
        <v>0</v>
      </c>
      <c r="K96" s="283">
        <f>SUM(Government1:Government10!K47)+SUM(Partner1:Partner10!K118)</f>
        <v>0</v>
      </c>
      <c r="L96" s="283">
        <f>SUM(Government1:Government10!L47)+SUM(Partner1:Partner10!L118)</f>
        <v>0</v>
      </c>
      <c r="M96" s="283">
        <f>SUM(Government1:Government10!M47)+SUM(Partner1:Partner10!M118)</f>
        <v>0</v>
      </c>
      <c r="N96" s="283">
        <f>SUM(Government1:Government10!N47)+SUM(Partner1:Partner10!N118)</f>
        <v>0</v>
      </c>
    </row>
    <row r="97" spans="6:14" ht="12" x14ac:dyDescent="0.2">
      <c r="F97" s="448"/>
      <c r="G97" s="41" t="str">
        <f>STRAT5_IND5</f>
        <v>Objetivo estratégico 5 Indicador 5</v>
      </c>
      <c r="H97" s="260" t="str">
        <f ca="1">OFFSET(Variables_Lu!$D$10,Basic_Setup!H62,0)</f>
        <v>Nutrition-specific</v>
      </c>
      <c r="I97" s="306">
        <f>SUM(Government1:Government10!I48)+SUM(Partner1:Partner10!I119)</f>
        <v>0</v>
      </c>
      <c r="J97" s="283">
        <f>SUM(Government1:Government10!J48)+SUM(Partner1:Partner10!J119)</f>
        <v>0</v>
      </c>
      <c r="K97" s="283">
        <f>SUM(Government1:Government10!K48)+SUM(Partner1:Partner10!K119)</f>
        <v>0</v>
      </c>
      <c r="L97" s="283">
        <f>SUM(Government1:Government10!L48)+SUM(Partner1:Partner10!L119)</f>
        <v>0</v>
      </c>
      <c r="M97" s="283">
        <f>SUM(Government1:Government10!M48)+SUM(Partner1:Partner10!M119)</f>
        <v>0</v>
      </c>
      <c r="N97" s="283">
        <f>SUM(Government1:Government10!N48)+SUM(Partner1:Partner10!N119)</f>
        <v>0</v>
      </c>
    </row>
    <row r="98" spans="6:14" ht="12" x14ac:dyDescent="0.2">
      <c r="H98" s="152" t="s">
        <v>542</v>
      </c>
      <c r="I98" s="311">
        <f>SUM(Government1:Government10!I49)+SUM(Partner1:Partner10!I120)</f>
        <v>35105162387.693779</v>
      </c>
      <c r="J98" s="312">
        <f>SUM(Government1:Government10!J49)+SUM(Partner1:Partner10!J120)</f>
        <v>7675931877.5387564</v>
      </c>
      <c r="K98" s="312">
        <f>SUM(Government1:Government10!K49)+SUM(Partner1:Partner10!K120)</f>
        <v>7521202077.5387564</v>
      </c>
      <c r="L98" s="312">
        <f>SUM(Government1:Government10!L49)+SUM(Partner1:Partner10!L120)</f>
        <v>6976657077.5387564</v>
      </c>
      <c r="M98" s="312">
        <f>SUM(Government1:Government10!M49)+SUM(Partner1:Partner10!M120)</f>
        <v>6465685677.5387564</v>
      </c>
      <c r="N98" s="312">
        <f>SUM(Government1:Government10!N49)+SUM(Partner1:Partner10!N120)</f>
        <v>6465685677.5387564</v>
      </c>
    </row>
    <row r="99" spans="6:14" ht="12" x14ac:dyDescent="0.2">
      <c r="F99" s="447" t="str">
        <f>Strategy6</f>
        <v>Objetivo estratégico 6: [No está en uso]</v>
      </c>
      <c r="G99" s="42" t="str">
        <f>STRAT6_IND1</f>
        <v>Objetivo estratégico 6 Indicador 1</v>
      </c>
      <c r="H99" s="260" t="str">
        <f ca="1">OFFSET(Variables_Lu!$D$10,Basic_Setup!H64,0)</f>
        <v>Nutrition-specific</v>
      </c>
      <c r="I99" s="306">
        <f>SUM(Government1:Government10!I50)+SUM(Partner1:Partner10!I121)</f>
        <v>0</v>
      </c>
      <c r="J99" s="283">
        <f>SUM(Government1:Government10!J50)+SUM(Partner1:Partner10!J121)</f>
        <v>0</v>
      </c>
      <c r="K99" s="283">
        <f>SUM(Government1:Government10!K50)+SUM(Partner1:Partner10!K121)</f>
        <v>0</v>
      </c>
      <c r="L99" s="283">
        <f>SUM(Government1:Government10!L50)+SUM(Partner1:Partner10!L121)</f>
        <v>0</v>
      </c>
      <c r="M99" s="283">
        <f>SUM(Government1:Government10!M50)+SUM(Partner1:Partner10!M121)</f>
        <v>0</v>
      </c>
      <c r="N99" s="283">
        <f>SUM(Government1:Government10!N50)+SUM(Partner1:Partner10!N121)</f>
        <v>0</v>
      </c>
    </row>
    <row r="100" spans="6:14" ht="12" x14ac:dyDescent="0.2">
      <c r="F100" s="447"/>
      <c r="G100" s="42" t="str">
        <f>STRAT6_IND2</f>
        <v>Objetivo estratégico 6 Indicador 2</v>
      </c>
      <c r="H100" s="260" t="str">
        <f ca="1">OFFSET(Variables_Lu!$D$10,Basic_Setup!H65,0)</f>
        <v>Nutrition-specific</v>
      </c>
      <c r="I100" s="306">
        <f>SUM(Government1:Government10!I51)+SUM(Partner1:Partner10!I122)</f>
        <v>0</v>
      </c>
      <c r="J100" s="283">
        <f>SUM(Government1:Government10!J51)+SUM(Partner1:Partner10!J122)</f>
        <v>0</v>
      </c>
      <c r="K100" s="283">
        <f>SUM(Government1:Government10!K51)+SUM(Partner1:Partner10!K122)</f>
        <v>0</v>
      </c>
      <c r="L100" s="283">
        <f>SUM(Government1:Government10!L51)+SUM(Partner1:Partner10!L122)</f>
        <v>0</v>
      </c>
      <c r="M100" s="283">
        <f>SUM(Government1:Government10!M51)+SUM(Partner1:Partner10!M122)</f>
        <v>0</v>
      </c>
      <c r="N100" s="283">
        <f>SUM(Government1:Government10!N51)+SUM(Partner1:Partner10!N122)</f>
        <v>0</v>
      </c>
    </row>
    <row r="101" spans="6:14" ht="12" x14ac:dyDescent="0.2">
      <c r="F101" s="447"/>
      <c r="G101" s="42" t="str">
        <f>STRAT6_IND3</f>
        <v>Objetivo estratégico 6 Indicador 3</v>
      </c>
      <c r="H101" s="260" t="str">
        <f ca="1">OFFSET(Variables_Lu!$D$10,Basic_Setup!H66,0)</f>
        <v>Nutrition-specific</v>
      </c>
      <c r="I101" s="306">
        <f>SUM(Government1:Government10!I52)+SUM(Partner1:Partner10!I123)</f>
        <v>0</v>
      </c>
      <c r="J101" s="283">
        <f>SUM(Government1:Government10!J52)+SUM(Partner1:Partner10!J123)</f>
        <v>0</v>
      </c>
      <c r="K101" s="283">
        <f>SUM(Government1:Government10!K52)+SUM(Partner1:Partner10!K123)</f>
        <v>0</v>
      </c>
      <c r="L101" s="283">
        <f>SUM(Government1:Government10!L52)+SUM(Partner1:Partner10!L123)</f>
        <v>0</v>
      </c>
      <c r="M101" s="283">
        <f>SUM(Government1:Government10!M52)+SUM(Partner1:Partner10!M123)</f>
        <v>0</v>
      </c>
      <c r="N101" s="283">
        <f>SUM(Government1:Government10!N52)+SUM(Partner1:Partner10!N123)</f>
        <v>0</v>
      </c>
    </row>
    <row r="102" spans="6:14" ht="12" x14ac:dyDescent="0.2">
      <c r="F102" s="447"/>
      <c r="G102" s="41" t="str">
        <f>STRAT6_IND4</f>
        <v>Objetivo estratégico 6 Indicador 4</v>
      </c>
      <c r="H102" s="260" t="str">
        <f ca="1">OFFSET(Variables_Lu!$D$10,Basic_Setup!H67,0)</f>
        <v>Nutrition-specific</v>
      </c>
      <c r="I102" s="306">
        <f>SUM(Government1:Government10!I53)+SUM(Partner1:Partner10!I124)</f>
        <v>0</v>
      </c>
      <c r="J102" s="283">
        <f>SUM(Government1:Government10!J53)+SUM(Partner1:Partner10!J124)</f>
        <v>0</v>
      </c>
      <c r="K102" s="283">
        <f>SUM(Government1:Government10!K53)+SUM(Partner1:Partner10!K124)</f>
        <v>0</v>
      </c>
      <c r="L102" s="283">
        <f>SUM(Government1:Government10!L53)+SUM(Partner1:Partner10!L124)</f>
        <v>0</v>
      </c>
      <c r="M102" s="283">
        <f>SUM(Government1:Government10!M53)+SUM(Partner1:Partner10!M124)</f>
        <v>0</v>
      </c>
      <c r="N102" s="283">
        <f>SUM(Government1:Government10!N53)+SUM(Partner1:Partner10!N124)</f>
        <v>0</v>
      </c>
    </row>
    <row r="103" spans="6:14" ht="12" x14ac:dyDescent="0.2">
      <c r="F103" s="448"/>
      <c r="G103" s="41" t="str">
        <f>STRAT6_IND5</f>
        <v>Objetivo estratégico 6 Indicador 5</v>
      </c>
      <c r="H103" s="260" t="str">
        <f ca="1">OFFSET(Variables_Lu!$D$10,Basic_Setup!H68,0)</f>
        <v>Nutrition-specific</v>
      </c>
      <c r="I103" s="306">
        <f>SUM(Government1:Government10!I54)+SUM(Partner1:Partner10!I125)</f>
        <v>0</v>
      </c>
      <c r="J103" s="283">
        <f>SUM(Government1:Government10!J54)+SUM(Partner1:Partner10!J125)</f>
        <v>0</v>
      </c>
      <c r="K103" s="283">
        <f>SUM(Government1:Government10!K54)+SUM(Partner1:Partner10!K125)</f>
        <v>0</v>
      </c>
      <c r="L103" s="283">
        <f>SUM(Government1:Government10!L54)+SUM(Partner1:Partner10!L125)</f>
        <v>0</v>
      </c>
      <c r="M103" s="283">
        <f>SUM(Government1:Government10!M54)+SUM(Partner1:Partner10!M125)</f>
        <v>0</v>
      </c>
      <c r="N103" s="283">
        <f>SUM(Government1:Government10!N54)+SUM(Partner1:Partner10!N125)</f>
        <v>0</v>
      </c>
    </row>
    <row r="104" spans="6:14" ht="12" x14ac:dyDescent="0.2">
      <c r="H104" s="152" t="s">
        <v>543</v>
      </c>
      <c r="I104" s="311">
        <f>SUM(Government1:Government10!I55)+SUM(Partner1:Partner10!I126)</f>
        <v>0</v>
      </c>
      <c r="J104" s="312">
        <f>SUM(Government1:Government10!J55)+SUM(Partner1:Partner10!J126)</f>
        <v>0</v>
      </c>
      <c r="K104" s="312">
        <f>SUM(Government1:Government10!K55)+SUM(Partner1:Partner10!K126)</f>
        <v>0</v>
      </c>
      <c r="L104" s="312">
        <f>SUM(Government1:Government10!L55)+SUM(Partner1:Partner10!L126)</f>
        <v>0</v>
      </c>
      <c r="M104" s="312">
        <f>SUM(Government1:Government10!M55)+SUM(Partner1:Partner10!M126)</f>
        <v>0</v>
      </c>
      <c r="N104" s="312">
        <f>SUM(Government1:Government10!N55)+SUM(Partner1:Partner10!N126)</f>
        <v>0</v>
      </c>
    </row>
    <row r="105" spans="6:14" ht="12" x14ac:dyDescent="0.2">
      <c r="F105" s="447" t="str">
        <f>Strategy7</f>
        <v>Objetivo estratégico 7: [No está en uso]</v>
      </c>
      <c r="G105" s="42" t="str">
        <f>STRAT7_IND1</f>
        <v>Objetivo estratégico 7 Indicador 1</v>
      </c>
      <c r="H105" s="260" t="str">
        <f ca="1">OFFSET(Variables_Lu!$D$10,Basic_Setup!H70,0)</f>
        <v>Nutrition-specific</v>
      </c>
      <c r="I105" s="306">
        <f>SUM(Government1:Government10!I56)+SUM(Partner1:Partner10!I127)</f>
        <v>0</v>
      </c>
      <c r="J105" s="283">
        <f>SUM(Government1:Government10!J56)+SUM(Partner1:Partner10!J127)</f>
        <v>0</v>
      </c>
      <c r="K105" s="283">
        <f>SUM(Government1:Government10!K56)+SUM(Partner1:Partner10!K127)</f>
        <v>0</v>
      </c>
      <c r="L105" s="283">
        <f>SUM(Government1:Government10!L56)+SUM(Partner1:Partner10!L127)</f>
        <v>0</v>
      </c>
      <c r="M105" s="283">
        <f>SUM(Government1:Government10!M56)+SUM(Partner1:Partner10!M127)</f>
        <v>0</v>
      </c>
      <c r="N105" s="283">
        <f>SUM(Government1:Government10!N56)+SUM(Partner1:Partner10!N127)</f>
        <v>0</v>
      </c>
    </row>
    <row r="106" spans="6:14" ht="12" x14ac:dyDescent="0.2">
      <c r="F106" s="447"/>
      <c r="G106" s="42" t="str">
        <f>STRAT7_IND2</f>
        <v>Objetivo estratégico 7 Indicador 2</v>
      </c>
      <c r="H106" s="260" t="str">
        <f ca="1">OFFSET(Variables_Lu!$D$10,Basic_Setup!H71,0)</f>
        <v>Nutrition-specific</v>
      </c>
      <c r="I106" s="306">
        <f>SUM(Government1:Government10!I57)+SUM(Partner1:Partner10!I128)</f>
        <v>0</v>
      </c>
      <c r="J106" s="283">
        <f>SUM(Government1:Government10!J57)+SUM(Partner1:Partner10!J128)</f>
        <v>0</v>
      </c>
      <c r="K106" s="283">
        <f>SUM(Government1:Government10!K57)+SUM(Partner1:Partner10!K128)</f>
        <v>0</v>
      </c>
      <c r="L106" s="283">
        <f>SUM(Government1:Government10!L57)+SUM(Partner1:Partner10!L128)</f>
        <v>0</v>
      </c>
      <c r="M106" s="283">
        <f>SUM(Government1:Government10!M57)+SUM(Partner1:Partner10!M128)</f>
        <v>0</v>
      </c>
      <c r="N106" s="283">
        <f>SUM(Government1:Government10!N57)+SUM(Partner1:Partner10!N128)</f>
        <v>0</v>
      </c>
    </row>
    <row r="107" spans="6:14" ht="12" x14ac:dyDescent="0.2">
      <c r="F107" s="447"/>
      <c r="G107" s="42" t="str">
        <f>STRAT7_IND3</f>
        <v>Objetivo estratégico 7 Indicador 3</v>
      </c>
      <c r="H107" s="260" t="str">
        <f ca="1">OFFSET(Variables_Lu!$D$10,Basic_Setup!H72,0)</f>
        <v>Nutrition-specific</v>
      </c>
      <c r="I107" s="306">
        <f>SUM(Government1:Government10!I58)+SUM(Partner1:Partner10!I129)</f>
        <v>0</v>
      </c>
      <c r="J107" s="283">
        <f>SUM(Government1:Government10!J58)+SUM(Partner1:Partner10!J129)</f>
        <v>0</v>
      </c>
      <c r="K107" s="283">
        <f>SUM(Government1:Government10!K58)+SUM(Partner1:Partner10!K129)</f>
        <v>0</v>
      </c>
      <c r="L107" s="283">
        <f>SUM(Government1:Government10!L58)+SUM(Partner1:Partner10!L129)</f>
        <v>0</v>
      </c>
      <c r="M107" s="283">
        <f>SUM(Government1:Government10!M58)+SUM(Partner1:Partner10!M129)</f>
        <v>0</v>
      </c>
      <c r="N107" s="283">
        <f>SUM(Government1:Government10!N58)+SUM(Partner1:Partner10!N129)</f>
        <v>0</v>
      </c>
    </row>
    <row r="108" spans="6:14" ht="12" x14ac:dyDescent="0.2">
      <c r="F108" s="447"/>
      <c r="G108" s="41" t="str">
        <f>STRAT7_IND4</f>
        <v>Objetivo estratégico 7 Indicador 4</v>
      </c>
      <c r="H108" s="260" t="str">
        <f ca="1">OFFSET(Variables_Lu!$D$10,Basic_Setup!H73,0)</f>
        <v>Nutrition-specific</v>
      </c>
      <c r="I108" s="306">
        <f>SUM(Government1:Government10!I59)+SUM(Partner1:Partner10!I130)</f>
        <v>0</v>
      </c>
      <c r="J108" s="283">
        <f>SUM(Government1:Government10!J59)+SUM(Partner1:Partner10!J130)</f>
        <v>0</v>
      </c>
      <c r="K108" s="283">
        <f>SUM(Government1:Government10!K59)+SUM(Partner1:Partner10!K130)</f>
        <v>0</v>
      </c>
      <c r="L108" s="283">
        <f>SUM(Government1:Government10!L59)+SUM(Partner1:Partner10!L130)</f>
        <v>0</v>
      </c>
      <c r="M108" s="283">
        <f>SUM(Government1:Government10!M59)+SUM(Partner1:Partner10!M130)</f>
        <v>0</v>
      </c>
      <c r="N108" s="283">
        <f>SUM(Government1:Government10!N59)+SUM(Partner1:Partner10!N130)</f>
        <v>0</v>
      </c>
    </row>
    <row r="109" spans="6:14" ht="12" x14ac:dyDescent="0.2">
      <c r="F109" s="448"/>
      <c r="G109" s="41" t="str">
        <f>STRAT7_IND5</f>
        <v>Objetivo estratégico 7 Indicador 5</v>
      </c>
      <c r="H109" s="260" t="str">
        <f ca="1">OFFSET(Variables_Lu!$D$10,Basic_Setup!H74,0)</f>
        <v>Nutrition-specific</v>
      </c>
      <c r="I109" s="306">
        <f>SUM(Government1:Government10!I60)+SUM(Partner1:Partner10!I131)</f>
        <v>0</v>
      </c>
      <c r="J109" s="283">
        <f>SUM(Government1:Government10!J60)+SUM(Partner1:Partner10!J131)</f>
        <v>0</v>
      </c>
      <c r="K109" s="283">
        <f>SUM(Government1:Government10!K60)+SUM(Partner1:Partner10!K131)</f>
        <v>0</v>
      </c>
      <c r="L109" s="283">
        <f>SUM(Government1:Government10!L60)+SUM(Partner1:Partner10!L131)</f>
        <v>0</v>
      </c>
      <c r="M109" s="283">
        <f>SUM(Government1:Government10!M60)+SUM(Partner1:Partner10!M131)</f>
        <v>0</v>
      </c>
      <c r="N109" s="283">
        <f>SUM(Government1:Government10!N60)+SUM(Partner1:Partner10!N131)</f>
        <v>0</v>
      </c>
    </row>
    <row r="110" spans="6:14" ht="12" x14ac:dyDescent="0.2">
      <c r="H110" s="152" t="s">
        <v>544</v>
      </c>
      <c r="I110" s="311">
        <f>SUM(Government1:Government10!I61)+SUM(Partner1:Partner10!I132)</f>
        <v>0</v>
      </c>
      <c r="J110" s="312">
        <f>SUM(Government1:Government10!J61)+SUM(Partner1:Partner10!J132)</f>
        <v>0</v>
      </c>
      <c r="K110" s="312">
        <f>SUM(Government1:Government10!K61)+SUM(Partner1:Partner10!K132)</f>
        <v>0</v>
      </c>
      <c r="L110" s="312">
        <f>SUM(Government1:Government10!L61)+SUM(Partner1:Partner10!L132)</f>
        <v>0</v>
      </c>
      <c r="M110" s="312">
        <f>SUM(Government1:Government10!M61)+SUM(Partner1:Partner10!M132)</f>
        <v>0</v>
      </c>
      <c r="N110" s="312">
        <f>SUM(Government1:Government10!N61)+SUM(Partner1:Partner10!N132)</f>
        <v>0</v>
      </c>
    </row>
    <row r="111" spans="6:14" ht="12" x14ac:dyDescent="0.2">
      <c r="F111" s="447" t="str">
        <f>Strategy8</f>
        <v>Objetivo estratégico 8: [No está en uso]</v>
      </c>
      <c r="G111" s="42" t="str">
        <f>STRAT8_IND1</f>
        <v>Objetivo estratégico 8 Indicador 1</v>
      </c>
      <c r="H111" s="260" t="str">
        <f ca="1">OFFSET(Variables_Lu!$D$10,Basic_Setup!H76,0)</f>
        <v>Nutrition-specific</v>
      </c>
      <c r="I111" s="306">
        <f>SUM(Government1:Government10!I62)+SUM(Partner1:Partner10!I133)</f>
        <v>0</v>
      </c>
      <c r="J111" s="283">
        <f>SUM(Government1:Government10!J62)+SUM(Partner1:Partner10!J133)</f>
        <v>0</v>
      </c>
      <c r="K111" s="283">
        <f>SUM(Government1:Government10!K62)+SUM(Partner1:Partner10!K133)</f>
        <v>0</v>
      </c>
      <c r="L111" s="283">
        <f>SUM(Government1:Government10!L62)+SUM(Partner1:Partner10!L133)</f>
        <v>0</v>
      </c>
      <c r="M111" s="283">
        <f>SUM(Government1:Government10!M62)+SUM(Partner1:Partner10!M133)</f>
        <v>0</v>
      </c>
      <c r="N111" s="283">
        <f>SUM(Government1:Government10!N62)+SUM(Partner1:Partner10!N133)</f>
        <v>0</v>
      </c>
    </row>
    <row r="112" spans="6:14" ht="12" x14ac:dyDescent="0.2">
      <c r="F112" s="447"/>
      <c r="G112" s="42" t="str">
        <f>STRAT8_IND2</f>
        <v>Objetivo estratégico 8 Indicador 2</v>
      </c>
      <c r="H112" s="260" t="str">
        <f ca="1">OFFSET(Variables_Lu!$D$10,Basic_Setup!H77,0)</f>
        <v>Nutrition-specific</v>
      </c>
      <c r="I112" s="306">
        <f>SUM(Government1:Government10!I63)+SUM(Partner1:Partner10!I134)</f>
        <v>0</v>
      </c>
      <c r="J112" s="283">
        <f>SUM(Government1:Government10!J63)+SUM(Partner1:Partner10!J134)</f>
        <v>0</v>
      </c>
      <c r="K112" s="283">
        <f>SUM(Government1:Government10!K63)+SUM(Partner1:Partner10!K134)</f>
        <v>0</v>
      </c>
      <c r="L112" s="283">
        <f>SUM(Government1:Government10!L63)+SUM(Partner1:Partner10!L134)</f>
        <v>0</v>
      </c>
      <c r="M112" s="283">
        <f>SUM(Government1:Government10!M63)+SUM(Partner1:Partner10!M134)</f>
        <v>0</v>
      </c>
      <c r="N112" s="283">
        <f>SUM(Government1:Government10!N63)+SUM(Partner1:Partner10!N134)</f>
        <v>0</v>
      </c>
    </row>
    <row r="113" spans="6:14" ht="12" x14ac:dyDescent="0.2">
      <c r="F113" s="447"/>
      <c r="G113" s="42" t="str">
        <f>STRAT8_IND3</f>
        <v>Objetivo estratégico 8 Indicador 3</v>
      </c>
      <c r="H113" s="260" t="str">
        <f ca="1">OFFSET(Variables_Lu!$D$10,Basic_Setup!H78,0)</f>
        <v>Nutrition-specific</v>
      </c>
      <c r="I113" s="306">
        <f>SUM(Government1:Government10!I64)+SUM(Partner1:Partner10!I135)</f>
        <v>0</v>
      </c>
      <c r="J113" s="283">
        <f>SUM(Government1:Government10!J64)+SUM(Partner1:Partner10!J135)</f>
        <v>0</v>
      </c>
      <c r="K113" s="283">
        <f>SUM(Government1:Government10!K64)+SUM(Partner1:Partner10!K135)</f>
        <v>0</v>
      </c>
      <c r="L113" s="283">
        <f>SUM(Government1:Government10!L64)+SUM(Partner1:Partner10!L135)</f>
        <v>0</v>
      </c>
      <c r="M113" s="283">
        <f>SUM(Government1:Government10!M64)+SUM(Partner1:Partner10!M135)</f>
        <v>0</v>
      </c>
      <c r="N113" s="283">
        <f>SUM(Government1:Government10!N64)+SUM(Partner1:Partner10!N135)</f>
        <v>0</v>
      </c>
    </row>
    <row r="114" spans="6:14" ht="12" x14ac:dyDescent="0.2">
      <c r="F114" s="447"/>
      <c r="G114" s="41" t="str">
        <f>STRAT8_IND4</f>
        <v>Objetivo estratégico 8 Indicador 4</v>
      </c>
      <c r="H114" s="260" t="str">
        <f ca="1">OFFSET(Variables_Lu!$D$10,Basic_Setup!H79,0)</f>
        <v>Nutrition-specific</v>
      </c>
      <c r="I114" s="306">
        <f>SUM(Government1:Government10!I65)+SUM(Partner1:Partner10!I136)</f>
        <v>0</v>
      </c>
      <c r="J114" s="283">
        <f>SUM(Government1:Government10!J65)+SUM(Partner1:Partner10!J136)</f>
        <v>0</v>
      </c>
      <c r="K114" s="283">
        <f>SUM(Government1:Government10!K65)+SUM(Partner1:Partner10!K136)</f>
        <v>0</v>
      </c>
      <c r="L114" s="283">
        <f>SUM(Government1:Government10!L65)+SUM(Partner1:Partner10!L136)</f>
        <v>0</v>
      </c>
      <c r="M114" s="283">
        <f>SUM(Government1:Government10!M65)+SUM(Partner1:Partner10!M136)</f>
        <v>0</v>
      </c>
      <c r="N114" s="283">
        <f>SUM(Government1:Government10!N65)+SUM(Partner1:Partner10!N136)</f>
        <v>0</v>
      </c>
    </row>
    <row r="115" spans="6:14" ht="12" x14ac:dyDescent="0.2">
      <c r="F115" s="448"/>
      <c r="G115" s="41" t="str">
        <f>STRAT8_IND5</f>
        <v>Objetivo estratégico 8 Indicador 5</v>
      </c>
      <c r="H115" s="260" t="str">
        <f ca="1">OFFSET(Variables_Lu!$D$10,Basic_Setup!H80,0)</f>
        <v>Nutrition-specific</v>
      </c>
      <c r="I115" s="306">
        <f>SUM(Government1:Government10!I66)+SUM(Partner1:Partner10!I137)</f>
        <v>0</v>
      </c>
      <c r="J115" s="283">
        <f>SUM(Government1:Government10!J66)+SUM(Partner1:Partner10!J137)</f>
        <v>0</v>
      </c>
      <c r="K115" s="283">
        <f>SUM(Government1:Government10!K66)+SUM(Partner1:Partner10!K137)</f>
        <v>0</v>
      </c>
      <c r="L115" s="283">
        <f>SUM(Government1:Government10!L66)+SUM(Partner1:Partner10!L137)</f>
        <v>0</v>
      </c>
      <c r="M115" s="283">
        <f>SUM(Government1:Government10!M66)+SUM(Partner1:Partner10!M137)</f>
        <v>0</v>
      </c>
      <c r="N115" s="283">
        <f>SUM(Government1:Government10!N66)+SUM(Partner1:Partner10!N137)</f>
        <v>0</v>
      </c>
    </row>
    <row r="116" spans="6:14" ht="12" x14ac:dyDescent="0.2">
      <c r="H116" s="152" t="s">
        <v>545</v>
      </c>
      <c r="I116" s="311">
        <f>SUM(Government1:Government10!I67)+SUM(Partner1:Partner10!I138)</f>
        <v>0</v>
      </c>
      <c r="J116" s="312">
        <f>SUM(Government1:Government10!J67)+SUM(Partner1:Partner10!J138)</f>
        <v>0</v>
      </c>
      <c r="K116" s="312">
        <f>SUM(Government1:Government10!K67)+SUM(Partner1:Partner10!K138)</f>
        <v>0</v>
      </c>
      <c r="L116" s="312">
        <f>SUM(Government1:Government10!L67)+SUM(Partner1:Partner10!L138)</f>
        <v>0</v>
      </c>
      <c r="M116" s="312">
        <f>SUM(Government1:Government10!M67)+SUM(Partner1:Partner10!M138)</f>
        <v>0</v>
      </c>
      <c r="N116" s="312">
        <f>SUM(Government1:Government10!N67)+SUM(Partner1:Partner10!N138)</f>
        <v>0</v>
      </c>
    </row>
    <row r="117" spans="6:14" ht="12" x14ac:dyDescent="0.2">
      <c r="F117" s="447" t="str">
        <f>Strategy9</f>
        <v>Objetivo estratégico 9: [No está en uso]</v>
      </c>
      <c r="G117" s="42" t="str">
        <f>STRAT9_IND1</f>
        <v>Objetivo estratégico 9 Indicador 1</v>
      </c>
      <c r="H117" s="260" t="str">
        <f ca="1">OFFSET(Variables_Lu!$D$10,Basic_Setup!H82,0)</f>
        <v>Nutrition-specific</v>
      </c>
      <c r="I117" s="306">
        <f>SUM(Government1:Government10!I68)+SUM(Partner1:Partner10!I139)</f>
        <v>0</v>
      </c>
      <c r="J117" s="283">
        <f>SUM(Government1:Government10!J68)+SUM(Partner1:Partner10!J139)</f>
        <v>0</v>
      </c>
      <c r="K117" s="283">
        <f>SUM(Government1:Government10!K68)+SUM(Partner1:Partner10!K139)</f>
        <v>0</v>
      </c>
      <c r="L117" s="283">
        <f>SUM(Government1:Government10!L68)+SUM(Partner1:Partner10!L139)</f>
        <v>0</v>
      </c>
      <c r="M117" s="283">
        <f>SUM(Government1:Government10!M68)+SUM(Partner1:Partner10!M139)</f>
        <v>0</v>
      </c>
      <c r="N117" s="283">
        <f>SUM(Government1:Government10!N68)+SUM(Partner1:Partner10!N139)</f>
        <v>0</v>
      </c>
    </row>
    <row r="118" spans="6:14" ht="12" x14ac:dyDescent="0.2">
      <c r="F118" s="447"/>
      <c r="G118" s="42" t="str">
        <f>STRAT9_IND2</f>
        <v>Objetivo estratégico 9 Indicador 2</v>
      </c>
      <c r="H118" s="260" t="str">
        <f ca="1">OFFSET(Variables_Lu!$D$10,Basic_Setup!H83,0)</f>
        <v>Nutrition-specific</v>
      </c>
      <c r="I118" s="306">
        <f>SUM(Government1:Government10!I69)+SUM(Partner1:Partner10!I140)</f>
        <v>0</v>
      </c>
      <c r="J118" s="283">
        <f>SUM(Government1:Government10!J69)+SUM(Partner1:Partner10!J140)</f>
        <v>0</v>
      </c>
      <c r="K118" s="283">
        <f>SUM(Government1:Government10!K69)+SUM(Partner1:Partner10!K140)</f>
        <v>0</v>
      </c>
      <c r="L118" s="283">
        <f>SUM(Government1:Government10!L69)+SUM(Partner1:Partner10!L140)</f>
        <v>0</v>
      </c>
      <c r="M118" s="283">
        <f>SUM(Government1:Government10!M69)+SUM(Partner1:Partner10!M140)</f>
        <v>0</v>
      </c>
      <c r="N118" s="283">
        <f>SUM(Government1:Government10!N69)+SUM(Partner1:Partner10!N140)</f>
        <v>0</v>
      </c>
    </row>
    <row r="119" spans="6:14" ht="12" x14ac:dyDescent="0.2">
      <c r="F119" s="447"/>
      <c r="G119" s="42" t="str">
        <f>STRAT9_IND3</f>
        <v>Objetivo estratégico 9 Indicador 3</v>
      </c>
      <c r="H119" s="260" t="str">
        <f ca="1">OFFSET(Variables_Lu!$D$10,Basic_Setup!H84,0)</f>
        <v>Nutrition-specific</v>
      </c>
      <c r="I119" s="306">
        <f>SUM(Government1:Government10!I70)+SUM(Partner1:Partner10!I141)</f>
        <v>0</v>
      </c>
      <c r="J119" s="283">
        <f>SUM(Government1:Government10!J70)+SUM(Partner1:Partner10!J141)</f>
        <v>0</v>
      </c>
      <c r="K119" s="283">
        <f>SUM(Government1:Government10!K70)+SUM(Partner1:Partner10!K141)</f>
        <v>0</v>
      </c>
      <c r="L119" s="283">
        <f>SUM(Government1:Government10!L70)+SUM(Partner1:Partner10!L141)</f>
        <v>0</v>
      </c>
      <c r="M119" s="283">
        <f>SUM(Government1:Government10!M70)+SUM(Partner1:Partner10!M141)</f>
        <v>0</v>
      </c>
      <c r="N119" s="283">
        <f>SUM(Government1:Government10!N70)+SUM(Partner1:Partner10!N141)</f>
        <v>0</v>
      </c>
    </row>
    <row r="120" spans="6:14" ht="12" x14ac:dyDescent="0.2">
      <c r="F120" s="447"/>
      <c r="G120" s="41" t="str">
        <f>STRAT9_IND4</f>
        <v>Objetivo estratégico 9 Indicador 4</v>
      </c>
      <c r="H120" s="260" t="str">
        <f ca="1">OFFSET(Variables_Lu!$D$10,Basic_Setup!H85,0)</f>
        <v>Nutrition-specific</v>
      </c>
      <c r="I120" s="306">
        <f>SUM(Government1:Government10!I71)+SUM(Partner1:Partner10!I142)</f>
        <v>0</v>
      </c>
      <c r="J120" s="283">
        <f>SUM(Government1:Government10!J71)+SUM(Partner1:Partner10!J142)</f>
        <v>0</v>
      </c>
      <c r="K120" s="283">
        <f>SUM(Government1:Government10!K71)+SUM(Partner1:Partner10!K142)</f>
        <v>0</v>
      </c>
      <c r="L120" s="283">
        <f>SUM(Government1:Government10!L71)+SUM(Partner1:Partner10!L142)</f>
        <v>0</v>
      </c>
      <c r="M120" s="283">
        <f>SUM(Government1:Government10!M71)+SUM(Partner1:Partner10!M142)</f>
        <v>0</v>
      </c>
      <c r="N120" s="283">
        <f>SUM(Government1:Government10!N71)+SUM(Partner1:Partner10!N142)</f>
        <v>0</v>
      </c>
    </row>
    <row r="121" spans="6:14" ht="12" x14ac:dyDescent="0.2">
      <c r="F121" s="448"/>
      <c r="G121" s="41" t="str">
        <f>STRAT9_IND5</f>
        <v>Objetivo estratégico 9 Indicador 5</v>
      </c>
      <c r="H121" s="260" t="str">
        <f ca="1">OFFSET(Variables_Lu!$D$10,Basic_Setup!H86,0)</f>
        <v>Nutrition-specific</v>
      </c>
      <c r="I121" s="306">
        <f>SUM(Government1:Government10!I72)+SUM(Partner1:Partner10!I143)</f>
        <v>0</v>
      </c>
      <c r="J121" s="283">
        <f>SUM(Government1:Government10!J72)+SUM(Partner1:Partner10!J143)</f>
        <v>0</v>
      </c>
      <c r="K121" s="283">
        <f>SUM(Government1:Government10!K72)+SUM(Partner1:Partner10!K143)</f>
        <v>0</v>
      </c>
      <c r="L121" s="283">
        <f>SUM(Government1:Government10!L72)+SUM(Partner1:Partner10!L143)</f>
        <v>0</v>
      </c>
      <c r="M121" s="283">
        <f>SUM(Government1:Government10!M72)+SUM(Partner1:Partner10!M143)</f>
        <v>0</v>
      </c>
      <c r="N121" s="283">
        <f>SUM(Government1:Government10!N72)+SUM(Partner1:Partner10!N143)</f>
        <v>0</v>
      </c>
    </row>
    <row r="122" spans="6:14" ht="12" x14ac:dyDescent="0.2">
      <c r="H122" s="152" t="s">
        <v>546</v>
      </c>
      <c r="I122" s="311">
        <f>SUM(Government1:Government10!I73)+SUM(Partner1:Partner10!I144)</f>
        <v>0</v>
      </c>
      <c r="J122" s="312">
        <f>SUM(Government1:Government10!J73)+SUM(Partner1:Partner10!J144)</f>
        <v>0</v>
      </c>
      <c r="K122" s="312">
        <f>SUM(Government1:Government10!K73)+SUM(Partner1:Partner10!K144)</f>
        <v>0</v>
      </c>
      <c r="L122" s="312">
        <f>SUM(Government1:Government10!L73)+SUM(Partner1:Partner10!L144)</f>
        <v>0</v>
      </c>
      <c r="M122" s="312">
        <f>SUM(Government1:Government10!M73)+SUM(Partner1:Partner10!M144)</f>
        <v>0</v>
      </c>
      <c r="N122" s="312">
        <f>SUM(Government1:Government10!N73)+SUM(Partner1:Partner10!N144)</f>
        <v>0</v>
      </c>
    </row>
    <row r="123" spans="6:14" ht="12" x14ac:dyDescent="0.2">
      <c r="F123" s="447" t="str">
        <f>Strategy10</f>
        <v>Objetivo estratégico 10: [No está en uso]</v>
      </c>
      <c r="G123" s="42" t="str">
        <f>STRAT10_IND1</f>
        <v>Objetivo estratégico 10 Indicador 1</v>
      </c>
      <c r="H123" s="260" t="str">
        <f ca="1">OFFSET(Variables_Lu!$D$10,Basic_Setup!H88,0)</f>
        <v>Nutrition-specific</v>
      </c>
      <c r="I123" s="306">
        <f>SUM(Government1:Government10!I74)+SUM(Partner1:Partner10!I145)</f>
        <v>0</v>
      </c>
      <c r="J123" s="283">
        <f>SUM(Government1:Government10!J74)+SUM(Partner1:Partner10!J145)</f>
        <v>0</v>
      </c>
      <c r="K123" s="283">
        <f>SUM(Government1:Government10!K74)+SUM(Partner1:Partner10!K145)</f>
        <v>0</v>
      </c>
      <c r="L123" s="283">
        <f>SUM(Government1:Government10!L74)+SUM(Partner1:Partner10!L145)</f>
        <v>0</v>
      </c>
      <c r="M123" s="283">
        <f>SUM(Government1:Government10!M74)+SUM(Partner1:Partner10!M145)</f>
        <v>0</v>
      </c>
      <c r="N123" s="283">
        <f>SUM(Government1:Government10!N74)+SUM(Partner1:Partner10!N145)</f>
        <v>0</v>
      </c>
    </row>
    <row r="124" spans="6:14" ht="12" x14ac:dyDescent="0.2">
      <c r="F124" s="447"/>
      <c r="G124" s="42" t="str">
        <f>STRAT10_IND2</f>
        <v>Objetivo estratégico 10 Indicador 2</v>
      </c>
      <c r="H124" s="260" t="str">
        <f ca="1">OFFSET(Variables_Lu!$D$10,Basic_Setup!H89,0)</f>
        <v>Nutrition-specific</v>
      </c>
      <c r="I124" s="306">
        <f>SUM(Government1:Government10!I75)+SUM(Partner1:Partner10!I146)</f>
        <v>0</v>
      </c>
      <c r="J124" s="283">
        <f>SUM(Government1:Government10!J75)+SUM(Partner1:Partner10!J146)</f>
        <v>0</v>
      </c>
      <c r="K124" s="283">
        <f>SUM(Government1:Government10!K75)+SUM(Partner1:Partner10!K146)</f>
        <v>0</v>
      </c>
      <c r="L124" s="283">
        <f>SUM(Government1:Government10!L75)+SUM(Partner1:Partner10!L146)</f>
        <v>0</v>
      </c>
      <c r="M124" s="283">
        <f>SUM(Government1:Government10!M75)+SUM(Partner1:Partner10!M146)</f>
        <v>0</v>
      </c>
      <c r="N124" s="283">
        <f>SUM(Government1:Government10!N75)+SUM(Partner1:Partner10!N146)</f>
        <v>0</v>
      </c>
    </row>
    <row r="125" spans="6:14" ht="12" x14ac:dyDescent="0.2">
      <c r="F125" s="447"/>
      <c r="G125" s="42" t="str">
        <f>STRAT10_IND3</f>
        <v>Objetivo estratégico 10 Indicador 3</v>
      </c>
      <c r="H125" s="260" t="str">
        <f ca="1">OFFSET(Variables_Lu!$D$10,Basic_Setup!H90,0)</f>
        <v>Nutrition-specific</v>
      </c>
      <c r="I125" s="306">
        <f>SUM(Government1:Government10!I76)+SUM(Partner1:Partner10!I147)</f>
        <v>0</v>
      </c>
      <c r="J125" s="283">
        <f>SUM(Government1:Government10!J76)+SUM(Partner1:Partner10!J147)</f>
        <v>0</v>
      </c>
      <c r="K125" s="283">
        <f>SUM(Government1:Government10!K76)+SUM(Partner1:Partner10!K147)</f>
        <v>0</v>
      </c>
      <c r="L125" s="283">
        <f>SUM(Government1:Government10!L76)+SUM(Partner1:Partner10!L147)</f>
        <v>0</v>
      </c>
      <c r="M125" s="283">
        <f>SUM(Government1:Government10!M76)+SUM(Partner1:Partner10!M147)</f>
        <v>0</v>
      </c>
      <c r="N125" s="283">
        <f>SUM(Government1:Government10!N76)+SUM(Partner1:Partner10!N147)</f>
        <v>0</v>
      </c>
    </row>
    <row r="126" spans="6:14" ht="12" x14ac:dyDescent="0.2">
      <c r="F126" s="447"/>
      <c r="G126" s="41" t="str">
        <f>STRAT10_IND4</f>
        <v>Objetivo estratégico 10 Indicador 4</v>
      </c>
      <c r="H126" s="260" t="str">
        <f ca="1">OFFSET(Variables_Lu!$D$10,Basic_Setup!H91,0)</f>
        <v>Nutrition-specific</v>
      </c>
      <c r="I126" s="306">
        <f>SUM(Government1:Government10!I77)+SUM(Partner1:Partner10!I148)</f>
        <v>0</v>
      </c>
      <c r="J126" s="283">
        <f>SUM(Government1:Government10!J77)+SUM(Partner1:Partner10!J148)</f>
        <v>0</v>
      </c>
      <c r="K126" s="283">
        <f>SUM(Government1:Government10!K77)+SUM(Partner1:Partner10!K148)</f>
        <v>0</v>
      </c>
      <c r="L126" s="283">
        <f>SUM(Government1:Government10!L77)+SUM(Partner1:Partner10!L148)</f>
        <v>0</v>
      </c>
      <c r="M126" s="283">
        <f>SUM(Government1:Government10!M77)+SUM(Partner1:Partner10!M148)</f>
        <v>0</v>
      </c>
      <c r="N126" s="283">
        <f>SUM(Government1:Government10!N77)+SUM(Partner1:Partner10!N148)</f>
        <v>0</v>
      </c>
    </row>
    <row r="127" spans="6:14" ht="12" x14ac:dyDescent="0.2">
      <c r="F127" s="448"/>
      <c r="G127" s="41" t="str">
        <f>STRAT10_IND5</f>
        <v>Objetivo estratégico 10 Indicador 5</v>
      </c>
      <c r="H127" s="260" t="str">
        <f ca="1">OFFSET(Variables_Lu!$D$10,Basic_Setup!H92,0)</f>
        <v>Nutrition-specific</v>
      </c>
      <c r="I127" s="306">
        <f>SUM(Government1:Government10!I78)+SUM(Partner1:Partner10!I149)</f>
        <v>0</v>
      </c>
      <c r="J127" s="283">
        <f>SUM(Government1:Government10!J78)+SUM(Partner1:Partner10!J149)</f>
        <v>0</v>
      </c>
      <c r="K127" s="283">
        <f>SUM(Government1:Government10!K78)+SUM(Partner1:Partner10!K149)</f>
        <v>0</v>
      </c>
      <c r="L127" s="283">
        <f>SUM(Government1:Government10!L78)+SUM(Partner1:Partner10!L149)</f>
        <v>0</v>
      </c>
      <c r="M127" s="283">
        <f>SUM(Government1:Government10!M78)+SUM(Partner1:Partner10!M149)</f>
        <v>0</v>
      </c>
      <c r="N127" s="283">
        <f>SUM(Government1:Government10!N78)+SUM(Partner1:Partner10!N149)</f>
        <v>0</v>
      </c>
    </row>
    <row r="128" spans="6:14" ht="12" x14ac:dyDescent="0.2">
      <c r="H128" s="152" t="s">
        <v>547</v>
      </c>
      <c r="I128" s="311">
        <f>SUM(Government1:Government10!I79)+SUM(Partner1:Partner10!I150)</f>
        <v>0</v>
      </c>
      <c r="J128" s="312">
        <f>SUM(Government1:Government10!J79)+SUM(Partner1:Partner10!J150)</f>
        <v>0</v>
      </c>
      <c r="K128" s="312">
        <f>SUM(Government1:Government10!K79)+SUM(Partner1:Partner10!K150)</f>
        <v>0</v>
      </c>
      <c r="L128" s="312">
        <f>SUM(Government1:Government10!L79)+SUM(Partner1:Partner10!L150)</f>
        <v>0</v>
      </c>
      <c r="M128" s="312">
        <f>SUM(Government1:Government10!M79)+SUM(Partner1:Partner10!M150)</f>
        <v>0</v>
      </c>
      <c r="N128" s="312">
        <f>SUM(Government1:Government10!N79)+SUM(Partner1:Partner10!N150)</f>
        <v>0</v>
      </c>
    </row>
    <row r="129" spans="5:14" ht="12" x14ac:dyDescent="0.2">
      <c r="H129" s="152"/>
      <c r="I129" s="307"/>
      <c r="J129" s="290"/>
      <c r="K129" s="290"/>
      <c r="L129" s="290"/>
      <c r="M129" s="290"/>
      <c r="N129" s="290"/>
    </row>
    <row r="130" spans="5:14" ht="12" x14ac:dyDescent="0.2">
      <c r="H130" s="149" t="str">
        <f>"TOTAL - ALL Available Funds"&amp;" ("&amp;CURR_LCU_ABBR&amp;")"</f>
        <v>TOTAL - ALL Available Funds (GOZ)</v>
      </c>
      <c r="I130" s="314">
        <f>SUM(Government1:Government10!I81)+SUM(Partner1:Partner10!I152)</f>
        <v>437688081614.98126</v>
      </c>
      <c r="J130" s="314">
        <f>SUM(Government1:Government10!J81)+SUM(Partner1:Partner10!J152)</f>
        <v>98469704642.996246</v>
      </c>
      <c r="K130" s="314">
        <f>SUM(Government1:Government10!K81)+SUM(Partner1:Partner10!K152)</f>
        <v>142522818242.99625</v>
      </c>
      <c r="L130" s="314">
        <f>SUM(Government1:Government10!L81)+SUM(Partner1:Partner10!L152)</f>
        <v>95917779842.996246</v>
      </c>
      <c r="M130" s="314">
        <f>SUM(Government1:Government10!M81)+SUM(Partner1:Partner10!M152)</f>
        <v>50397889442.996246</v>
      </c>
      <c r="N130" s="314">
        <f>SUM(Government1:Government10!N81)+SUM(Partner1:Partner10!N152)</f>
        <v>50379889442.996246</v>
      </c>
    </row>
    <row r="132" spans="5:14" ht="15.6" x14ac:dyDescent="0.2">
      <c r="E132" s="86" t="str">
        <f>CURR_INT_ABBR</f>
        <v>USD</v>
      </c>
    </row>
    <row r="134" spans="5:14" s="38" customFormat="1" ht="12" x14ac:dyDescent="0.2">
      <c r="F134" s="1" t="s">
        <v>389</v>
      </c>
      <c r="G134" s="1" t="s">
        <v>399</v>
      </c>
      <c r="H134" s="1" t="s">
        <v>387</v>
      </c>
      <c r="I134" s="297" t="s">
        <v>106</v>
      </c>
      <c r="J134" s="298" t="str">
        <f>CURR_INT_ABBR</f>
        <v>USD</v>
      </c>
      <c r="K134" s="298" t="str">
        <f>CURR_INT_ABBR</f>
        <v>USD</v>
      </c>
      <c r="L134" s="298" t="str">
        <f>CURR_INT_ABBR</f>
        <v>USD</v>
      </c>
      <c r="M134" s="298" t="str">
        <f>CURR_INT_ABBR</f>
        <v>USD</v>
      </c>
      <c r="N134" s="298" t="str">
        <f>CURR_INT_ABBR</f>
        <v>USD</v>
      </c>
    </row>
    <row r="135" spans="5:14" s="38" customFormat="1" ht="12" customHeight="1" x14ac:dyDescent="0.2">
      <c r="F135" s="447" t="str">
        <f>Strategy1</f>
        <v>Objetivo estratégico 1: Fortalecer la gobernanza de la nutrición</v>
      </c>
      <c r="G135" s="42" t="str">
        <f>STRAT1_IND1</f>
        <v>Se refuerza la coordinación multisectorial en materia de nutrición</v>
      </c>
      <c r="H135" s="260" t="str">
        <f ca="1">OFFSET(Variables_Lu!$D$10,Basic_Setup!H34,0)</f>
        <v>Governance</v>
      </c>
      <c r="I135" s="308">
        <f t="shared" ref="I135:N144" si="23">I69/EXCHANGE_RATE</f>
        <v>2023455.6549366624</v>
      </c>
      <c r="J135" s="150">
        <f t="shared" si="23"/>
        <v>477545.33098733251</v>
      </c>
      <c r="K135" s="150">
        <f t="shared" si="23"/>
        <v>762770.33098733251</v>
      </c>
      <c r="L135" s="150">
        <f t="shared" si="23"/>
        <v>455295.33098733251</v>
      </c>
      <c r="M135" s="150">
        <f t="shared" si="23"/>
        <v>166422.33098733251</v>
      </c>
      <c r="N135" s="150">
        <f t="shared" si="23"/>
        <v>161422.33098733251</v>
      </c>
    </row>
    <row r="136" spans="5:14" s="38" customFormat="1" ht="34.200000000000003" x14ac:dyDescent="0.2">
      <c r="F136" s="447"/>
      <c r="G136" s="42" t="str">
        <f>STRAT1_IND2</f>
        <v>Está en funcionamiento el sistema multisectorial de información sobre nutrición para la adopción de decisiones eficaces.</v>
      </c>
      <c r="H136" s="260" t="str">
        <f ca="1">OFFSET(Variables_Lu!$D$10,Basic_Setup!H35,0)</f>
        <v>Governance</v>
      </c>
      <c r="I136" s="308">
        <f t="shared" si="23"/>
        <v>70511.654936662497</v>
      </c>
      <c r="J136" s="150">
        <f t="shared" si="23"/>
        <v>24122.330987332502</v>
      </c>
      <c r="K136" s="150">
        <f t="shared" si="23"/>
        <v>24122.330987332502</v>
      </c>
      <c r="L136" s="150">
        <f t="shared" si="23"/>
        <v>7422.3309873325006</v>
      </c>
      <c r="M136" s="150">
        <f t="shared" si="23"/>
        <v>7422.3309873325006</v>
      </c>
      <c r="N136" s="150">
        <f t="shared" si="23"/>
        <v>7422.3309873325006</v>
      </c>
    </row>
    <row r="137" spans="5:14" s="38" customFormat="1" ht="22.8" x14ac:dyDescent="0.2">
      <c r="F137" s="447"/>
      <c r="G137" s="42" t="str">
        <f>STRAT1_IND3</f>
        <v>La investigación en nutrición se utiliza para aclarar que la toma de decisiones se mejora y se refuerza.</v>
      </c>
      <c r="H137" s="260" t="str">
        <f ca="1">OFFSET(Variables_Lu!$D$10,Basic_Setup!H36,0)</f>
        <v>Governance</v>
      </c>
      <c r="I137" s="308">
        <f t="shared" si="23"/>
        <v>41111.654936662497</v>
      </c>
      <c r="J137" s="150">
        <f t="shared" si="23"/>
        <v>8222.3309873324997</v>
      </c>
      <c r="K137" s="150">
        <f t="shared" si="23"/>
        <v>8222.3309873324997</v>
      </c>
      <c r="L137" s="150">
        <f t="shared" si="23"/>
        <v>8222.3309873324997</v>
      </c>
      <c r="M137" s="150">
        <f t="shared" si="23"/>
        <v>8222.3309873324997</v>
      </c>
      <c r="N137" s="150">
        <f t="shared" si="23"/>
        <v>8222.3309873324997</v>
      </c>
    </row>
    <row r="138" spans="5:14" s="38" customFormat="1" ht="22.8" x14ac:dyDescent="0.2">
      <c r="F138" s="447"/>
      <c r="G138" s="41" t="str">
        <f>STRAT1_IND4</f>
        <v>El marco legislativo y reglamentario de la nutrición se ha fortalecido y está en funcionamiento.</v>
      </c>
      <c r="H138" s="260" t="str">
        <f ca="1">OFFSET(Variables_Lu!$D$10,Basic_Setup!H37,0)</f>
        <v>Governance</v>
      </c>
      <c r="I138" s="308">
        <f t="shared" si="23"/>
        <v>37111.654936662497</v>
      </c>
      <c r="J138" s="150">
        <f t="shared" si="23"/>
        <v>7422.3309873325006</v>
      </c>
      <c r="K138" s="150">
        <f t="shared" si="23"/>
        <v>7422.3309873325006</v>
      </c>
      <c r="L138" s="150">
        <f t="shared" si="23"/>
        <v>7422.3309873325006</v>
      </c>
      <c r="M138" s="150">
        <f t="shared" si="23"/>
        <v>7422.3309873325006</v>
      </c>
      <c r="N138" s="150">
        <f t="shared" si="23"/>
        <v>7422.3309873325006</v>
      </c>
    </row>
    <row r="139" spans="5:14" s="38" customFormat="1" ht="12" x14ac:dyDescent="0.2">
      <c r="F139" s="448"/>
      <c r="G139" s="41" t="str">
        <f>STRAT1_IND5</f>
        <v>Objetivo estratégico 1 Indicador 5</v>
      </c>
      <c r="H139" s="260" t="str">
        <f ca="1">OFFSET(Variables_Lu!$D$10,Basic_Setup!H38,0)</f>
        <v>Governance</v>
      </c>
      <c r="I139" s="308">
        <f t="shared" si="23"/>
        <v>0</v>
      </c>
      <c r="J139" s="150">
        <f t="shared" si="23"/>
        <v>0</v>
      </c>
      <c r="K139" s="150">
        <f t="shared" si="23"/>
        <v>0</v>
      </c>
      <c r="L139" s="150">
        <f t="shared" si="23"/>
        <v>0</v>
      </c>
      <c r="M139" s="150">
        <f t="shared" si="23"/>
        <v>0</v>
      </c>
      <c r="N139" s="150">
        <f t="shared" si="23"/>
        <v>0</v>
      </c>
    </row>
    <row r="140" spans="5:14" s="38" customFormat="1" ht="12" x14ac:dyDescent="0.2">
      <c r="H140" s="152" t="s">
        <v>538</v>
      </c>
      <c r="I140" s="310">
        <f t="shared" si="23"/>
        <v>2172190.6197466501</v>
      </c>
      <c r="J140" s="313">
        <f t="shared" si="23"/>
        <v>517312.32394932996</v>
      </c>
      <c r="K140" s="313">
        <f t="shared" si="23"/>
        <v>802537.32394933002</v>
      </c>
      <c r="L140" s="313">
        <f t="shared" si="23"/>
        <v>478362.32394932996</v>
      </c>
      <c r="M140" s="313">
        <f t="shared" si="23"/>
        <v>189489.32394932999</v>
      </c>
      <c r="N140" s="313">
        <f t="shared" si="23"/>
        <v>184489.32394932999</v>
      </c>
    </row>
    <row r="141" spans="5:14" s="38" customFormat="1" ht="48" customHeight="1" x14ac:dyDescent="0.2">
      <c r="F141" s="447" t="str">
        <f>Strategy2</f>
        <v>Objetivo estratégico 2: Fortalecer el acceso al tratamiento y a los servicios de salud y nutrición de calidad, así como al tratamiento de todas las formas de malnutrición</v>
      </c>
      <c r="G141" s="42" t="str">
        <f>STRAT2_IND1</f>
        <v>Se fortalece el acceso y la utilización sostenible de los servicios de salud y nutrición para los niños menores de 5 años, los adolescentes, las mujeres embarazadas y lactantes, y los demás grupos vulnerables</v>
      </c>
      <c r="H141" s="260" t="str">
        <f ca="1">OFFSET(Variables_Lu!$D$10,Basic_Setup!H40,0)</f>
        <v>Nutrition-specific</v>
      </c>
      <c r="I141" s="308">
        <f t="shared" si="23"/>
        <v>24282158.407065056</v>
      </c>
      <c r="J141" s="150">
        <f t="shared" si="23"/>
        <v>4855431.6814130116</v>
      </c>
      <c r="K141" s="150">
        <f t="shared" si="23"/>
        <v>4860431.6814130116</v>
      </c>
      <c r="L141" s="150">
        <f t="shared" si="23"/>
        <v>4865431.6814130116</v>
      </c>
      <c r="M141" s="150">
        <f t="shared" si="23"/>
        <v>4850431.6814130116</v>
      </c>
      <c r="N141" s="150">
        <f t="shared" si="23"/>
        <v>4850431.6814130116</v>
      </c>
    </row>
    <row r="142" spans="5:14" s="38" customFormat="1" ht="45.6" x14ac:dyDescent="0.2">
      <c r="F142" s="447"/>
      <c r="G142" s="42" t="str">
        <f>STRAT2_IND2</f>
        <v xml:space="preserve">Se reduce la prevalencia de enfermedades relacionadas con la prevalencia de la malnutrición (paludismo, diarrea, neumonía, parásitos intestinales, VIH, TNM) en lactantes, adolescentes y mujeres en edad reproductiva. </v>
      </c>
      <c r="H142" s="260" t="str">
        <f ca="1">OFFSET(Variables_Lu!$D$10,Basic_Setup!H41,0)</f>
        <v>Nutrition-sensitive</v>
      </c>
      <c r="I142" s="308">
        <f t="shared" si="23"/>
        <v>15820095.407065056</v>
      </c>
      <c r="J142" s="150">
        <f t="shared" si="23"/>
        <v>3683486.1814130116</v>
      </c>
      <c r="K142" s="150">
        <f t="shared" si="23"/>
        <v>6747259.6814130116</v>
      </c>
      <c r="L142" s="150">
        <f t="shared" si="23"/>
        <v>3683486.1814130116</v>
      </c>
      <c r="M142" s="150">
        <f t="shared" si="23"/>
        <v>855431.68141301139</v>
      </c>
      <c r="N142" s="150">
        <f t="shared" si="23"/>
        <v>850431.68141301139</v>
      </c>
    </row>
    <row r="143" spans="5:14" s="38" customFormat="1" ht="22.8" x14ac:dyDescent="0.2">
      <c r="F143" s="447"/>
      <c r="G143" s="42" t="str">
        <f>STRAT2_IND3</f>
        <v>Se refuerzan las intervenciones comunitarias en materia de nutrición.</v>
      </c>
      <c r="H143" s="260" t="str">
        <f ca="1">OFFSET(Variables_Lu!$D$10,Basic_Setup!H42,0)</f>
        <v>Nutrition-specific</v>
      </c>
      <c r="I143" s="308">
        <f t="shared" si="23"/>
        <v>8252158.4070650581</v>
      </c>
      <c r="J143" s="150">
        <f t="shared" si="23"/>
        <v>1650431.6814130116</v>
      </c>
      <c r="K143" s="150">
        <f t="shared" si="23"/>
        <v>1650431.6814130116</v>
      </c>
      <c r="L143" s="150">
        <f t="shared" si="23"/>
        <v>1650431.6814130116</v>
      </c>
      <c r="M143" s="150">
        <f t="shared" si="23"/>
        <v>1650431.6814130116</v>
      </c>
      <c r="N143" s="150">
        <f t="shared" si="23"/>
        <v>1650431.6814130116</v>
      </c>
    </row>
    <row r="144" spans="5:14" s="38" customFormat="1" ht="12" x14ac:dyDescent="0.2">
      <c r="F144" s="447"/>
      <c r="G144" s="41" t="str">
        <f>STRAT2_IND4</f>
        <v>Objetivo estratégico 2 Indicador 4</v>
      </c>
      <c r="H144" s="260" t="str">
        <f ca="1">OFFSET(Variables_Lu!$D$10,Basic_Setup!H43,0)</f>
        <v>Nutrition-specific</v>
      </c>
      <c r="I144" s="308">
        <f t="shared" si="23"/>
        <v>0</v>
      </c>
      <c r="J144" s="150">
        <f t="shared" si="23"/>
        <v>0</v>
      </c>
      <c r="K144" s="150">
        <f t="shared" si="23"/>
        <v>0</v>
      </c>
      <c r="L144" s="150">
        <f t="shared" si="23"/>
        <v>0</v>
      </c>
      <c r="M144" s="150">
        <f t="shared" si="23"/>
        <v>0</v>
      </c>
      <c r="N144" s="150">
        <f t="shared" si="23"/>
        <v>0</v>
      </c>
    </row>
    <row r="145" spans="6:14" s="38" customFormat="1" ht="12" x14ac:dyDescent="0.2">
      <c r="F145" s="448"/>
      <c r="G145" s="41" t="str">
        <f>STRAT2_IND5</f>
        <v>Objetivo estratégico 2 Indicador 5</v>
      </c>
      <c r="H145" s="260" t="str">
        <f ca="1">OFFSET(Variables_Lu!$D$10,Basic_Setup!H44,0)</f>
        <v>Nutrition-specific</v>
      </c>
      <c r="I145" s="308">
        <f t="shared" ref="I145:N154" si="24">I79/EXCHANGE_RATE</f>
        <v>0</v>
      </c>
      <c r="J145" s="150">
        <f t="shared" si="24"/>
        <v>0</v>
      </c>
      <c r="K145" s="150">
        <f t="shared" si="24"/>
        <v>0</v>
      </c>
      <c r="L145" s="150">
        <f t="shared" si="24"/>
        <v>0</v>
      </c>
      <c r="M145" s="150">
        <f t="shared" si="24"/>
        <v>0</v>
      </c>
      <c r="N145" s="150">
        <f t="shared" si="24"/>
        <v>0</v>
      </c>
    </row>
    <row r="146" spans="6:14" s="38" customFormat="1" ht="12" x14ac:dyDescent="0.2">
      <c r="H146" s="152" t="s">
        <v>539</v>
      </c>
      <c r="I146" s="310">
        <f t="shared" si="24"/>
        <v>48354412.221195169</v>
      </c>
      <c r="J146" s="313">
        <f t="shared" si="24"/>
        <v>10189349.544239033</v>
      </c>
      <c r="K146" s="313">
        <f t="shared" si="24"/>
        <v>13258123.044239033</v>
      </c>
      <c r="L146" s="313">
        <f t="shared" si="24"/>
        <v>10199349.544239033</v>
      </c>
      <c r="M146" s="313">
        <f t="shared" si="24"/>
        <v>7356295.0442390349</v>
      </c>
      <c r="N146" s="313">
        <f t="shared" si="24"/>
        <v>7351295.0442390349</v>
      </c>
    </row>
    <row r="147" spans="6:14" s="38" customFormat="1" ht="24" customHeight="1" x14ac:dyDescent="0.2">
      <c r="F147" s="447" t="str">
        <f>Strategy3</f>
        <v>Objetivo estratégico 3: Aumentar la disponibilidad y el acceso a alimentos nutritivos de alto valor, seguros y diversificados</v>
      </c>
      <c r="G147" s="42" t="str">
        <f>STRAT3_IND1</f>
        <v xml:space="preserve">Aumenta la disponibilidad y el acceso a alimentos de alto valor nutritivo en los hogares. </v>
      </c>
      <c r="H147" s="260" t="str">
        <f ca="1">OFFSET(Variables_Lu!$D$10,Basic_Setup!H46,0)</f>
        <v>Nutrition-specific</v>
      </c>
      <c r="I147" s="308">
        <f t="shared" si="24"/>
        <v>98735247.076616555</v>
      </c>
      <c r="J147" s="150">
        <f t="shared" si="24"/>
        <v>24121773.615323313</v>
      </c>
      <c r="K147" s="150">
        <f t="shared" si="24"/>
        <v>41916752.615323305</v>
      </c>
      <c r="L147" s="150">
        <f t="shared" si="24"/>
        <v>23158873.615323313</v>
      </c>
      <c r="M147" s="150">
        <f t="shared" si="24"/>
        <v>4768923.6153233116</v>
      </c>
      <c r="N147" s="150">
        <f t="shared" si="24"/>
        <v>4768923.6153233116</v>
      </c>
    </row>
    <row r="148" spans="6:14" s="38" customFormat="1" ht="22.8" x14ac:dyDescent="0.2">
      <c r="F148" s="447"/>
      <c r="G148" s="42" t="str">
        <f>STRAT3_IND2</f>
        <v xml:space="preserve"> La seguridad alimentaria está garantizada para toda la nación.</v>
      </c>
      <c r="H148" s="260" t="str">
        <f ca="1">OFFSET(Variables_Lu!$D$10,Basic_Setup!H47,0)</f>
        <v>Nutrition-sensitive</v>
      </c>
      <c r="I148" s="308">
        <f t="shared" si="24"/>
        <v>20719618.076616559</v>
      </c>
      <c r="J148" s="150">
        <f t="shared" si="24"/>
        <v>4143923.6153233121</v>
      </c>
      <c r="K148" s="150">
        <f t="shared" si="24"/>
        <v>4143923.6153233121</v>
      </c>
      <c r="L148" s="150">
        <f t="shared" si="24"/>
        <v>4143923.6153233121</v>
      </c>
      <c r="M148" s="150">
        <f t="shared" si="24"/>
        <v>4143923.6153233121</v>
      </c>
      <c r="N148" s="150">
        <f t="shared" si="24"/>
        <v>4143923.6153233121</v>
      </c>
    </row>
    <row r="149" spans="6:14" ht="12" x14ac:dyDescent="0.2">
      <c r="F149" s="447"/>
      <c r="G149" s="42" t="str">
        <f>STRAT3_IND3</f>
        <v>Objetivo estratégico 3 Indicador 3</v>
      </c>
      <c r="H149" s="260" t="str">
        <f ca="1">OFFSET(Variables_Lu!$D$10,Basic_Setup!H48,0)</f>
        <v>Nutrition-specific</v>
      </c>
      <c r="I149" s="308">
        <f t="shared" si="24"/>
        <v>0</v>
      </c>
      <c r="J149" s="150">
        <f t="shared" si="24"/>
        <v>0</v>
      </c>
      <c r="K149" s="150">
        <f t="shared" si="24"/>
        <v>0</v>
      </c>
      <c r="L149" s="150">
        <f t="shared" si="24"/>
        <v>0</v>
      </c>
      <c r="M149" s="150">
        <f t="shared" si="24"/>
        <v>0</v>
      </c>
      <c r="N149" s="150">
        <f t="shared" si="24"/>
        <v>0</v>
      </c>
    </row>
    <row r="150" spans="6:14" ht="12" x14ac:dyDescent="0.2">
      <c r="F150" s="447"/>
      <c r="G150" s="41" t="str">
        <f>STRAT3_IND4</f>
        <v>Objetivo estratégico 3 Indicador 4</v>
      </c>
      <c r="H150" s="260" t="str">
        <f ca="1">OFFSET(Variables_Lu!$D$10,Basic_Setup!H49,0)</f>
        <v>Nutrition-specific</v>
      </c>
      <c r="I150" s="308">
        <f t="shared" si="24"/>
        <v>0</v>
      </c>
      <c r="J150" s="150">
        <f t="shared" si="24"/>
        <v>0</v>
      </c>
      <c r="K150" s="150">
        <f t="shared" si="24"/>
        <v>0</v>
      </c>
      <c r="L150" s="150">
        <f t="shared" si="24"/>
        <v>0</v>
      </c>
      <c r="M150" s="150">
        <f t="shared" si="24"/>
        <v>0</v>
      </c>
      <c r="N150" s="150">
        <f t="shared" si="24"/>
        <v>0</v>
      </c>
    </row>
    <row r="151" spans="6:14" ht="12" x14ac:dyDescent="0.2">
      <c r="F151" s="448"/>
      <c r="G151" s="41" t="str">
        <f>STRAT3_IND5</f>
        <v>Objetivo estratégico 3 Indicador 5</v>
      </c>
      <c r="H151" s="260" t="str">
        <f ca="1">OFFSET(Variables_Lu!$D$10,Basic_Setup!H50,0)</f>
        <v>Nutrition-specific</v>
      </c>
      <c r="I151" s="308">
        <f t="shared" si="24"/>
        <v>0</v>
      </c>
      <c r="J151" s="150">
        <f t="shared" si="24"/>
        <v>0</v>
      </c>
      <c r="K151" s="150">
        <f t="shared" si="24"/>
        <v>0</v>
      </c>
      <c r="L151" s="150">
        <f t="shared" si="24"/>
        <v>0</v>
      </c>
      <c r="M151" s="150">
        <f t="shared" si="24"/>
        <v>0</v>
      </c>
      <c r="N151" s="150">
        <f t="shared" si="24"/>
        <v>0</v>
      </c>
    </row>
    <row r="152" spans="6:14" ht="12" x14ac:dyDescent="0.2">
      <c r="H152" s="152" t="s">
        <v>540</v>
      </c>
      <c r="I152" s="310">
        <f t="shared" si="24"/>
        <v>119454865.15323311</v>
      </c>
      <c r="J152" s="313">
        <f t="shared" si="24"/>
        <v>28265697.230646625</v>
      </c>
      <c r="K152" s="313">
        <f t="shared" si="24"/>
        <v>46060676.230646625</v>
      </c>
      <c r="L152" s="313">
        <f t="shared" si="24"/>
        <v>27302797.230646625</v>
      </c>
      <c r="M152" s="313">
        <f t="shared" si="24"/>
        <v>8912847.2306466233</v>
      </c>
      <c r="N152" s="313">
        <f t="shared" si="24"/>
        <v>8912847.2306466233</v>
      </c>
    </row>
    <row r="153" spans="6:14" ht="24" customHeight="1" x14ac:dyDescent="0.2">
      <c r="F153" s="447" t="str">
        <f>Strategy4</f>
        <v>Objetivo estratégico 4: Fortalecer la protección social, la resiliencia de la respuesta a las emergencias y los desastres naturales.</v>
      </c>
      <c r="G153" s="42" t="str">
        <f>STRAT4_IND1</f>
        <v xml:space="preserve">Se garantiza la protección social de los niños menores de 5 años, los adolescentes, FE/FA y otros grupos vulnerables. </v>
      </c>
      <c r="H153" s="260" t="str">
        <f ca="1">OFFSET(Variables_Lu!$D$10,Basic_Setup!H52,0)</f>
        <v>Nutrition-sensitive</v>
      </c>
      <c r="I153" s="308">
        <f t="shared" si="24"/>
        <v>28246648.451439362</v>
      </c>
      <c r="J153" s="150">
        <f t="shared" si="24"/>
        <v>6355793.5902878726</v>
      </c>
      <c r="K153" s="150">
        <f t="shared" si="24"/>
        <v>9789629.0902878735</v>
      </c>
      <c r="L153" s="150">
        <f t="shared" si="24"/>
        <v>6355793.5902878726</v>
      </c>
      <c r="M153" s="150">
        <f t="shared" si="24"/>
        <v>2872716.0902878731</v>
      </c>
      <c r="N153" s="150">
        <f t="shared" si="24"/>
        <v>2872716.0902878731</v>
      </c>
    </row>
    <row r="154" spans="6:14" ht="34.200000000000003" x14ac:dyDescent="0.2">
      <c r="F154" s="447"/>
      <c r="G154" s="42" t="str">
        <f>STRAT4_IND2</f>
        <v xml:space="preserve">Se fortalece la capacidad de resiliencia y el estado nutricional de las poblaciones vulnerables, incluidos los niños de las zonas desfavorecidas.  </v>
      </c>
      <c r="H154" s="260" t="str">
        <f ca="1">OFFSET(Variables_Lu!$D$10,Basic_Setup!H53,0)</f>
        <v>Nutrition-specific</v>
      </c>
      <c r="I154" s="308">
        <f t="shared" si="24"/>
        <v>12165480.451439364</v>
      </c>
      <c r="J154" s="150">
        <f t="shared" si="24"/>
        <v>2460116.0902878731</v>
      </c>
      <c r="K154" s="150">
        <f t="shared" si="24"/>
        <v>2437216.0902878731</v>
      </c>
      <c r="L154" s="150">
        <f t="shared" si="24"/>
        <v>2422716.0902878731</v>
      </c>
      <c r="M154" s="150">
        <f t="shared" si="24"/>
        <v>2422716.0902878731</v>
      </c>
      <c r="N154" s="150">
        <f t="shared" si="24"/>
        <v>2422716.0902878731</v>
      </c>
    </row>
    <row r="155" spans="6:14" ht="34.200000000000003" x14ac:dyDescent="0.2">
      <c r="F155" s="447"/>
      <c r="G155" s="42" t="str">
        <f>STRAT4_IND3</f>
        <v xml:space="preserve"> Se introducen eficazmente intervenciones para emergencias y catástrofes naturales integrales de la nutrición.</v>
      </c>
      <c r="H155" s="260" t="str">
        <f ca="1">OFFSET(Variables_Lu!$D$10,Basic_Setup!H54,0)</f>
        <v>Nutrition-specific</v>
      </c>
      <c r="I155" s="308">
        <f t="shared" ref="I155:N164" si="25">I89/EXCHANGE_RATE</f>
        <v>13263580.451439364</v>
      </c>
      <c r="J155" s="150">
        <f t="shared" si="25"/>
        <v>2652716.0902878731</v>
      </c>
      <c r="K155" s="150">
        <f t="shared" si="25"/>
        <v>2652716.0902878731</v>
      </c>
      <c r="L155" s="150">
        <f t="shared" si="25"/>
        <v>2652716.0902878731</v>
      </c>
      <c r="M155" s="150">
        <f t="shared" si="25"/>
        <v>2652716.0902878731</v>
      </c>
      <c r="N155" s="150">
        <f t="shared" si="25"/>
        <v>2652716.0902878731</v>
      </c>
    </row>
    <row r="156" spans="6:14" ht="12" x14ac:dyDescent="0.2">
      <c r="F156" s="447"/>
      <c r="G156" s="41" t="str">
        <f>STRAT4_IND4</f>
        <v>Objetivo estratégico 4 Indicador 4</v>
      </c>
      <c r="H156" s="260" t="str">
        <f ca="1">OFFSET(Variables_Lu!$D$10,Basic_Setup!H55,0)</f>
        <v>Nutrition-specific</v>
      </c>
      <c r="I156" s="308">
        <f t="shared" si="25"/>
        <v>0</v>
      </c>
      <c r="J156" s="150">
        <f t="shared" si="25"/>
        <v>0</v>
      </c>
      <c r="K156" s="150">
        <f t="shared" si="25"/>
        <v>0</v>
      </c>
      <c r="L156" s="150">
        <f t="shared" si="25"/>
        <v>0</v>
      </c>
      <c r="M156" s="150">
        <f t="shared" si="25"/>
        <v>0</v>
      </c>
      <c r="N156" s="150">
        <f t="shared" si="25"/>
        <v>0</v>
      </c>
    </row>
    <row r="157" spans="6:14" ht="12" x14ac:dyDescent="0.2">
      <c r="F157" s="448"/>
      <c r="G157" s="41" t="str">
        <f>STRAT4_IND5</f>
        <v>Objetivo estratégico 4 Indicador 5</v>
      </c>
      <c r="H157" s="260" t="str">
        <f ca="1">OFFSET(Variables_Lu!$D$10,Basic_Setup!H56,0)</f>
        <v>Nutrition-specific</v>
      </c>
      <c r="I157" s="308">
        <f t="shared" si="25"/>
        <v>0</v>
      </c>
      <c r="J157" s="150">
        <f t="shared" si="25"/>
        <v>0</v>
      </c>
      <c r="K157" s="150">
        <f t="shared" si="25"/>
        <v>0</v>
      </c>
      <c r="L157" s="150">
        <f t="shared" si="25"/>
        <v>0</v>
      </c>
      <c r="M157" s="150">
        <f t="shared" si="25"/>
        <v>0</v>
      </c>
      <c r="N157" s="150">
        <f t="shared" si="25"/>
        <v>0</v>
      </c>
    </row>
    <row r="158" spans="6:14" ht="12" x14ac:dyDescent="0.2">
      <c r="H158" s="152" t="s">
        <v>541</v>
      </c>
      <c r="I158" s="310">
        <f t="shared" si="25"/>
        <v>53675709.354318105</v>
      </c>
      <c r="J158" s="313">
        <f t="shared" si="25"/>
        <v>11468625.770863619</v>
      </c>
      <c r="K158" s="313">
        <f t="shared" si="25"/>
        <v>14879561.270863619</v>
      </c>
      <c r="L158" s="313">
        <f t="shared" si="25"/>
        <v>11431225.770863619</v>
      </c>
      <c r="M158" s="313">
        <f t="shared" si="25"/>
        <v>7948148.2708636187</v>
      </c>
      <c r="N158" s="313">
        <f t="shared" si="25"/>
        <v>7948148.2708636187</v>
      </c>
    </row>
    <row r="159" spans="6:14" ht="36" customHeight="1" x14ac:dyDescent="0.2">
      <c r="F159" s="447" t="str">
        <f>Strategy5</f>
        <v xml:space="preserve">Objetivo estratégico 5: Promoción de prácticas favorables a una nutrición óptima, de higiene y saneamiento básico. </v>
      </c>
      <c r="G159" s="42" t="str">
        <f>STRAT5_IND1</f>
        <v>Se mejoran las prácticas nutricionales favorables para los niños menores de 5 años, los adolescentes, las mujeres embarazadas y lactantes, y otros grupos vulnerables.</v>
      </c>
      <c r="H159" s="260" t="str">
        <f ca="1">OFFSET(Variables_Lu!$D$10,Basic_Setup!H58,0)</f>
        <v>Nutrition-specific</v>
      </c>
      <c r="I159" s="308">
        <f t="shared" si="25"/>
        <v>12826809.331054404</v>
      </c>
      <c r="J159" s="150">
        <f t="shared" si="25"/>
        <v>2917774.8662108807</v>
      </c>
      <c r="K159" s="150">
        <f t="shared" si="25"/>
        <v>2833113.8662108807</v>
      </c>
      <c r="L159" s="150">
        <f t="shared" si="25"/>
        <v>2547888.8662108807</v>
      </c>
      <c r="M159" s="150">
        <f t="shared" si="25"/>
        <v>2264015.8662108807</v>
      </c>
      <c r="N159" s="150">
        <f t="shared" si="25"/>
        <v>2264015.8662108807</v>
      </c>
    </row>
    <row r="160" spans="6:14" ht="22.8" x14ac:dyDescent="0.2">
      <c r="F160" s="447"/>
      <c r="G160" s="42" t="str">
        <f>STRAT5_IND2</f>
        <v>Se promueven dietas saludables y estilos de vida saludables para las personas.</v>
      </c>
      <c r="H160" s="260" t="str">
        <f ca="1">OFFSET(Variables_Lu!$D$10,Basic_Setup!H59,0)</f>
        <v>Nutrition-specific</v>
      </c>
      <c r="I160" s="308">
        <f t="shared" si="25"/>
        <v>2755979.3310544039</v>
      </c>
      <c r="J160" s="150">
        <f t="shared" si="25"/>
        <v>562615.86621088081</v>
      </c>
      <c r="K160" s="150">
        <f t="shared" si="25"/>
        <v>561315.86621088081</v>
      </c>
      <c r="L160" s="150">
        <f t="shared" si="25"/>
        <v>544015.86621088081</v>
      </c>
      <c r="M160" s="150">
        <f t="shared" si="25"/>
        <v>544015.86621088081</v>
      </c>
      <c r="N160" s="150">
        <f t="shared" si="25"/>
        <v>544015.86621088081</v>
      </c>
    </row>
    <row r="161" spans="6:14" ht="22.8" x14ac:dyDescent="0.2">
      <c r="F161" s="447"/>
      <c r="G161" s="42" t="str">
        <f>STRAT5_IND3</f>
        <v>Se promueven las buenas prácticas WASH a nivel comunitario y doméstico</v>
      </c>
      <c r="H161" s="260" t="str">
        <f ca="1">OFFSET(Variables_Lu!$D$10,Basic_Setup!H60,0)</f>
        <v>Nutrition-sensitive</v>
      </c>
      <c r="I161" s="308">
        <f t="shared" si="25"/>
        <v>3920079.3310544039</v>
      </c>
      <c r="J161" s="150">
        <f t="shared" si="25"/>
        <v>784015.86621088081</v>
      </c>
      <c r="K161" s="150">
        <f t="shared" si="25"/>
        <v>784015.86621088081</v>
      </c>
      <c r="L161" s="150">
        <f t="shared" si="25"/>
        <v>784015.86621088081</v>
      </c>
      <c r="M161" s="150">
        <f t="shared" si="25"/>
        <v>784015.86621088081</v>
      </c>
      <c r="N161" s="150">
        <f t="shared" si="25"/>
        <v>784015.86621088081</v>
      </c>
    </row>
    <row r="162" spans="6:14" ht="12" x14ac:dyDescent="0.2">
      <c r="F162" s="447"/>
      <c r="G162" s="41" t="str">
        <f>STRAT5_IND4</f>
        <v>Objetivo estratégico 5 Indicador 4</v>
      </c>
      <c r="H162" s="260" t="str">
        <f ca="1">OFFSET(Variables_Lu!$D$10,Basic_Setup!H61,0)</f>
        <v>Nutrition-specific</v>
      </c>
      <c r="I162" s="308">
        <f t="shared" si="25"/>
        <v>0</v>
      </c>
      <c r="J162" s="150">
        <f t="shared" si="25"/>
        <v>0</v>
      </c>
      <c r="K162" s="150">
        <f t="shared" si="25"/>
        <v>0</v>
      </c>
      <c r="L162" s="150">
        <f t="shared" si="25"/>
        <v>0</v>
      </c>
      <c r="M162" s="150">
        <f t="shared" si="25"/>
        <v>0</v>
      </c>
      <c r="N162" s="150">
        <f t="shared" si="25"/>
        <v>0</v>
      </c>
    </row>
    <row r="163" spans="6:14" ht="12" x14ac:dyDescent="0.2">
      <c r="F163" s="448"/>
      <c r="G163" s="41" t="str">
        <f>STRAT5_IND5</f>
        <v>Objetivo estratégico 5 Indicador 5</v>
      </c>
      <c r="H163" s="260" t="str">
        <f ca="1">OFFSET(Variables_Lu!$D$10,Basic_Setup!H62,0)</f>
        <v>Nutrition-specific</v>
      </c>
      <c r="I163" s="308">
        <f t="shared" si="25"/>
        <v>0</v>
      </c>
      <c r="J163" s="150">
        <f t="shared" si="25"/>
        <v>0</v>
      </c>
      <c r="K163" s="150">
        <f t="shared" si="25"/>
        <v>0</v>
      </c>
      <c r="L163" s="150">
        <f t="shared" si="25"/>
        <v>0</v>
      </c>
      <c r="M163" s="150">
        <f t="shared" si="25"/>
        <v>0</v>
      </c>
      <c r="N163" s="150">
        <f t="shared" si="25"/>
        <v>0</v>
      </c>
    </row>
    <row r="164" spans="6:14" ht="12" x14ac:dyDescent="0.2">
      <c r="H164" s="152" t="s">
        <v>542</v>
      </c>
      <c r="I164" s="310">
        <f t="shared" si="25"/>
        <v>19502867.993163209</v>
      </c>
      <c r="J164" s="313">
        <f t="shared" si="25"/>
        <v>4264406.5986326421</v>
      </c>
      <c r="K164" s="313">
        <f t="shared" si="25"/>
        <v>4178445.5986326425</v>
      </c>
      <c r="L164" s="313">
        <f t="shared" si="25"/>
        <v>3875920.5986326425</v>
      </c>
      <c r="M164" s="313">
        <f t="shared" si="25"/>
        <v>3592047.5986326425</v>
      </c>
      <c r="N164" s="313">
        <f t="shared" si="25"/>
        <v>3592047.5986326425</v>
      </c>
    </row>
    <row r="165" spans="6:14" ht="12" x14ac:dyDescent="0.2">
      <c r="F165" s="447" t="str">
        <f>Strategy6</f>
        <v>Objetivo estratégico 6: [No está en uso]</v>
      </c>
      <c r="G165" s="42" t="str">
        <f>STRAT6_IND1</f>
        <v>Objetivo estratégico 6 Indicador 1</v>
      </c>
      <c r="H165" s="260" t="str">
        <f ca="1">OFFSET(Variables_Lu!$D$10,Basic_Setup!H64,0)</f>
        <v>Nutrition-specific</v>
      </c>
      <c r="I165" s="308">
        <f t="shared" ref="I165:N174" si="26">I99/EXCHANGE_RATE</f>
        <v>0</v>
      </c>
      <c r="J165" s="150">
        <f t="shared" si="26"/>
        <v>0</v>
      </c>
      <c r="K165" s="150">
        <f t="shared" si="26"/>
        <v>0</v>
      </c>
      <c r="L165" s="150">
        <f t="shared" si="26"/>
        <v>0</v>
      </c>
      <c r="M165" s="150">
        <f t="shared" si="26"/>
        <v>0</v>
      </c>
      <c r="N165" s="150">
        <f t="shared" si="26"/>
        <v>0</v>
      </c>
    </row>
    <row r="166" spans="6:14" ht="12" x14ac:dyDescent="0.2">
      <c r="F166" s="447"/>
      <c r="G166" s="42" t="str">
        <f>STRAT6_IND2</f>
        <v>Objetivo estratégico 6 Indicador 2</v>
      </c>
      <c r="H166" s="260" t="str">
        <f ca="1">OFFSET(Variables_Lu!$D$10,Basic_Setup!H65,0)</f>
        <v>Nutrition-specific</v>
      </c>
      <c r="I166" s="308">
        <f t="shared" si="26"/>
        <v>0</v>
      </c>
      <c r="J166" s="150">
        <f t="shared" si="26"/>
        <v>0</v>
      </c>
      <c r="K166" s="150">
        <f t="shared" si="26"/>
        <v>0</v>
      </c>
      <c r="L166" s="150">
        <f t="shared" si="26"/>
        <v>0</v>
      </c>
      <c r="M166" s="150">
        <f t="shared" si="26"/>
        <v>0</v>
      </c>
      <c r="N166" s="150">
        <f t="shared" si="26"/>
        <v>0</v>
      </c>
    </row>
    <row r="167" spans="6:14" s="38" customFormat="1" ht="12" x14ac:dyDescent="0.2">
      <c r="F167" s="447"/>
      <c r="G167" s="42" t="str">
        <f>STRAT6_IND3</f>
        <v>Objetivo estratégico 6 Indicador 3</v>
      </c>
      <c r="H167" s="260" t="str">
        <f ca="1">OFFSET(Variables_Lu!$D$10,Basic_Setup!H66,0)</f>
        <v>Nutrition-specific</v>
      </c>
      <c r="I167" s="308">
        <f t="shared" si="26"/>
        <v>0</v>
      </c>
      <c r="J167" s="150">
        <f t="shared" si="26"/>
        <v>0</v>
      </c>
      <c r="K167" s="150">
        <f t="shared" si="26"/>
        <v>0</v>
      </c>
      <c r="L167" s="150">
        <f t="shared" si="26"/>
        <v>0</v>
      </c>
      <c r="M167" s="150">
        <f t="shared" si="26"/>
        <v>0</v>
      </c>
      <c r="N167" s="150">
        <f t="shared" si="26"/>
        <v>0</v>
      </c>
    </row>
    <row r="168" spans="6:14" s="38" customFormat="1" ht="12" x14ac:dyDescent="0.2">
      <c r="F168" s="447"/>
      <c r="G168" s="41" t="str">
        <f>STRAT6_IND4</f>
        <v>Objetivo estratégico 6 Indicador 4</v>
      </c>
      <c r="H168" s="260" t="str">
        <f ca="1">OFFSET(Variables_Lu!$D$10,Basic_Setup!H67,0)</f>
        <v>Nutrition-specific</v>
      </c>
      <c r="I168" s="308">
        <f t="shared" si="26"/>
        <v>0</v>
      </c>
      <c r="J168" s="150">
        <f t="shared" si="26"/>
        <v>0</v>
      </c>
      <c r="K168" s="150">
        <f t="shared" si="26"/>
        <v>0</v>
      </c>
      <c r="L168" s="150">
        <f t="shared" si="26"/>
        <v>0</v>
      </c>
      <c r="M168" s="150">
        <f t="shared" si="26"/>
        <v>0</v>
      </c>
      <c r="N168" s="150">
        <f t="shared" si="26"/>
        <v>0</v>
      </c>
    </row>
    <row r="169" spans="6:14" s="38" customFormat="1" ht="12" x14ac:dyDescent="0.2">
      <c r="F169" s="448"/>
      <c r="G169" s="41" t="str">
        <f>STRAT6_IND5</f>
        <v>Objetivo estratégico 6 Indicador 5</v>
      </c>
      <c r="H169" s="260" t="str">
        <f ca="1">OFFSET(Variables_Lu!$D$10,Basic_Setup!H68,0)</f>
        <v>Nutrition-specific</v>
      </c>
      <c r="I169" s="308">
        <f t="shared" si="26"/>
        <v>0</v>
      </c>
      <c r="J169" s="150">
        <f t="shared" si="26"/>
        <v>0</v>
      </c>
      <c r="K169" s="150">
        <f t="shared" si="26"/>
        <v>0</v>
      </c>
      <c r="L169" s="150">
        <f t="shared" si="26"/>
        <v>0</v>
      </c>
      <c r="M169" s="150">
        <f t="shared" si="26"/>
        <v>0</v>
      </c>
      <c r="N169" s="150">
        <f t="shared" si="26"/>
        <v>0</v>
      </c>
    </row>
    <row r="170" spans="6:14" s="38" customFormat="1" ht="12" x14ac:dyDescent="0.2">
      <c r="F170"/>
      <c r="G170"/>
      <c r="H170" s="152" t="s">
        <v>543</v>
      </c>
      <c r="I170" s="310">
        <f t="shared" si="26"/>
        <v>0</v>
      </c>
      <c r="J170" s="313">
        <f t="shared" si="26"/>
        <v>0</v>
      </c>
      <c r="K170" s="313">
        <f t="shared" si="26"/>
        <v>0</v>
      </c>
      <c r="L170" s="313">
        <f t="shared" si="26"/>
        <v>0</v>
      </c>
      <c r="M170" s="313">
        <f t="shared" si="26"/>
        <v>0</v>
      </c>
      <c r="N170" s="313">
        <f t="shared" si="26"/>
        <v>0</v>
      </c>
    </row>
    <row r="171" spans="6:14" s="38" customFormat="1" ht="12" x14ac:dyDescent="0.2">
      <c r="F171" s="447" t="str">
        <f>Strategy7</f>
        <v>Objetivo estratégico 7: [No está en uso]</v>
      </c>
      <c r="G171" s="42" t="str">
        <f>STRAT7_IND1</f>
        <v>Objetivo estratégico 7 Indicador 1</v>
      </c>
      <c r="H171" s="260" t="str">
        <f ca="1">OFFSET(Variables_Lu!$D$10,Basic_Setup!H70,0)</f>
        <v>Nutrition-specific</v>
      </c>
      <c r="I171" s="308">
        <f t="shared" si="26"/>
        <v>0</v>
      </c>
      <c r="J171" s="150">
        <f t="shared" si="26"/>
        <v>0</v>
      </c>
      <c r="K171" s="150">
        <f t="shared" si="26"/>
        <v>0</v>
      </c>
      <c r="L171" s="150">
        <f t="shared" si="26"/>
        <v>0</v>
      </c>
      <c r="M171" s="150">
        <f t="shared" si="26"/>
        <v>0</v>
      </c>
      <c r="N171" s="150">
        <f t="shared" si="26"/>
        <v>0</v>
      </c>
    </row>
    <row r="172" spans="6:14" s="38" customFormat="1" ht="12" x14ac:dyDescent="0.2">
      <c r="F172" s="447"/>
      <c r="G172" s="42" t="str">
        <f>STRAT7_IND2</f>
        <v>Objetivo estratégico 7 Indicador 2</v>
      </c>
      <c r="H172" s="260" t="str">
        <f ca="1">OFFSET(Variables_Lu!$D$10,Basic_Setup!H71,0)</f>
        <v>Nutrition-specific</v>
      </c>
      <c r="I172" s="308">
        <f t="shared" si="26"/>
        <v>0</v>
      </c>
      <c r="J172" s="150">
        <f t="shared" si="26"/>
        <v>0</v>
      </c>
      <c r="K172" s="150">
        <f t="shared" si="26"/>
        <v>0</v>
      </c>
      <c r="L172" s="150">
        <f t="shared" si="26"/>
        <v>0</v>
      </c>
      <c r="M172" s="150">
        <f t="shared" si="26"/>
        <v>0</v>
      </c>
      <c r="N172" s="150">
        <f t="shared" si="26"/>
        <v>0</v>
      </c>
    </row>
    <row r="173" spans="6:14" s="38" customFormat="1" ht="12" x14ac:dyDescent="0.2">
      <c r="F173" s="447"/>
      <c r="G173" s="42" t="str">
        <f>STRAT7_IND3</f>
        <v>Objetivo estratégico 7 Indicador 3</v>
      </c>
      <c r="H173" s="260" t="str">
        <f ca="1">OFFSET(Variables_Lu!$D$10,Basic_Setup!H72,0)</f>
        <v>Nutrition-specific</v>
      </c>
      <c r="I173" s="308">
        <f t="shared" si="26"/>
        <v>0</v>
      </c>
      <c r="J173" s="150">
        <f t="shared" si="26"/>
        <v>0</v>
      </c>
      <c r="K173" s="150">
        <f t="shared" si="26"/>
        <v>0</v>
      </c>
      <c r="L173" s="150">
        <f t="shared" si="26"/>
        <v>0</v>
      </c>
      <c r="M173" s="150">
        <f t="shared" si="26"/>
        <v>0</v>
      </c>
      <c r="N173" s="150">
        <f t="shared" si="26"/>
        <v>0</v>
      </c>
    </row>
    <row r="174" spans="6:14" s="38" customFormat="1" ht="12" x14ac:dyDescent="0.2">
      <c r="F174" s="447"/>
      <c r="G174" s="41" t="str">
        <f>STRAT7_IND4</f>
        <v>Objetivo estratégico 7 Indicador 4</v>
      </c>
      <c r="H174" s="260" t="str">
        <f ca="1">OFFSET(Variables_Lu!$D$10,Basic_Setup!H73,0)</f>
        <v>Nutrition-specific</v>
      </c>
      <c r="I174" s="308">
        <f t="shared" si="26"/>
        <v>0</v>
      </c>
      <c r="J174" s="150">
        <f t="shared" si="26"/>
        <v>0</v>
      </c>
      <c r="K174" s="150">
        <f t="shared" si="26"/>
        <v>0</v>
      </c>
      <c r="L174" s="150">
        <f t="shared" si="26"/>
        <v>0</v>
      </c>
      <c r="M174" s="150">
        <f t="shared" si="26"/>
        <v>0</v>
      </c>
      <c r="N174" s="150">
        <f t="shared" si="26"/>
        <v>0</v>
      </c>
    </row>
    <row r="175" spans="6:14" s="38" customFormat="1" ht="12" x14ac:dyDescent="0.2">
      <c r="F175" s="448"/>
      <c r="G175" s="41" t="str">
        <f>STRAT7_IND5</f>
        <v>Objetivo estratégico 7 Indicador 5</v>
      </c>
      <c r="H175" s="260" t="str">
        <f ca="1">OFFSET(Variables_Lu!$D$10,Basic_Setup!H74,0)</f>
        <v>Nutrition-specific</v>
      </c>
      <c r="I175" s="308">
        <f t="shared" ref="I175:N184" si="27">I109/EXCHANGE_RATE</f>
        <v>0</v>
      </c>
      <c r="J175" s="150">
        <f t="shared" si="27"/>
        <v>0</v>
      </c>
      <c r="K175" s="150">
        <f t="shared" si="27"/>
        <v>0</v>
      </c>
      <c r="L175" s="150">
        <f t="shared" si="27"/>
        <v>0</v>
      </c>
      <c r="M175" s="150">
        <f t="shared" si="27"/>
        <v>0</v>
      </c>
      <c r="N175" s="150">
        <f t="shared" si="27"/>
        <v>0</v>
      </c>
    </row>
    <row r="176" spans="6:14" s="38" customFormat="1" ht="12" x14ac:dyDescent="0.2">
      <c r="F176"/>
      <c r="G176"/>
      <c r="H176" s="152" t="s">
        <v>544</v>
      </c>
      <c r="I176" s="310">
        <f t="shared" si="27"/>
        <v>0</v>
      </c>
      <c r="J176" s="313">
        <f t="shared" si="27"/>
        <v>0</v>
      </c>
      <c r="K176" s="313">
        <f t="shared" si="27"/>
        <v>0</v>
      </c>
      <c r="L176" s="313">
        <f t="shared" si="27"/>
        <v>0</v>
      </c>
      <c r="M176" s="313">
        <f t="shared" si="27"/>
        <v>0</v>
      </c>
      <c r="N176" s="313">
        <f t="shared" si="27"/>
        <v>0</v>
      </c>
    </row>
    <row r="177" spans="6:14" s="38" customFormat="1" ht="12" x14ac:dyDescent="0.2">
      <c r="F177" s="447" t="str">
        <f>Strategy8</f>
        <v>Objetivo estratégico 8: [No está en uso]</v>
      </c>
      <c r="G177" s="42" t="str">
        <f>STRAT8_IND1</f>
        <v>Objetivo estratégico 8 Indicador 1</v>
      </c>
      <c r="H177" s="260" t="str">
        <f ca="1">OFFSET(Variables_Lu!$D$10,Basic_Setup!H76,0)</f>
        <v>Nutrition-specific</v>
      </c>
      <c r="I177" s="308">
        <f t="shared" si="27"/>
        <v>0</v>
      </c>
      <c r="J177" s="150">
        <f t="shared" si="27"/>
        <v>0</v>
      </c>
      <c r="K177" s="150">
        <f t="shared" si="27"/>
        <v>0</v>
      </c>
      <c r="L177" s="150">
        <f t="shared" si="27"/>
        <v>0</v>
      </c>
      <c r="M177" s="150">
        <f t="shared" si="27"/>
        <v>0</v>
      </c>
      <c r="N177" s="150">
        <f t="shared" si="27"/>
        <v>0</v>
      </c>
    </row>
    <row r="178" spans="6:14" s="38" customFormat="1" ht="12" x14ac:dyDescent="0.2">
      <c r="F178" s="447"/>
      <c r="G178" s="42" t="str">
        <f>STRAT8_IND2</f>
        <v>Objetivo estratégico 8 Indicador 2</v>
      </c>
      <c r="H178" s="260" t="str">
        <f ca="1">OFFSET(Variables_Lu!$D$10,Basic_Setup!H77,0)</f>
        <v>Nutrition-specific</v>
      </c>
      <c r="I178" s="308">
        <f t="shared" si="27"/>
        <v>0</v>
      </c>
      <c r="J178" s="150">
        <f t="shared" si="27"/>
        <v>0</v>
      </c>
      <c r="K178" s="150">
        <f t="shared" si="27"/>
        <v>0</v>
      </c>
      <c r="L178" s="150">
        <f t="shared" si="27"/>
        <v>0</v>
      </c>
      <c r="M178" s="150">
        <f t="shared" si="27"/>
        <v>0</v>
      </c>
      <c r="N178" s="150">
        <f t="shared" si="27"/>
        <v>0</v>
      </c>
    </row>
    <row r="179" spans="6:14" s="38" customFormat="1" ht="12" x14ac:dyDescent="0.2">
      <c r="F179" s="447"/>
      <c r="G179" s="42" t="str">
        <f>STRAT8_IND3</f>
        <v>Objetivo estratégico 8 Indicador 3</v>
      </c>
      <c r="H179" s="260" t="str">
        <f ca="1">OFFSET(Variables_Lu!$D$10,Basic_Setup!H78,0)</f>
        <v>Nutrition-specific</v>
      </c>
      <c r="I179" s="308">
        <f t="shared" si="27"/>
        <v>0</v>
      </c>
      <c r="J179" s="150">
        <f t="shared" si="27"/>
        <v>0</v>
      </c>
      <c r="K179" s="150">
        <f t="shared" si="27"/>
        <v>0</v>
      </c>
      <c r="L179" s="150">
        <f t="shared" si="27"/>
        <v>0</v>
      </c>
      <c r="M179" s="150">
        <f t="shared" si="27"/>
        <v>0</v>
      </c>
      <c r="N179" s="150">
        <f t="shared" si="27"/>
        <v>0</v>
      </c>
    </row>
    <row r="180" spans="6:14" s="38" customFormat="1" ht="12" x14ac:dyDescent="0.2">
      <c r="F180" s="447"/>
      <c r="G180" s="41" t="str">
        <f>STRAT8_IND4</f>
        <v>Objetivo estratégico 8 Indicador 4</v>
      </c>
      <c r="H180" s="260" t="str">
        <f ca="1">OFFSET(Variables_Lu!$D$10,Basic_Setup!H79,0)</f>
        <v>Nutrition-specific</v>
      </c>
      <c r="I180" s="308">
        <f t="shared" si="27"/>
        <v>0</v>
      </c>
      <c r="J180" s="150">
        <f t="shared" si="27"/>
        <v>0</v>
      </c>
      <c r="K180" s="150">
        <f t="shared" si="27"/>
        <v>0</v>
      </c>
      <c r="L180" s="150">
        <f t="shared" si="27"/>
        <v>0</v>
      </c>
      <c r="M180" s="150">
        <f t="shared" si="27"/>
        <v>0</v>
      </c>
      <c r="N180" s="150">
        <f t="shared" si="27"/>
        <v>0</v>
      </c>
    </row>
    <row r="181" spans="6:14" s="38" customFormat="1" ht="12" x14ac:dyDescent="0.2">
      <c r="F181" s="448"/>
      <c r="G181" s="41" t="str">
        <f>STRAT8_IND5</f>
        <v>Objetivo estratégico 8 Indicador 5</v>
      </c>
      <c r="H181" s="260" t="str">
        <f ca="1">OFFSET(Variables_Lu!$D$10,Basic_Setup!H80,0)</f>
        <v>Nutrition-specific</v>
      </c>
      <c r="I181" s="308">
        <f t="shared" si="27"/>
        <v>0</v>
      </c>
      <c r="J181" s="150">
        <f t="shared" si="27"/>
        <v>0</v>
      </c>
      <c r="K181" s="150">
        <f t="shared" si="27"/>
        <v>0</v>
      </c>
      <c r="L181" s="150">
        <f t="shared" si="27"/>
        <v>0</v>
      </c>
      <c r="M181" s="150">
        <f t="shared" si="27"/>
        <v>0</v>
      </c>
      <c r="N181" s="150">
        <f t="shared" si="27"/>
        <v>0</v>
      </c>
    </row>
    <row r="182" spans="6:14" ht="12" x14ac:dyDescent="0.2">
      <c r="H182" s="152" t="s">
        <v>545</v>
      </c>
      <c r="I182" s="310">
        <f t="shared" si="27"/>
        <v>0</v>
      </c>
      <c r="J182" s="313">
        <f t="shared" si="27"/>
        <v>0</v>
      </c>
      <c r="K182" s="313">
        <f t="shared" si="27"/>
        <v>0</v>
      </c>
      <c r="L182" s="313">
        <f t="shared" si="27"/>
        <v>0</v>
      </c>
      <c r="M182" s="313">
        <f t="shared" si="27"/>
        <v>0</v>
      </c>
      <c r="N182" s="313">
        <f t="shared" si="27"/>
        <v>0</v>
      </c>
    </row>
    <row r="183" spans="6:14" ht="12" x14ac:dyDescent="0.2">
      <c r="F183" s="447" t="str">
        <f>Strategy9</f>
        <v>Objetivo estratégico 9: [No está en uso]</v>
      </c>
      <c r="G183" s="42" t="str">
        <f>STRAT9_IND1</f>
        <v>Objetivo estratégico 9 Indicador 1</v>
      </c>
      <c r="H183" s="260" t="str">
        <f ca="1">OFFSET(Variables_Lu!$D$10,Basic_Setup!H82,0)</f>
        <v>Nutrition-specific</v>
      </c>
      <c r="I183" s="308">
        <f t="shared" si="27"/>
        <v>0</v>
      </c>
      <c r="J183" s="150">
        <f t="shared" si="27"/>
        <v>0</v>
      </c>
      <c r="K183" s="150">
        <f t="shared" si="27"/>
        <v>0</v>
      </c>
      <c r="L183" s="150">
        <f t="shared" si="27"/>
        <v>0</v>
      </c>
      <c r="M183" s="150">
        <f t="shared" si="27"/>
        <v>0</v>
      </c>
      <c r="N183" s="150">
        <f t="shared" si="27"/>
        <v>0</v>
      </c>
    </row>
    <row r="184" spans="6:14" ht="12" x14ac:dyDescent="0.2">
      <c r="F184" s="447"/>
      <c r="G184" s="42" t="str">
        <f>STRAT9_IND2</f>
        <v>Objetivo estratégico 9 Indicador 2</v>
      </c>
      <c r="H184" s="260" t="str">
        <f ca="1">OFFSET(Variables_Lu!$D$10,Basic_Setup!H83,0)</f>
        <v>Nutrition-specific</v>
      </c>
      <c r="I184" s="308">
        <f t="shared" si="27"/>
        <v>0</v>
      </c>
      <c r="J184" s="150">
        <f t="shared" si="27"/>
        <v>0</v>
      </c>
      <c r="K184" s="150">
        <f t="shared" si="27"/>
        <v>0</v>
      </c>
      <c r="L184" s="150">
        <f t="shared" si="27"/>
        <v>0</v>
      </c>
      <c r="M184" s="150">
        <f t="shared" si="27"/>
        <v>0</v>
      </c>
      <c r="N184" s="150">
        <f t="shared" si="27"/>
        <v>0</v>
      </c>
    </row>
    <row r="185" spans="6:14" ht="12" x14ac:dyDescent="0.2">
      <c r="F185" s="447"/>
      <c r="G185" s="42" t="str">
        <f>STRAT9_IND3</f>
        <v>Objetivo estratégico 9 Indicador 3</v>
      </c>
      <c r="H185" s="260" t="str">
        <f ca="1">OFFSET(Variables_Lu!$D$10,Basic_Setup!H84,0)</f>
        <v>Nutrition-specific</v>
      </c>
      <c r="I185" s="308">
        <f t="shared" ref="I185:N194" si="28">I119/EXCHANGE_RATE</f>
        <v>0</v>
      </c>
      <c r="J185" s="150">
        <f t="shared" si="28"/>
        <v>0</v>
      </c>
      <c r="K185" s="150">
        <f t="shared" si="28"/>
        <v>0</v>
      </c>
      <c r="L185" s="150">
        <f t="shared" si="28"/>
        <v>0</v>
      </c>
      <c r="M185" s="150">
        <f t="shared" si="28"/>
        <v>0</v>
      </c>
      <c r="N185" s="150">
        <f t="shared" si="28"/>
        <v>0</v>
      </c>
    </row>
    <row r="186" spans="6:14" ht="12" x14ac:dyDescent="0.2">
      <c r="F186" s="447"/>
      <c r="G186" s="41" t="str">
        <f>STRAT9_IND4</f>
        <v>Objetivo estratégico 9 Indicador 4</v>
      </c>
      <c r="H186" s="260" t="str">
        <f ca="1">OFFSET(Variables_Lu!$D$10,Basic_Setup!H85,0)</f>
        <v>Nutrition-specific</v>
      </c>
      <c r="I186" s="308">
        <f t="shared" si="28"/>
        <v>0</v>
      </c>
      <c r="J186" s="150">
        <f t="shared" si="28"/>
        <v>0</v>
      </c>
      <c r="K186" s="150">
        <f t="shared" si="28"/>
        <v>0</v>
      </c>
      <c r="L186" s="150">
        <f t="shared" si="28"/>
        <v>0</v>
      </c>
      <c r="M186" s="150">
        <f t="shared" si="28"/>
        <v>0</v>
      </c>
      <c r="N186" s="150">
        <f t="shared" si="28"/>
        <v>0</v>
      </c>
    </row>
    <row r="187" spans="6:14" ht="12" x14ac:dyDescent="0.2">
      <c r="F187" s="448"/>
      <c r="G187" s="41" t="str">
        <f>STRAT9_IND5</f>
        <v>Objetivo estratégico 9 Indicador 5</v>
      </c>
      <c r="H187" s="260" t="str">
        <f ca="1">OFFSET(Variables_Lu!$D$10,Basic_Setup!H86,0)</f>
        <v>Nutrition-specific</v>
      </c>
      <c r="I187" s="308">
        <f t="shared" si="28"/>
        <v>0</v>
      </c>
      <c r="J187" s="150">
        <f t="shared" si="28"/>
        <v>0</v>
      </c>
      <c r="K187" s="150">
        <f t="shared" si="28"/>
        <v>0</v>
      </c>
      <c r="L187" s="150">
        <f t="shared" si="28"/>
        <v>0</v>
      </c>
      <c r="M187" s="150">
        <f t="shared" si="28"/>
        <v>0</v>
      </c>
      <c r="N187" s="150">
        <f t="shared" si="28"/>
        <v>0</v>
      </c>
    </row>
    <row r="188" spans="6:14" ht="12" x14ac:dyDescent="0.2">
      <c r="H188" s="152" t="s">
        <v>546</v>
      </c>
      <c r="I188" s="310">
        <f t="shared" si="28"/>
        <v>0</v>
      </c>
      <c r="J188" s="313">
        <f t="shared" si="28"/>
        <v>0</v>
      </c>
      <c r="K188" s="313">
        <f t="shared" si="28"/>
        <v>0</v>
      </c>
      <c r="L188" s="313">
        <f t="shared" si="28"/>
        <v>0</v>
      </c>
      <c r="M188" s="313">
        <f t="shared" si="28"/>
        <v>0</v>
      </c>
      <c r="N188" s="313">
        <f t="shared" si="28"/>
        <v>0</v>
      </c>
    </row>
    <row r="189" spans="6:14" ht="12" x14ac:dyDescent="0.2">
      <c r="F189" s="447" t="str">
        <f>Strategy10</f>
        <v>Objetivo estratégico 10: [No está en uso]</v>
      </c>
      <c r="G189" s="42" t="str">
        <f>STRAT10_IND1</f>
        <v>Objetivo estratégico 10 Indicador 1</v>
      </c>
      <c r="H189" s="260" t="str">
        <f ca="1">OFFSET(Variables_Lu!$D$10,Basic_Setup!H88,0)</f>
        <v>Nutrition-specific</v>
      </c>
      <c r="I189" s="308">
        <f t="shared" si="28"/>
        <v>0</v>
      </c>
      <c r="J189" s="150">
        <f t="shared" si="28"/>
        <v>0</v>
      </c>
      <c r="K189" s="150">
        <f t="shared" si="28"/>
        <v>0</v>
      </c>
      <c r="L189" s="150">
        <f t="shared" si="28"/>
        <v>0</v>
      </c>
      <c r="M189" s="150">
        <f t="shared" si="28"/>
        <v>0</v>
      </c>
      <c r="N189" s="150">
        <f t="shared" si="28"/>
        <v>0</v>
      </c>
    </row>
    <row r="190" spans="6:14" ht="12" x14ac:dyDescent="0.2">
      <c r="F190" s="447"/>
      <c r="G190" s="42" t="str">
        <f>STRAT10_IND2</f>
        <v>Objetivo estratégico 10 Indicador 2</v>
      </c>
      <c r="H190" s="260" t="str">
        <f ca="1">OFFSET(Variables_Lu!$D$10,Basic_Setup!H89,0)</f>
        <v>Nutrition-specific</v>
      </c>
      <c r="I190" s="308">
        <f t="shared" si="28"/>
        <v>0</v>
      </c>
      <c r="J190" s="150">
        <f t="shared" si="28"/>
        <v>0</v>
      </c>
      <c r="K190" s="150">
        <f t="shared" si="28"/>
        <v>0</v>
      </c>
      <c r="L190" s="150">
        <f t="shared" si="28"/>
        <v>0</v>
      </c>
      <c r="M190" s="150">
        <f t="shared" si="28"/>
        <v>0</v>
      </c>
      <c r="N190" s="150">
        <f t="shared" si="28"/>
        <v>0</v>
      </c>
    </row>
    <row r="191" spans="6:14" ht="12" x14ac:dyDescent="0.2">
      <c r="F191" s="447"/>
      <c r="G191" s="42" t="str">
        <f>STRAT10_IND3</f>
        <v>Objetivo estratégico 10 Indicador 3</v>
      </c>
      <c r="H191" s="260" t="str">
        <f ca="1">OFFSET(Variables_Lu!$D$10,Basic_Setup!H90,0)</f>
        <v>Nutrition-specific</v>
      </c>
      <c r="I191" s="308">
        <f t="shared" si="28"/>
        <v>0</v>
      </c>
      <c r="J191" s="150">
        <f t="shared" si="28"/>
        <v>0</v>
      </c>
      <c r="K191" s="150">
        <f t="shared" si="28"/>
        <v>0</v>
      </c>
      <c r="L191" s="150">
        <f t="shared" si="28"/>
        <v>0</v>
      </c>
      <c r="M191" s="150">
        <f t="shared" si="28"/>
        <v>0</v>
      </c>
      <c r="N191" s="150">
        <f t="shared" si="28"/>
        <v>0</v>
      </c>
    </row>
    <row r="192" spans="6:14" ht="12" x14ac:dyDescent="0.2">
      <c r="F192" s="447"/>
      <c r="G192" s="41" t="str">
        <f>STRAT10_IND4</f>
        <v>Objetivo estratégico 10 Indicador 4</v>
      </c>
      <c r="H192" s="260" t="str">
        <f ca="1">OFFSET(Variables_Lu!$D$10,Basic_Setup!H91,0)</f>
        <v>Nutrition-specific</v>
      </c>
      <c r="I192" s="308">
        <f t="shared" si="28"/>
        <v>0</v>
      </c>
      <c r="J192" s="150">
        <f t="shared" si="28"/>
        <v>0</v>
      </c>
      <c r="K192" s="150">
        <f t="shared" si="28"/>
        <v>0</v>
      </c>
      <c r="L192" s="150">
        <f t="shared" si="28"/>
        <v>0</v>
      </c>
      <c r="M192" s="150">
        <f t="shared" si="28"/>
        <v>0</v>
      </c>
      <c r="N192" s="150">
        <f t="shared" si="28"/>
        <v>0</v>
      </c>
    </row>
    <row r="193" spans="6:14" ht="12" x14ac:dyDescent="0.2">
      <c r="F193" s="448"/>
      <c r="G193" s="41" t="str">
        <f>STRAT10_IND5</f>
        <v>Objetivo estratégico 10 Indicador 5</v>
      </c>
      <c r="H193" s="260" t="str">
        <f ca="1">OFFSET(Variables_Lu!$D$10,Basic_Setup!H92,0)</f>
        <v>Nutrition-specific</v>
      </c>
      <c r="I193" s="308">
        <f t="shared" si="28"/>
        <v>0</v>
      </c>
      <c r="J193" s="150">
        <f t="shared" si="28"/>
        <v>0</v>
      </c>
      <c r="K193" s="150">
        <f t="shared" si="28"/>
        <v>0</v>
      </c>
      <c r="L193" s="150">
        <f t="shared" si="28"/>
        <v>0</v>
      </c>
      <c r="M193" s="150">
        <f t="shared" si="28"/>
        <v>0</v>
      </c>
      <c r="N193" s="150">
        <f t="shared" si="28"/>
        <v>0</v>
      </c>
    </row>
    <row r="194" spans="6:14" ht="12" x14ac:dyDescent="0.2">
      <c r="H194" s="152" t="s">
        <v>547</v>
      </c>
      <c r="I194" s="310">
        <f t="shared" si="28"/>
        <v>0</v>
      </c>
      <c r="J194" s="313">
        <f t="shared" si="28"/>
        <v>0</v>
      </c>
      <c r="K194" s="313">
        <f t="shared" si="28"/>
        <v>0</v>
      </c>
      <c r="L194" s="313">
        <f t="shared" si="28"/>
        <v>0</v>
      </c>
      <c r="M194" s="313">
        <f t="shared" si="28"/>
        <v>0</v>
      </c>
      <c r="N194" s="313">
        <f t="shared" si="28"/>
        <v>0</v>
      </c>
    </row>
    <row r="195" spans="6:14" ht="12" x14ac:dyDescent="0.2">
      <c r="H195" s="152"/>
      <c r="I195" s="240"/>
      <c r="J195" s="64"/>
      <c r="K195" s="64"/>
      <c r="L195" s="64"/>
      <c r="M195" s="64"/>
      <c r="N195" s="64"/>
    </row>
    <row r="196" spans="6:14" ht="12" x14ac:dyDescent="0.2">
      <c r="H196" s="149" t="str">
        <f>"TOTAL - ALL Available Funds"&amp;" ("&amp;CURR_INT_ABBR&amp;")"</f>
        <v>TOTAL - ALL Available Funds (USD)</v>
      </c>
      <c r="I196" s="315">
        <f t="shared" ref="I196:N196" si="29">I130/EXCHANGE_RATE</f>
        <v>243160045.34165627</v>
      </c>
      <c r="J196" s="316">
        <f t="shared" si="29"/>
        <v>54705391.468331248</v>
      </c>
      <c r="K196" s="316">
        <f t="shared" si="29"/>
        <v>79179343.468331248</v>
      </c>
      <c r="L196" s="316">
        <f t="shared" si="29"/>
        <v>53287655.468331248</v>
      </c>
      <c r="M196" s="316">
        <f t="shared" si="29"/>
        <v>27998827.468331248</v>
      </c>
      <c r="N196" s="316">
        <f t="shared" si="29"/>
        <v>27988827.468331248</v>
      </c>
    </row>
    <row r="200" spans="6:14" ht="12" x14ac:dyDescent="0.2">
      <c r="H200" s="320" t="str">
        <f>Summary_Govt_Contributions!H229</f>
        <v>TOTAL - TODAS las contribuciones de las agencias gubernamentales (USD)</v>
      </c>
      <c r="I200" s="319">
        <f>Summary_Partner_Contributions!I229</f>
        <v>160380908</v>
      </c>
      <c r="J200" s="76">
        <f>Summary_Partner_Contributions!J229</f>
        <v>38149564</v>
      </c>
      <c r="K200" s="76">
        <f>Summary_Partner_Contributions!K229</f>
        <v>62623516</v>
      </c>
      <c r="L200" s="76">
        <f>Summary_Partner_Contributions!L229</f>
        <v>36731828</v>
      </c>
      <c r="M200" s="76">
        <f>Summary_Partner_Contributions!M229</f>
        <v>11443000</v>
      </c>
      <c r="N200" s="76">
        <f>Summary_Partner_Contributions!N229</f>
        <v>11433000</v>
      </c>
    </row>
    <row r="201" spans="6:14" ht="12" x14ac:dyDescent="0.2">
      <c r="H201" s="320" t="str">
        <f>Summary_Partner_Contributions!H229</f>
        <v>TOTAL - TODAS las contribuciones de los socios (USD)</v>
      </c>
      <c r="I201" s="319">
        <f>Summary_Govt_Contributions!I229</f>
        <v>82779137.341656253</v>
      </c>
      <c r="J201" s="76">
        <f>Summary_Govt_Contributions!J229</f>
        <v>16555827.468331249</v>
      </c>
      <c r="K201" s="76">
        <f>Summary_Govt_Contributions!K229</f>
        <v>16555827.468331249</v>
      </c>
      <c r="L201" s="76">
        <f>Summary_Govt_Contributions!L229</f>
        <v>16555827.468331249</v>
      </c>
      <c r="M201" s="76">
        <f>Summary_Govt_Contributions!M229</f>
        <v>16555827.468331249</v>
      </c>
      <c r="N201" s="76">
        <f>Summary_Govt_Contributions!N229</f>
        <v>16555827.468331249</v>
      </c>
    </row>
    <row r="202" spans="6:14" ht="12" x14ac:dyDescent="0.2">
      <c r="H202" s="151" t="s">
        <v>483</v>
      </c>
      <c r="I202" s="122">
        <f>SUM(I200:I201)</f>
        <v>243160045.34165627</v>
      </c>
      <c r="J202" s="122">
        <f t="shared" ref="J202:N202" si="30">SUM(J200:J201)</f>
        <v>54705391.468331248</v>
      </c>
      <c r="K202" s="122">
        <f t="shared" si="30"/>
        <v>79179343.468331248</v>
      </c>
      <c r="L202" s="122">
        <f t="shared" si="30"/>
        <v>53287655.468331248</v>
      </c>
      <c r="M202" s="122">
        <f t="shared" si="30"/>
        <v>27998827.468331248</v>
      </c>
      <c r="N202" s="122">
        <f t="shared" si="30"/>
        <v>27988827.468331248</v>
      </c>
    </row>
  </sheetData>
  <sheetProtection algorithmName="SHA-512" hashValue="DmxMLpjDtFNpxoCvhcH2SdEv/xXmxpfJyL/93CxwviA7nhXq30XeXb1YDWDCJvxAAoZ0EGabhbVNd4XYBYV7+Q==" saltValue="IB5ugNXuncfmct9ate3rbw==" spinCount="100000" sheet="1" objects="1" scenarios="1"/>
  <mergeCells count="21">
    <mergeCell ref="B3:F3"/>
    <mergeCell ref="F69:F73"/>
    <mergeCell ref="F75:F79"/>
    <mergeCell ref="F81:F85"/>
    <mergeCell ref="F87:F91"/>
    <mergeCell ref="F93:F97"/>
    <mergeCell ref="F99:F103"/>
    <mergeCell ref="F105:F109"/>
    <mergeCell ref="F111:F115"/>
    <mergeCell ref="F117:F121"/>
    <mergeCell ref="F123:F127"/>
    <mergeCell ref="F135:F139"/>
    <mergeCell ref="F141:F145"/>
    <mergeCell ref="F147:F151"/>
    <mergeCell ref="F153:F157"/>
    <mergeCell ref="F189:F193"/>
    <mergeCell ref="F159:F163"/>
    <mergeCell ref="F165:F169"/>
    <mergeCell ref="F171:F175"/>
    <mergeCell ref="F177:F181"/>
    <mergeCell ref="F183:F187"/>
  </mergeCells>
  <dataValidations count="1">
    <dataValidation type="custom" showErrorMessage="1" errorTitle="Invalid Assumption" error="Assumption must be a number." sqref="I69:N130 J135:N194 J196:N196" xr:uid="{00000000-0002-0000-2200-000000000000}">
      <formula1>NOT(ISERROR(I69/1))</formula1>
    </dataValidation>
  </dataValidations>
  <hyperlinks>
    <hyperlink ref="B4" location="HL_Sheet_Main_14" tooltip="Go to Previous Sheet" display="ç" xr:uid="{00000000-0004-0000-2200-000000000000}"/>
    <hyperlink ref="C4" location="HL_Sheet_Main_16" tooltip="Go to Next Sheet" display="è" xr:uid="{00000000-0004-0000-2200-000001000000}"/>
    <hyperlink ref="A4" r:id="rId1" tooltip="Go to Top of Sheet" xr:uid="{00000000-0004-0000-2200-000002000000}"/>
    <hyperlink ref="B3" location="HL_Home" tooltip="Go to Table of Contents" display="Ir al índice" xr:uid="{00000000-0004-0000-2200-000003000000}"/>
    <hyperlink ref="A14" location="Outputs!A1" tooltip="Click to follow hyperlink." display="ï" xr:uid="{00000000-0004-0000-2200-000004000000}"/>
    <hyperlink ref="A46" location="Outputs!A1" tooltip="Click to follow hyperlink." display="ï" xr:uid="{00000000-0004-0000-2200-000005000000}"/>
    <hyperlink ref="A64" location="Outputs!A1" tooltip="Click to follow hyperlink." display="ï" xr:uid="{00000000-0004-0000-2200-000006000000}"/>
  </hyperlinks>
  <pageMargins left="0.4" right="0.4" top="0.6" bottom="1" header="0" footer="0.3"/>
  <pageSetup orientation="landscape" r:id="rId2"/>
  <headerFooter>
    <oddFooter>&amp;L&amp;F
&amp;A
Impreso: &amp;T en &amp;D&amp;C&amp;",Bold"Sheet 3.c.
Página &amp;P de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theme="4"/>
  </sheetPr>
  <dimension ref="A1:N219"/>
  <sheetViews>
    <sheetView showGridLines="0" workbookViewId="0">
      <pane ySplit="10" topLeftCell="A11" activePane="bottomLeft" state="frozen"/>
      <selection pane="bottomLeft" activeCell="G221" sqref="G221"/>
    </sheetView>
  </sheetViews>
  <sheetFormatPr defaultColWidth="11.75" defaultRowHeight="11.4" x14ac:dyDescent="0.2"/>
  <cols>
    <col min="1" max="5" width="3.75" customWidth="1"/>
    <col min="6" max="7" width="50.75" customWidth="1"/>
    <col min="8" max="14" width="20.625" customWidth="1"/>
  </cols>
  <sheetData>
    <row r="1" spans="1:14" ht="13.8" x14ac:dyDescent="0.2">
      <c r="B1" s="143" t="str">
        <f ca="1">IF(ISERROR(RIGHT(CELL("filename",$A$1),LEN(CELL("filename",$A$1))-FIND("]",CELL("filename",$A$1)))),"This workbook never saved",RIGHT(CELL("filename",$A$1),LEN(CELL("filename",$A$1))-FIND("]",CELL("filename",$A$1))))</f>
        <v>Summary_Financial_Gaps</v>
      </c>
    </row>
    <row r="2" spans="1:14" ht="13.2" x14ac:dyDescent="0.2">
      <c r="B2" s="5" t="str">
        <f>Model_Name</f>
        <v>Financial Gap Analysis Tool - País X (Datos de la muestra)</v>
      </c>
    </row>
    <row r="3" spans="1:14" x14ac:dyDescent="0.2">
      <c r="B3" s="425" t="s">
        <v>524</v>
      </c>
      <c r="C3" s="425"/>
      <c r="D3" s="425"/>
      <c r="E3" s="425"/>
      <c r="F3" s="425"/>
    </row>
    <row r="4" spans="1:14" x14ac:dyDescent="0.2">
      <c r="A4" s="6" t="s">
        <v>10</v>
      </c>
      <c r="B4" s="7" t="s">
        <v>2</v>
      </c>
      <c r="C4" s="8" t="s">
        <v>3</v>
      </c>
      <c r="D4" s="15"/>
      <c r="E4" s="16"/>
      <c r="F4" s="17"/>
    </row>
    <row r="6" spans="1:14" x14ac:dyDescent="0.2">
      <c r="B6" s="31" t="str">
        <f>"Year Ending "&amp;INDEX(LU_Ts_Mth_Names,DD_Ts_Fin_Yr_End_Mth)</f>
        <v>Year Ending diciembre</v>
      </c>
      <c r="C6" s="31"/>
      <c r="D6" s="31"/>
      <c r="E6" s="31"/>
      <c r="F6" s="31"/>
      <c r="G6" s="31"/>
      <c r="H6" s="31"/>
      <c r="I6" s="31"/>
      <c r="J6" s="32">
        <f t="shared" ref="J6:N6" si="0">J10</f>
        <v>2019</v>
      </c>
      <c r="K6" s="32">
        <f t="shared" si="0"/>
        <v>2020</v>
      </c>
      <c r="L6" s="32">
        <f t="shared" si="0"/>
        <v>2021</v>
      </c>
      <c r="M6" s="32">
        <f t="shared" si="0"/>
        <v>2022</v>
      </c>
      <c r="N6" s="32">
        <f t="shared" si="0"/>
        <v>2023</v>
      </c>
    </row>
    <row r="7" spans="1:14" hidden="1" x14ac:dyDescent="0.2">
      <c r="B7" s="19" t="s">
        <v>72</v>
      </c>
      <c r="J7" s="29">
        <f>EDATE(Ts_Start_Date,(J9-1)*Ts_Mths_In_Yr)</f>
        <v>43466</v>
      </c>
      <c r="K7" s="29">
        <f>EDATE(Ts_Start_Date,(K9-1)*Ts_Mths_In_Yr)</f>
        <v>43831</v>
      </c>
      <c r="L7" s="29">
        <f>EDATE(Ts_Start_Date,(L9-1)*Ts_Mths_In_Yr)</f>
        <v>44197</v>
      </c>
      <c r="M7" s="29">
        <f>EDATE(Ts_Start_Date,(M9-1)*Ts_Mths_In_Yr)</f>
        <v>44562</v>
      </c>
      <c r="N7" s="29">
        <f>EDATE(Ts_Start_Date,(N9-1)*Ts_Mths_In_Yr)</f>
        <v>44927</v>
      </c>
    </row>
    <row r="8" spans="1:14" hidden="1" x14ac:dyDescent="0.2">
      <c r="B8" s="19" t="s">
        <v>73</v>
      </c>
      <c r="J8" s="29">
        <f>EDATE(J7,Ts_Mths_In_Yr)-1</f>
        <v>43830</v>
      </c>
      <c r="K8" s="29">
        <f>EDATE(K7,Ts_Mths_In_Yr)-1</f>
        <v>44196</v>
      </c>
      <c r="L8" s="29">
        <f>EDATE(L7,Ts_Mths_In_Yr)-1</f>
        <v>44561</v>
      </c>
      <c r="M8" s="29">
        <f>EDATE(M7,Ts_Mths_In_Yr)-1</f>
        <v>44926</v>
      </c>
      <c r="N8" s="29">
        <f>EDATE(N7,Ts_Mths_In_Yr)-1</f>
        <v>45291</v>
      </c>
    </row>
    <row r="9" spans="1:14" hidden="1" x14ac:dyDescent="0.2">
      <c r="B9" s="19" t="s">
        <v>74</v>
      </c>
      <c r="J9" s="30">
        <f>COLUMNS($J9:J9)</f>
        <v>1</v>
      </c>
      <c r="K9" s="30">
        <f>COLUMNS($J9:K9)</f>
        <v>2</v>
      </c>
      <c r="L9" s="30">
        <f>COLUMNS($J9:L9)</f>
        <v>3</v>
      </c>
      <c r="M9" s="30">
        <f>COLUMNS($J9:M9)</f>
        <v>4</v>
      </c>
      <c r="N9" s="30">
        <f>COLUMNS($J9:N9)</f>
        <v>5</v>
      </c>
    </row>
    <row r="10" spans="1:14" hidden="1" x14ac:dyDescent="0.2">
      <c r="B10" s="33" t="s">
        <v>75</v>
      </c>
      <c r="C10" s="10"/>
      <c r="D10" s="10"/>
      <c r="E10" s="10"/>
      <c r="F10" s="10"/>
      <c r="G10" s="10"/>
      <c r="H10" s="10"/>
      <c r="I10" s="10"/>
      <c r="J10" s="34">
        <f t="shared" ref="J10:N10" si="1">YEAR(J8)</f>
        <v>2019</v>
      </c>
      <c r="K10" s="34">
        <f t="shared" si="1"/>
        <v>2020</v>
      </c>
      <c r="L10" s="34">
        <f t="shared" si="1"/>
        <v>2021</v>
      </c>
      <c r="M10" s="34">
        <f t="shared" si="1"/>
        <v>2022</v>
      </c>
      <c r="N10" s="34">
        <f t="shared" si="1"/>
        <v>2023</v>
      </c>
    </row>
    <row r="11" spans="1:14" collapsed="1" x14ac:dyDescent="0.2"/>
    <row r="12" spans="1:14" x14ac:dyDescent="0.2">
      <c r="A12" s="35" t="s">
        <v>77</v>
      </c>
      <c r="B12" s="1" t="s">
        <v>560</v>
      </c>
      <c r="C12" s="1"/>
      <c r="D12" s="1"/>
      <c r="E12" s="1"/>
      <c r="F12" s="1"/>
      <c r="G12" s="1"/>
      <c r="H12" s="1"/>
      <c r="I12" s="1"/>
      <c r="J12" s="1"/>
      <c r="K12" s="1"/>
      <c r="L12" s="1"/>
      <c r="M12" s="1"/>
      <c r="N12" s="1"/>
    </row>
    <row r="14" spans="1:14" ht="12" x14ac:dyDescent="0.2">
      <c r="I14" s="145" t="s">
        <v>106</v>
      </c>
      <c r="J14" s="56" t="str">
        <f>CURR_LCU_ABBR</f>
        <v>GOZ</v>
      </c>
      <c r="K14" s="56" t="str">
        <f>CURR_LCU_ABBR</f>
        <v>GOZ</v>
      </c>
      <c r="L14" s="56" t="str">
        <f>CURR_LCU_ABBR</f>
        <v>GOZ</v>
      </c>
      <c r="M14" s="56" t="str">
        <f>CURR_LCU_ABBR</f>
        <v>GOZ</v>
      </c>
      <c r="N14" s="56" t="str">
        <f>CURR_LCU_ABBR</f>
        <v>GOZ</v>
      </c>
    </row>
    <row r="15" spans="1:14" x14ac:dyDescent="0.2">
      <c r="F15" t="str">
        <f>"Total Financial Requirements ("&amp;CURR_LCU_ABBR&amp;")"</f>
        <v>Total Financial Requirements (GOZ)</v>
      </c>
      <c r="I15" s="386">
        <f>SUM(J15:N15)</f>
        <v>810943482412.15771</v>
      </c>
      <c r="J15" s="387">
        <f>Financial_Gap_Details!H237</f>
        <v>153833807089.67026</v>
      </c>
      <c r="K15" s="387">
        <f>Financial_Gap_Details!H392</f>
        <v>168494147533.5123</v>
      </c>
      <c r="L15" s="387">
        <f>Financial_Gap_Details!H547</f>
        <v>163356056589.58591</v>
      </c>
      <c r="M15" s="387">
        <f>Financial_Gap_Details!H702</f>
        <v>161504442571.84381</v>
      </c>
      <c r="N15" s="387">
        <f>Financial_Gap_Details!H857</f>
        <v>163755028627.54541</v>
      </c>
    </row>
    <row r="16" spans="1:14" x14ac:dyDescent="0.2">
      <c r="F16" t="str">
        <f>"Total Financing Available ("&amp;CURR_LCU_ABBR&amp;")"</f>
        <v>Total Financing Available (GOZ)</v>
      </c>
      <c r="I16" s="386">
        <f>SUM(J16:N16)</f>
        <v>437688081614.9812</v>
      </c>
      <c r="J16" s="387">
        <f>Financial_Gap_Details!J237</f>
        <v>98469704642.996246</v>
      </c>
      <c r="K16" s="387">
        <f>Financial_Gap_Details!J392</f>
        <v>142522818242.99625</v>
      </c>
      <c r="L16" s="387">
        <f>Financial_Gap_Details!J547</f>
        <v>95917779842.996246</v>
      </c>
      <c r="M16" s="387">
        <f>Financial_Gap_Details!J702</f>
        <v>50397889442.996246</v>
      </c>
      <c r="N16" s="387">
        <f>Financial_Gap_Details!J857</f>
        <v>50379889442.996246</v>
      </c>
    </row>
    <row r="17" spans="1:14" x14ac:dyDescent="0.2">
      <c r="I17" s="89"/>
    </row>
    <row r="18" spans="1:14" ht="12.6" thickBot="1" x14ac:dyDescent="0.25">
      <c r="F18" s="147" t="str">
        <f>"Financial Gap between Financial Requirements and Financiing Available ("&amp;CURR_LCU_ABBR&amp;")"</f>
        <v>Financial Gap between Financial Requirements and Financiing Available (GOZ)</v>
      </c>
      <c r="G18" s="92"/>
      <c r="H18" s="92"/>
      <c r="I18" s="388">
        <f>SUM(J18:N18)</f>
        <v>373255400797.17645</v>
      </c>
      <c r="J18" s="389">
        <f>J15-J16</f>
        <v>55364102446.674011</v>
      </c>
      <c r="K18" s="389">
        <f t="shared" ref="K18:N18" si="2">K15-K16</f>
        <v>25971329290.516052</v>
      </c>
      <c r="L18" s="389">
        <f t="shared" si="2"/>
        <v>67438276746.589661</v>
      </c>
      <c r="M18" s="389">
        <f t="shared" si="2"/>
        <v>111106553128.84756</v>
      </c>
      <c r="N18" s="389">
        <f t="shared" si="2"/>
        <v>113375139184.54916</v>
      </c>
    </row>
    <row r="19" spans="1:14" ht="12" thickTop="1" x14ac:dyDescent="0.2">
      <c r="I19" s="89"/>
      <c r="J19" s="52"/>
      <c r="K19" s="52"/>
      <c r="L19" s="52"/>
      <c r="M19" s="52"/>
      <c r="N19" s="52"/>
    </row>
    <row r="20" spans="1:14" ht="12.6" thickBot="1" x14ac:dyDescent="0.25">
      <c r="F20" s="146" t="s">
        <v>139</v>
      </c>
      <c r="G20" s="85"/>
      <c r="H20" s="85"/>
      <c r="I20" s="88">
        <f>I16/I15</f>
        <v>0.53972698604479141</v>
      </c>
      <c r="J20" s="87">
        <f>J16/J15</f>
        <v>0.64010445106905478</v>
      </c>
      <c r="K20" s="87">
        <f t="shared" ref="K20:N20" si="3">K16/K15</f>
        <v>0.84586212832495833</v>
      </c>
      <c r="L20" s="87">
        <f t="shared" si="3"/>
        <v>0.58717002506971072</v>
      </c>
      <c r="M20" s="87">
        <f t="shared" si="3"/>
        <v>0.31205265093916656</v>
      </c>
      <c r="N20" s="87">
        <f t="shared" si="3"/>
        <v>0.30765399917936803</v>
      </c>
    </row>
    <row r="21" spans="1:14" ht="12" x14ac:dyDescent="0.2">
      <c r="F21" s="72"/>
      <c r="G21" s="72"/>
      <c r="H21" s="72"/>
      <c r="I21" s="93"/>
      <c r="J21" s="93"/>
      <c r="K21" s="93"/>
      <c r="L21" s="93"/>
      <c r="M21" s="93"/>
      <c r="N21" s="93"/>
    </row>
    <row r="23" spans="1:14" ht="12" x14ac:dyDescent="0.2">
      <c r="I23" s="145" t="s">
        <v>106</v>
      </c>
      <c r="J23" s="56" t="str">
        <f>CURR_INT_ABBR</f>
        <v>USD</v>
      </c>
      <c r="K23" s="56" t="str">
        <f>CURR_INT_ABBR</f>
        <v>USD</v>
      </c>
      <c r="L23" s="56" t="str">
        <f>CURR_INT_ABBR</f>
        <v>USD</v>
      </c>
      <c r="M23" s="56" t="str">
        <f>CURR_INT_ABBR</f>
        <v>USD</v>
      </c>
      <c r="N23" s="56" t="str">
        <f>CURR_INT_ABBR</f>
        <v>USD</v>
      </c>
    </row>
    <row r="24" spans="1:14" ht="12" x14ac:dyDescent="0.2">
      <c r="F24" t="str">
        <f>"Total Financial Requirements ("&amp;CURR_INT_ABBR&amp;")"</f>
        <v>Total Financial Requirements (USD)</v>
      </c>
      <c r="I24" s="390">
        <f>SUM(J24:N24)</f>
        <v>243160045.34165624</v>
      </c>
      <c r="J24" s="391">
        <f>Financial_Gap_Details!J314</f>
        <v>54705391.468331248</v>
      </c>
      <c r="K24" s="391">
        <f>Financial_Gap_Details!J469</f>
        <v>79179343.468331248</v>
      </c>
      <c r="L24" s="391">
        <f>Financial_Gap_Details!J624</f>
        <v>53287655.468331248</v>
      </c>
      <c r="M24" s="391">
        <f>Financial_Gap_Details!J779</f>
        <v>27998827.468331248</v>
      </c>
      <c r="N24" s="391">
        <f>Financial_Gap_Details!J934</f>
        <v>27988827.468331248</v>
      </c>
    </row>
    <row r="25" spans="1:14" ht="12" x14ac:dyDescent="0.2">
      <c r="F25" t="str">
        <f>"Total Financing Available ("&amp;CURR_INT_ABBR&amp;")"</f>
        <v>Total Financing Available (USD)</v>
      </c>
      <c r="I25" s="392">
        <f>SUM(J25:N25)</f>
        <v>450524156.89564323</v>
      </c>
      <c r="J25" s="391">
        <f>Financial_Gap_Details!H314</f>
        <v>85463226.160927922</v>
      </c>
      <c r="K25" s="391">
        <f>Financial_Gap_Details!H469</f>
        <v>93607859.740840167</v>
      </c>
      <c r="L25" s="391">
        <f>Financial_Gap_Details!H624</f>
        <v>90753364.771992177</v>
      </c>
      <c r="M25" s="391">
        <f>Financial_Gap_Details!H779</f>
        <v>89724690.317691013</v>
      </c>
      <c r="N25" s="391">
        <f>Financial_Gap_Details!H934</f>
        <v>90975015.904191896</v>
      </c>
    </row>
    <row r="26" spans="1:14" ht="12" x14ac:dyDescent="0.2">
      <c r="I26" s="392"/>
      <c r="J26" s="391"/>
      <c r="K26" s="391"/>
      <c r="L26" s="391"/>
      <c r="M26" s="391"/>
      <c r="N26" s="391"/>
    </row>
    <row r="27" spans="1:14" ht="12.6" thickBot="1" x14ac:dyDescent="0.25">
      <c r="F27" s="147" t="s">
        <v>563</v>
      </c>
      <c r="G27" s="92"/>
      <c r="H27" s="92"/>
      <c r="I27" s="393">
        <f>SUM(J27:N27)</f>
        <v>207364111.55398691</v>
      </c>
      <c r="J27" s="394">
        <f>J25-J24</f>
        <v>30757834.692596674</v>
      </c>
      <c r="K27" s="394">
        <f t="shared" ref="K27:N27" si="4">K25-K24</f>
        <v>14428516.272508919</v>
      </c>
      <c r="L27" s="394">
        <f t="shared" si="4"/>
        <v>37465709.303660929</v>
      </c>
      <c r="M27" s="394">
        <f t="shared" si="4"/>
        <v>61725862.849359766</v>
      </c>
      <c r="N27" s="394">
        <f t="shared" si="4"/>
        <v>62986188.435860649</v>
      </c>
    </row>
    <row r="28" spans="1:14" ht="12" thickTop="1" x14ac:dyDescent="0.2">
      <c r="I28" s="75"/>
      <c r="J28" s="52"/>
      <c r="K28" s="52"/>
      <c r="L28" s="52"/>
      <c r="M28" s="52"/>
      <c r="N28" s="52"/>
    </row>
    <row r="29" spans="1:14" ht="12.6" thickBot="1" x14ac:dyDescent="0.25">
      <c r="F29" s="146" t="s">
        <v>139</v>
      </c>
      <c r="G29" s="85"/>
      <c r="H29" s="85"/>
      <c r="I29" s="88">
        <f>I24/I25</f>
        <v>0.53972698604479141</v>
      </c>
      <c r="J29" s="87">
        <f>J24/J25</f>
        <v>0.64010445106905478</v>
      </c>
      <c r="K29" s="87">
        <f t="shared" ref="K29:N29" si="5">K24/K25</f>
        <v>0.84586212832495833</v>
      </c>
      <c r="L29" s="87">
        <f t="shared" si="5"/>
        <v>0.58717002506971072</v>
      </c>
      <c r="M29" s="87">
        <f t="shared" si="5"/>
        <v>0.31205265093916651</v>
      </c>
      <c r="N29" s="87">
        <f t="shared" si="5"/>
        <v>0.30765399917936803</v>
      </c>
    </row>
    <row r="32" spans="1:14" x14ac:dyDescent="0.2">
      <c r="A32" s="35" t="s">
        <v>77</v>
      </c>
      <c r="B32" s="1" t="s">
        <v>561</v>
      </c>
      <c r="C32" s="1"/>
      <c r="D32" s="1"/>
      <c r="E32" s="1"/>
      <c r="F32" s="1"/>
      <c r="G32" s="1"/>
      <c r="H32" s="1"/>
      <c r="I32" s="1"/>
      <c r="J32" s="1"/>
      <c r="K32" s="1"/>
      <c r="L32" s="1"/>
      <c r="M32" s="1"/>
      <c r="N32" s="1"/>
    </row>
    <row r="35" spans="5:14" ht="17.399999999999999" x14ac:dyDescent="0.2">
      <c r="E35" s="95" t="str">
        <f>CURR_LCU_ABBR</f>
        <v>GOZ</v>
      </c>
    </row>
    <row r="38" spans="5:14" ht="12" x14ac:dyDescent="0.2">
      <c r="F38" s="136" t="s">
        <v>389</v>
      </c>
      <c r="G38" s="97"/>
      <c r="H38" s="97"/>
      <c r="I38" s="145" t="s">
        <v>106</v>
      </c>
      <c r="J38" s="56" t="str">
        <f>CURR_LCU_ABBR</f>
        <v>GOZ</v>
      </c>
      <c r="K38" s="56" t="str">
        <f>CURR_LCU_ABBR</f>
        <v>GOZ</v>
      </c>
      <c r="L38" s="56" t="str">
        <f>CURR_LCU_ABBR</f>
        <v>GOZ</v>
      </c>
      <c r="M38" s="56" t="str">
        <f>CURR_LCU_ABBR</f>
        <v>GOZ</v>
      </c>
      <c r="N38" s="56" t="str">
        <f>CURR_LCU_ABBR</f>
        <v>GOZ</v>
      </c>
    </row>
    <row r="39" spans="5:14" ht="22.8" x14ac:dyDescent="0.2">
      <c r="F39" s="94" t="str">
        <f>Strategy1</f>
        <v>Objetivo estratégico 1: Fortalecer la gobernanza de la nutrición</v>
      </c>
      <c r="I39" s="395">
        <f>Financial_Gap_Details!I18</f>
        <v>5197846920.5560303</v>
      </c>
      <c r="J39" s="110">
        <f>Financial_Gap_Details!I173</f>
        <v>1336319516.8912058</v>
      </c>
      <c r="K39" s="110">
        <f>Financial_Gap_Details!I328</f>
        <v>-58139813.108794093</v>
      </c>
      <c r="L39" s="110">
        <f>Financial_Gap_Details!I483</f>
        <v>1446068182.9912057</v>
      </c>
      <c r="M39" s="110">
        <f>Financial_Gap_Details!I638</f>
        <v>699373916.89120603</v>
      </c>
      <c r="N39" s="110">
        <f>Financial_Gap_Details!I793</f>
        <v>1774225116.891206</v>
      </c>
    </row>
    <row r="40" spans="5:14" ht="34.200000000000003" x14ac:dyDescent="0.2">
      <c r="F40" s="94" t="str">
        <f>Strategy2</f>
        <v>Objetivo estratégico 2: Fortalecer el acceso al tratamiento y a los servicios de salud y nutrición de calidad, así como al tratamiento de todas las formas de malnutrición</v>
      </c>
      <c r="I40" s="395">
        <f>Financial_Gap_Details!I25</f>
        <v>32319847605.31279</v>
      </c>
      <c r="J40" s="110">
        <f>Financial_Gap_Details!I180</f>
        <v>3381598980.4982386</v>
      </c>
      <c r="K40" s="110">
        <f>Financial_Gap_Details!I335</f>
        <v>2293783811.8537388</v>
      </c>
      <c r="L40" s="110">
        <f>Financial_Gap_Details!I490</f>
        <v>5272740561.7099371</v>
      </c>
      <c r="M40" s="110">
        <f>Financial_Gap_Details!I645</f>
        <v>10600020640.856136</v>
      </c>
      <c r="N40" s="110">
        <f>Financial_Gap_Details!I800</f>
        <v>10771703610.394737</v>
      </c>
    </row>
    <row r="41" spans="5:14" ht="34.200000000000003" x14ac:dyDescent="0.2">
      <c r="F41" s="94" t="str">
        <f>Strategy3</f>
        <v>Objetivo estratégico 3: Aumentar la disponibilidad y el acceso a alimentos nutritivos de alto valor, seguros y diversificados</v>
      </c>
      <c r="I41" s="395">
        <f>Financial_Gap_Details!I32</f>
        <v>214226015906.7709</v>
      </c>
      <c r="J41" s="110">
        <f>Financial_Gap_Details!I187</f>
        <v>34599795519.084778</v>
      </c>
      <c r="K41" s="110">
        <f>Financial_Gap_Details!I342</f>
        <v>5876282013.9182816</v>
      </c>
      <c r="L41" s="110">
        <f>Financial_Gap_Details!I497</f>
        <v>36102717996.576477</v>
      </c>
      <c r="M41" s="110">
        <f>Financial_Gap_Details!I652</f>
        <v>68355310940.594971</v>
      </c>
      <c r="N41" s="110">
        <f>Financial_Gap_Details!I807</f>
        <v>69291909436.596375</v>
      </c>
    </row>
    <row r="42" spans="5:14" ht="34.200000000000003" x14ac:dyDescent="0.2">
      <c r="F42" s="94" t="str">
        <f>Strategy4</f>
        <v>Objetivo estratégico 4: Fortalecer la protección social, la resiliencia de la respuesta a las emergencias y los desastres naturales.</v>
      </c>
      <c r="I42" s="395">
        <f>Financial_Gap_Details!I39</f>
        <v>97482372577.230652</v>
      </c>
      <c r="J42" s="110">
        <f>Financial_Gap_Details!I194</f>
        <v>18264925406.071892</v>
      </c>
      <c r="K42" s="110">
        <f>Financial_Gap_Details!I349</f>
        <v>11910423287.058287</v>
      </c>
      <c r="L42" s="110">
        <f>Financial_Gap_Details!I504</f>
        <v>18186106014.517487</v>
      </c>
      <c r="M42" s="110">
        <f>Financial_Gap_Details!I659</f>
        <v>24525232239.710686</v>
      </c>
      <c r="N42" s="110">
        <f>Financial_Gap_Details!I814</f>
        <v>24595685629.872288</v>
      </c>
    </row>
    <row r="43" spans="5:14" ht="22.8" x14ac:dyDescent="0.2">
      <c r="F43" s="94" t="str">
        <f>Strategy5</f>
        <v xml:space="preserve">Objetivo estratégico 5: Promoción de prácticas favorables a una nutrición óptima, de higiene y saneamiento básico. </v>
      </c>
      <c r="I43" s="395">
        <f>Financial_Gap_Details!I46</f>
        <v>24029317787.306087</v>
      </c>
      <c r="J43" s="110">
        <f>Financial_Gap_Details!I201</f>
        <v>-2218536975.8720856</v>
      </c>
      <c r="K43" s="110">
        <f>Financial_Gap_Details!I356</f>
        <v>5948979990.7945433</v>
      </c>
      <c r="L43" s="110">
        <f>Financial_Gap_Details!I511</f>
        <v>6430643990.7945442</v>
      </c>
      <c r="M43" s="110">
        <f>Financial_Gap_Details!I666</f>
        <v>6926615390.7945442</v>
      </c>
      <c r="N43" s="110">
        <f>Financial_Gap_Details!I821</f>
        <v>6941615390.7945442</v>
      </c>
    </row>
    <row r="44" spans="5:14" ht="12" x14ac:dyDescent="0.2">
      <c r="F44" s="94" t="str">
        <f>Strategy6</f>
        <v>Objetivo estratégico 6: [No está en uso]</v>
      </c>
      <c r="I44" s="395">
        <f>Financial_Gap_Details!I53</f>
        <v>0</v>
      </c>
      <c r="J44" s="110">
        <f>Financial_Gap_Details!I208</f>
        <v>0</v>
      </c>
      <c r="K44" s="110">
        <f>Financial_Gap_Details!I363</f>
        <v>0</v>
      </c>
      <c r="L44" s="110">
        <f>Financial_Gap_Details!I518</f>
        <v>0</v>
      </c>
      <c r="M44" s="110">
        <f>Financial_Gap_Details!I673</f>
        <v>0</v>
      </c>
      <c r="N44" s="110">
        <f>Financial_Gap_Details!I828</f>
        <v>0</v>
      </c>
    </row>
    <row r="45" spans="5:14" ht="12" x14ac:dyDescent="0.2">
      <c r="F45" s="94" t="str">
        <f>Strategy7</f>
        <v>Objetivo estratégico 7: [No está en uso]</v>
      </c>
      <c r="I45" s="395">
        <f>Financial_Gap_Details!I60</f>
        <v>0</v>
      </c>
      <c r="J45" s="110">
        <f>Financial_Gap_Details!I215</f>
        <v>0</v>
      </c>
      <c r="K45" s="110">
        <f>Financial_Gap_Details!I370</f>
        <v>0</v>
      </c>
      <c r="L45" s="110">
        <f>Financial_Gap_Details!I525</f>
        <v>0</v>
      </c>
      <c r="M45" s="110">
        <f>Financial_Gap_Details!I680</f>
        <v>0</v>
      </c>
      <c r="N45" s="110">
        <f>Financial_Gap_Details!I835</f>
        <v>0</v>
      </c>
    </row>
    <row r="46" spans="5:14" ht="12" x14ac:dyDescent="0.2">
      <c r="F46" s="94" t="str">
        <f>Strategy8</f>
        <v>Objetivo estratégico 8: [No está en uso]</v>
      </c>
      <c r="I46" s="395">
        <f>Financial_Gap_Details!I67</f>
        <v>0</v>
      </c>
      <c r="J46" s="110">
        <f>Financial_Gap_Details!I222</f>
        <v>0</v>
      </c>
      <c r="K46" s="110">
        <f>Financial_Gap_Details!I377</f>
        <v>0</v>
      </c>
      <c r="L46" s="110">
        <f>Financial_Gap_Details!I532</f>
        <v>0</v>
      </c>
      <c r="M46" s="110">
        <f>Financial_Gap_Details!I687</f>
        <v>0</v>
      </c>
      <c r="N46" s="110">
        <f>Financial_Gap_Details!I842</f>
        <v>0</v>
      </c>
    </row>
    <row r="47" spans="5:14" ht="12" x14ac:dyDescent="0.2">
      <c r="F47" s="94" t="str">
        <f>Strategy9</f>
        <v>Objetivo estratégico 9: [No está en uso]</v>
      </c>
      <c r="I47" s="395">
        <f>Financial_Gap_Details!I74</f>
        <v>0</v>
      </c>
      <c r="J47" s="110">
        <f>Financial_Gap_Details!I229</f>
        <v>0</v>
      </c>
      <c r="K47" s="110">
        <f>Financial_Gap_Details!I384</f>
        <v>0</v>
      </c>
      <c r="L47" s="110">
        <f>Financial_Gap_Details!I539</f>
        <v>0</v>
      </c>
      <c r="M47" s="110">
        <f>Financial_Gap_Details!I694</f>
        <v>0</v>
      </c>
      <c r="N47" s="110">
        <f>Financial_Gap_Details!I849</f>
        <v>0</v>
      </c>
    </row>
    <row r="48" spans="5:14" ht="12" x14ac:dyDescent="0.2">
      <c r="F48" s="94" t="str">
        <f>Strategy10</f>
        <v>Objetivo estratégico 10: [No está en uso]</v>
      </c>
      <c r="I48" s="395">
        <f>Financial_Gap_Details!I81</f>
        <v>0</v>
      </c>
      <c r="J48" s="110">
        <f>Financial_Gap_Details!I236</f>
        <v>0</v>
      </c>
      <c r="K48" s="110">
        <f>Financial_Gap_Details!I391</f>
        <v>0</v>
      </c>
      <c r="L48" s="110">
        <f>Financial_Gap_Details!I546</f>
        <v>0</v>
      </c>
      <c r="M48" s="110">
        <f>Financial_Gap_Details!I701</f>
        <v>0</v>
      </c>
      <c r="N48" s="110">
        <f>Financial_Gap_Details!I856</f>
        <v>0</v>
      </c>
    </row>
    <row r="49" spans="5:14" ht="12" x14ac:dyDescent="0.2">
      <c r="F49" s="142" t="str">
        <f>"Total "&amp;" ("&amp;E35&amp;")"</f>
        <v>Total  (GOZ)</v>
      </c>
      <c r="I49" s="107">
        <f>Financial_Gap_Details!I82</f>
        <v>373255400797.17645</v>
      </c>
      <c r="J49" s="107">
        <f>Financial_Gap_Details!I237</f>
        <v>55364102446.674026</v>
      </c>
      <c r="K49" s="107">
        <f>Financial_Gap_Details!I392</f>
        <v>25971329290.516056</v>
      </c>
      <c r="L49" s="107">
        <f>Financial_Gap_Details!I547</f>
        <v>67438276746.589645</v>
      </c>
      <c r="M49" s="107">
        <f>Financial_Gap_Details!I702</f>
        <v>111106553128.84755</v>
      </c>
      <c r="N49" s="107">
        <f>Financial_Gap_Details!I857</f>
        <v>113375139184.54915</v>
      </c>
    </row>
    <row r="50" spans="5:14" x14ac:dyDescent="0.2">
      <c r="J50" s="384"/>
      <c r="K50" s="384"/>
      <c r="L50" s="384"/>
      <c r="M50" s="384"/>
      <c r="N50" s="384"/>
    </row>
    <row r="52" spans="5:14" ht="17.399999999999999" x14ac:dyDescent="0.2">
      <c r="E52" s="95" t="str">
        <f>CURR_INT_ABBR</f>
        <v>USD</v>
      </c>
    </row>
    <row r="55" spans="5:14" ht="12" x14ac:dyDescent="0.2">
      <c r="F55" s="136" t="s">
        <v>389</v>
      </c>
      <c r="I55" s="145" t="s">
        <v>106</v>
      </c>
      <c r="J55" s="56" t="str">
        <f>CURR_INT_ABBR</f>
        <v>USD</v>
      </c>
      <c r="K55" s="56" t="str">
        <f>CURR_INT_ABBR</f>
        <v>USD</v>
      </c>
      <c r="L55" s="56" t="str">
        <f>CURR_INT_ABBR</f>
        <v>USD</v>
      </c>
      <c r="M55" s="56" t="str">
        <f>CURR_INT_ABBR</f>
        <v>USD</v>
      </c>
      <c r="N55" s="56" t="str">
        <f>CURR_INT_ABBR</f>
        <v>USD</v>
      </c>
    </row>
    <row r="56" spans="5:14" ht="22.8" x14ac:dyDescent="0.2">
      <c r="F56" s="94" t="str">
        <f>Strategy1</f>
        <v>Objetivo estratégico 1: Fortalecer la gobernanza de la nutrición</v>
      </c>
      <c r="I56" s="111">
        <f t="shared" ref="I56:I65" si="6">SUM(J56:N56)</f>
        <v>2887692.7336422387</v>
      </c>
      <c r="J56" s="112">
        <f t="shared" ref="J56:N65" si="7">J39/EXCHANGE_RATE</f>
        <v>742399.73160622548</v>
      </c>
      <c r="K56" s="112">
        <f t="shared" si="7"/>
        <v>-32299.896171552275</v>
      </c>
      <c r="L56" s="112">
        <f t="shared" si="7"/>
        <v>803371.21277289209</v>
      </c>
      <c r="M56" s="112">
        <f t="shared" si="7"/>
        <v>388541.06493955891</v>
      </c>
      <c r="N56" s="112">
        <f t="shared" si="7"/>
        <v>985680.62049511448</v>
      </c>
    </row>
    <row r="57" spans="5:14" ht="34.200000000000003" x14ac:dyDescent="0.2">
      <c r="F57" s="94" t="str">
        <f>Strategy2</f>
        <v>Objetivo estratégico 2: Fortalecer el acceso al tratamiento y a los servicios de salud y nutrición de calidad, así como al tratamiento de todas las formas de malnutrición</v>
      </c>
      <c r="I57" s="111">
        <f t="shared" si="6"/>
        <v>17955470.891840436</v>
      </c>
      <c r="J57" s="112">
        <f t="shared" si="7"/>
        <v>1878666.1002767992</v>
      </c>
      <c r="K57" s="112">
        <f t="shared" si="7"/>
        <v>1274324.3399187438</v>
      </c>
      <c r="L57" s="112">
        <f t="shared" si="7"/>
        <v>2929300.3120610761</v>
      </c>
      <c r="M57" s="112">
        <f t="shared" si="7"/>
        <v>5888900.3560311869</v>
      </c>
      <c r="N57" s="112">
        <f t="shared" si="7"/>
        <v>5984279.7835526317</v>
      </c>
    </row>
    <row r="58" spans="5:14" ht="34.200000000000003" x14ac:dyDescent="0.2">
      <c r="F58" s="94" t="str">
        <f>Strategy3</f>
        <v>Objetivo estratégico 3: Aumentar la disponibilidad y el acceso a alimentos nutritivos de alto valor, seguros y diversificados</v>
      </c>
      <c r="I58" s="111">
        <f t="shared" si="6"/>
        <v>119014453.28153938</v>
      </c>
      <c r="J58" s="112">
        <f t="shared" si="7"/>
        <v>19222108.621713765</v>
      </c>
      <c r="K58" s="112">
        <f t="shared" si="7"/>
        <v>3264601.1188434898</v>
      </c>
      <c r="L58" s="112">
        <f t="shared" si="7"/>
        <v>20057065.553653598</v>
      </c>
      <c r="M58" s="112">
        <f t="shared" si="7"/>
        <v>37975172.744774982</v>
      </c>
      <c r="N58" s="112">
        <f t="shared" si="7"/>
        <v>38495505.24255354</v>
      </c>
    </row>
    <row r="59" spans="5:14" ht="34.200000000000003" x14ac:dyDescent="0.2">
      <c r="F59" s="94" t="str">
        <f>Strategy4</f>
        <v>Objetivo estratégico 4: Fortalecer la protección social, la resiliencia de la respuesta a las emergencias y los desastres naturales.</v>
      </c>
      <c r="I59" s="111">
        <f t="shared" si="6"/>
        <v>54156873.654017016</v>
      </c>
      <c r="J59" s="112">
        <f t="shared" si="7"/>
        <v>10147180.781151051</v>
      </c>
      <c r="K59" s="112">
        <f t="shared" si="7"/>
        <v>6616901.8261434929</v>
      </c>
      <c r="L59" s="112">
        <f t="shared" si="7"/>
        <v>10103392.230287492</v>
      </c>
      <c r="M59" s="112">
        <f t="shared" si="7"/>
        <v>13625129.022061491</v>
      </c>
      <c r="N59" s="112">
        <f t="shared" si="7"/>
        <v>13664269.794373494</v>
      </c>
    </row>
    <row r="60" spans="5:14" ht="22.8" x14ac:dyDescent="0.2">
      <c r="F60" s="94" t="str">
        <f>Strategy5</f>
        <v xml:space="preserve">Objetivo estratégico 5: Promoción de prácticas favorables a una nutrición óptima, de higiene y saneamiento básico. </v>
      </c>
      <c r="I60" s="111">
        <f t="shared" si="6"/>
        <v>13349620.992947828</v>
      </c>
      <c r="J60" s="112">
        <f t="shared" si="7"/>
        <v>-1232520.5421511587</v>
      </c>
      <c r="K60" s="112">
        <f t="shared" si="7"/>
        <v>3304988.8837747462</v>
      </c>
      <c r="L60" s="112">
        <f t="shared" si="7"/>
        <v>3572579.9948858577</v>
      </c>
      <c r="M60" s="112">
        <f t="shared" si="7"/>
        <v>3848119.6615525247</v>
      </c>
      <c r="N60" s="112">
        <f t="shared" si="7"/>
        <v>3856452.9948858577</v>
      </c>
    </row>
    <row r="61" spans="5:14" x14ac:dyDescent="0.2">
      <c r="F61" s="94" t="str">
        <f>Strategy6</f>
        <v>Objetivo estratégico 6: [No está en uso]</v>
      </c>
      <c r="I61" s="111">
        <f t="shared" si="6"/>
        <v>0</v>
      </c>
      <c r="J61" s="112">
        <f t="shared" si="7"/>
        <v>0</v>
      </c>
      <c r="K61" s="112">
        <f t="shared" si="7"/>
        <v>0</v>
      </c>
      <c r="L61" s="112">
        <f t="shared" si="7"/>
        <v>0</v>
      </c>
      <c r="M61" s="112">
        <f t="shared" si="7"/>
        <v>0</v>
      </c>
      <c r="N61" s="112">
        <f t="shared" si="7"/>
        <v>0</v>
      </c>
    </row>
    <row r="62" spans="5:14" x14ac:dyDescent="0.2">
      <c r="F62" s="94" t="str">
        <f>Strategy7</f>
        <v>Objetivo estratégico 7: [No está en uso]</v>
      </c>
      <c r="I62" s="111">
        <f t="shared" si="6"/>
        <v>0</v>
      </c>
      <c r="J62" s="112">
        <f t="shared" si="7"/>
        <v>0</v>
      </c>
      <c r="K62" s="112">
        <f t="shared" si="7"/>
        <v>0</v>
      </c>
      <c r="L62" s="112">
        <f t="shared" si="7"/>
        <v>0</v>
      </c>
      <c r="M62" s="112">
        <f t="shared" si="7"/>
        <v>0</v>
      </c>
      <c r="N62" s="112">
        <f t="shared" si="7"/>
        <v>0</v>
      </c>
    </row>
    <row r="63" spans="5:14" x14ac:dyDescent="0.2">
      <c r="F63" s="94" t="str">
        <f>Strategy8</f>
        <v>Objetivo estratégico 8: [No está en uso]</v>
      </c>
      <c r="I63" s="111">
        <f t="shared" si="6"/>
        <v>0</v>
      </c>
      <c r="J63" s="112">
        <f t="shared" si="7"/>
        <v>0</v>
      </c>
      <c r="K63" s="112">
        <f t="shared" si="7"/>
        <v>0</v>
      </c>
      <c r="L63" s="112">
        <f t="shared" si="7"/>
        <v>0</v>
      </c>
      <c r="M63" s="112">
        <f t="shared" si="7"/>
        <v>0</v>
      </c>
      <c r="N63" s="112">
        <f t="shared" si="7"/>
        <v>0</v>
      </c>
    </row>
    <row r="64" spans="5:14" x14ac:dyDescent="0.2">
      <c r="F64" s="94" t="str">
        <f>Strategy9</f>
        <v>Objetivo estratégico 9: [No está en uso]</v>
      </c>
      <c r="I64" s="111">
        <f t="shared" si="6"/>
        <v>0</v>
      </c>
      <c r="J64" s="112">
        <f t="shared" si="7"/>
        <v>0</v>
      </c>
      <c r="K64" s="112">
        <f t="shared" si="7"/>
        <v>0</v>
      </c>
      <c r="L64" s="112">
        <f t="shared" si="7"/>
        <v>0</v>
      </c>
      <c r="M64" s="112">
        <f t="shared" si="7"/>
        <v>0</v>
      </c>
      <c r="N64" s="112">
        <f t="shared" si="7"/>
        <v>0</v>
      </c>
    </row>
    <row r="65" spans="1:14" x14ac:dyDescent="0.2">
      <c r="F65" s="94" t="str">
        <f>Strategy10</f>
        <v>Objetivo estratégico 10: [No está en uso]</v>
      </c>
      <c r="I65" s="111">
        <f t="shared" si="6"/>
        <v>0</v>
      </c>
      <c r="J65" s="112">
        <f t="shared" si="7"/>
        <v>0</v>
      </c>
      <c r="K65" s="112">
        <f t="shared" si="7"/>
        <v>0</v>
      </c>
      <c r="L65" s="112">
        <f t="shared" si="7"/>
        <v>0</v>
      </c>
      <c r="M65" s="112">
        <f t="shared" si="7"/>
        <v>0</v>
      </c>
      <c r="N65" s="112">
        <f t="shared" si="7"/>
        <v>0</v>
      </c>
    </row>
    <row r="66" spans="1:14" ht="12" x14ac:dyDescent="0.2">
      <c r="F66" s="142" t="str">
        <f>"Total "&amp;" ("&amp;E52&amp;")"</f>
        <v>Total  (USD)</v>
      </c>
      <c r="I66" s="108">
        <f>SUM(I56:I60)</f>
        <v>207364111.55398691</v>
      </c>
      <c r="J66" s="109">
        <f>SUM(J56:J65)</f>
        <v>30757834.692596681</v>
      </c>
      <c r="K66" s="109">
        <f t="shared" ref="K66:N66" si="8">SUM(K56:K65)</f>
        <v>14428516.272508919</v>
      </c>
      <c r="L66" s="109">
        <f t="shared" si="8"/>
        <v>37465709.303660914</v>
      </c>
      <c r="M66" s="109">
        <f t="shared" si="8"/>
        <v>61725862.849359743</v>
      </c>
      <c r="N66" s="109">
        <f t="shared" si="8"/>
        <v>62986188.435860641</v>
      </c>
    </row>
    <row r="69" spans="1:14" x14ac:dyDescent="0.2">
      <c r="A69" s="35" t="s">
        <v>77</v>
      </c>
      <c r="B69" s="1" t="s">
        <v>564</v>
      </c>
      <c r="C69" s="1"/>
      <c r="D69" s="1"/>
      <c r="E69" s="1"/>
      <c r="F69" s="1"/>
      <c r="G69" s="1"/>
      <c r="H69" s="1"/>
      <c r="I69" s="1"/>
      <c r="J69" s="1"/>
      <c r="K69" s="1"/>
      <c r="L69" s="1"/>
      <c r="M69" s="1"/>
      <c r="N69" s="1"/>
    </row>
    <row r="71" spans="1:14" ht="12" x14ac:dyDescent="0.2">
      <c r="F71" s="148" t="str">
        <f>"Gap - "&amp;CURR_LCU_ABBR</f>
        <v>Gap - GOZ</v>
      </c>
    </row>
    <row r="72" spans="1:14" ht="12" x14ac:dyDescent="0.2">
      <c r="H72" s="136" t="s">
        <v>548</v>
      </c>
      <c r="I72" s="145" t="s">
        <v>106</v>
      </c>
      <c r="J72" s="330" t="str">
        <f>CURR_LCU_ABBR</f>
        <v>GOZ</v>
      </c>
      <c r="K72" s="56" t="str">
        <f>CURR_LCU_ABBR</f>
        <v>GOZ</v>
      </c>
      <c r="L72" s="56" t="str">
        <f>CURR_LCU_ABBR</f>
        <v>GOZ</v>
      </c>
      <c r="M72" s="56" t="str">
        <f>CURR_LCU_ABBR</f>
        <v>GOZ</v>
      </c>
      <c r="N72" s="56" t="str">
        <f>CURR_LCU_ABBR</f>
        <v>GOZ</v>
      </c>
    </row>
    <row r="73" spans="1:14" ht="12" x14ac:dyDescent="0.2">
      <c r="F73" t="str">
        <f>Lu_Nutrition_Specific</f>
        <v>Nutrition-specific</v>
      </c>
      <c r="H73" s="289">
        <f ca="1">I73/$I$76</f>
        <v>0.4096653073830312</v>
      </c>
      <c r="I73" s="68">
        <f ca="1">SUM(J73:N73)</f>
        <v>152909788499.95178</v>
      </c>
      <c r="J73" s="325">
        <f ca="1">SUMIF(Financial_Gap_Details!$G$168:$G$235,$F73,Financial_Gap_Details!$I$168:$I$235)</f>
        <v>16200327366.674416</v>
      </c>
      <c r="K73" s="325">
        <f ca="1">SUMIF(Financial_Gap_Details!$G$323:$G$390,$F73,Financial_Gap_Details!$I$323:$I$390)</f>
        <v>-5833996633.2364759</v>
      </c>
      <c r="L73" s="325">
        <f ca="1">SUMIF(Financial_Gap_Details!$G$478:$G$545,$F73,Financial_Gap_Details!$I$478:$I$545)</f>
        <v>25042265642.969551</v>
      </c>
      <c r="M73" s="325">
        <f ca="1">SUMIF(Financial_Gap_Details!$G$633:$G$700,$F73,Financial_Gap_Details!$I$633:$I$700)</f>
        <v>58433734317.871735</v>
      </c>
      <c r="N73" s="325">
        <f ca="1">SUMIF(Financial_Gap_Details!$G$788:$G$855,$F73,Financial_Gap_Details!$I$788:$I$855)</f>
        <v>59067457805.672577</v>
      </c>
    </row>
    <row r="74" spans="1:14" ht="12" x14ac:dyDescent="0.2">
      <c r="F74" t="str">
        <f>Lu_Nutrition_Sensitive</f>
        <v>Nutrition-sensitive</v>
      </c>
      <c r="H74" s="289">
        <f t="shared" ref="H74:H75" ca="1" si="9">I74/$I$76</f>
        <v>0.57640898140299912</v>
      </c>
      <c r="I74" s="69">
        <f t="shared" ref="I74:I75" ca="1" si="10">SUM(J74:N74)</f>
        <v>215147765376.66861</v>
      </c>
      <c r="J74" s="325">
        <f ca="1">SUMIF(Financial_Gap_Details!$G$168:$G$235,$F74,Financial_Gap_Details!$I$168:$I$235)</f>
        <v>37827455563.108398</v>
      </c>
      <c r="K74" s="325">
        <f ca="1">SUMIF(Financial_Gap_Details!$G$323:$G$390,$F74,Financial_Gap_Details!$I$323:$I$390)</f>
        <v>31863465736.861328</v>
      </c>
      <c r="L74" s="325">
        <f ca="1">SUMIF(Financial_Gap_Details!$G$478:$G$545,$F74,Financial_Gap_Details!$I$478:$I$545)</f>
        <v>40949942920.628891</v>
      </c>
      <c r="M74" s="325">
        <f ca="1">SUMIF(Financial_Gap_Details!$G$633:$G$700,$F74,Financial_Gap_Details!$I$633:$I$700)</f>
        <v>51973444894.08461</v>
      </c>
      <c r="N74" s="325">
        <f ca="1">SUMIF(Financial_Gap_Details!$G$788:$G$855,$F74,Financial_Gap_Details!$I$788:$I$855)</f>
        <v>52533456261.985382</v>
      </c>
    </row>
    <row r="75" spans="1:14" ht="12" x14ac:dyDescent="0.2">
      <c r="F75" t="str">
        <f>Lu_Governance</f>
        <v>Governance</v>
      </c>
      <c r="H75" s="289">
        <f t="shared" ca="1" si="9"/>
        <v>1.3925711213969794E-2</v>
      </c>
      <c r="I75" s="396">
        <f t="shared" ca="1" si="10"/>
        <v>5197846920.5560293</v>
      </c>
      <c r="J75" s="325">
        <f ca="1">SUMIF(Financial_Gap_Details!$G$168:$G$235,$F75,Financial_Gap_Details!$I$168:$I$235)</f>
        <v>1336319516.8912058</v>
      </c>
      <c r="K75" s="325">
        <f ca="1">SUMIF(Financial_Gap_Details!$G$323:$G$390,$F75,Financial_Gap_Details!$I$323:$I$390)</f>
        <v>-58139813.108794093</v>
      </c>
      <c r="L75" s="325">
        <f ca="1">SUMIF(Financial_Gap_Details!$G$478:$G$545,$F75,Financial_Gap_Details!$I$478:$I$545)</f>
        <v>1446068182.9912057</v>
      </c>
      <c r="M75" s="325">
        <f ca="1">SUMIF(Financial_Gap_Details!$G$633:$G$700,$F75,Financial_Gap_Details!$I$633:$I$700)</f>
        <v>699373916.89120603</v>
      </c>
      <c r="N75" s="325">
        <f ca="1">SUMIF(Financial_Gap_Details!$G$788:$G$855,$F75,Financial_Gap_Details!$I$788:$I$855)</f>
        <v>1774225116.891206</v>
      </c>
    </row>
    <row r="76" spans="1:14" ht="12" x14ac:dyDescent="0.2">
      <c r="F76" s="324" t="str">
        <f>"TOTAL - Gap ("&amp;CURR_LCU_ABBR&amp;")"</f>
        <v>TOTAL - Gap (GOZ)</v>
      </c>
      <c r="G76" s="74"/>
      <c r="H76" s="291">
        <f ca="1">SUM(H73:H75)</f>
        <v>1</v>
      </c>
      <c r="I76" s="57">
        <f ca="1">SUM(I73:I75)</f>
        <v>373255400797.17639</v>
      </c>
      <c r="J76" s="55">
        <f ca="1">SUM(J73:J75)</f>
        <v>55364102446.674019</v>
      </c>
      <c r="K76" s="55">
        <f t="shared" ref="K76:N76" ca="1" si="11">SUM(K73:K75)</f>
        <v>25971329290.516056</v>
      </c>
      <c r="L76" s="55">
        <f t="shared" ca="1" si="11"/>
        <v>67438276746.589645</v>
      </c>
      <c r="M76" s="55">
        <f t="shared" ca="1" si="11"/>
        <v>111106553128.84755</v>
      </c>
      <c r="N76" s="55">
        <f t="shared" ca="1" si="11"/>
        <v>113375139184.54916</v>
      </c>
    </row>
    <row r="79" spans="1:14" ht="12" x14ac:dyDescent="0.2">
      <c r="F79" s="148" t="str">
        <f>"Gap - "&amp;CURR_INT_ABBR</f>
        <v>Gap - USD</v>
      </c>
    </row>
    <row r="80" spans="1:14" ht="12" x14ac:dyDescent="0.2">
      <c r="F80" s="148"/>
      <c r="H80" s="136" t="s">
        <v>548</v>
      </c>
      <c r="I80" s="145" t="s">
        <v>106</v>
      </c>
      <c r="J80" s="56" t="str">
        <f>CURR_INT_ABBR</f>
        <v>USD</v>
      </c>
      <c r="K80" s="56" t="str">
        <f>CURR_INT_ABBR</f>
        <v>USD</v>
      </c>
      <c r="L80" s="56" t="str">
        <f>CURR_INT_ABBR</f>
        <v>USD</v>
      </c>
      <c r="M80" s="56" t="str">
        <f>CURR_INT_ABBR</f>
        <v>USD</v>
      </c>
      <c r="N80" s="56" t="str">
        <f>CURR_INT_ABBR</f>
        <v>USD</v>
      </c>
    </row>
    <row r="81" spans="1:14" ht="12" x14ac:dyDescent="0.2">
      <c r="F81" t="str">
        <f>Lu_Nutrition_Specific</f>
        <v>Nutrition-specific</v>
      </c>
      <c r="H81" s="289">
        <f ca="1">I81/$I$84</f>
        <v>0.4096653073830312</v>
      </c>
      <c r="I81" s="295">
        <f t="shared" ref="I81:N84" ca="1" si="12">I73/EXCHANGE_RATE</f>
        <v>84949882.499973208</v>
      </c>
      <c r="J81" s="329">
        <f t="shared" ca="1" si="12"/>
        <v>9000181.8703746758</v>
      </c>
      <c r="K81" s="329">
        <f t="shared" ca="1" si="12"/>
        <v>-3241109.2406869312</v>
      </c>
      <c r="L81" s="329">
        <f t="shared" ca="1" si="12"/>
        <v>13912369.801649751</v>
      </c>
      <c r="M81" s="329">
        <f t="shared" ca="1" si="12"/>
        <v>32463185.732150964</v>
      </c>
      <c r="N81" s="329">
        <f t="shared" ca="1" si="12"/>
        <v>32815254.336484764</v>
      </c>
    </row>
    <row r="82" spans="1:14" ht="12" x14ac:dyDescent="0.2">
      <c r="F82" t="str">
        <f>Lu_Nutrition_Sensitive</f>
        <v>Nutrition-sensitive</v>
      </c>
      <c r="H82" s="289">
        <f t="shared" ref="H82:H83" ca="1" si="13">I82/$I$84</f>
        <v>0.57640898140299912</v>
      </c>
      <c r="I82" s="120">
        <f t="shared" ca="1" si="12"/>
        <v>119526536.32037145</v>
      </c>
      <c r="J82" s="329">
        <f t="shared" ca="1" si="12"/>
        <v>21015253.090615775</v>
      </c>
      <c r="K82" s="329">
        <f t="shared" ca="1" si="12"/>
        <v>17701925.409367405</v>
      </c>
      <c r="L82" s="329">
        <f t="shared" ca="1" si="12"/>
        <v>22749968.289238274</v>
      </c>
      <c r="M82" s="329">
        <f t="shared" ca="1" si="12"/>
        <v>28874136.052269228</v>
      </c>
      <c r="N82" s="329">
        <f t="shared" ca="1" si="12"/>
        <v>29185253.478880767</v>
      </c>
    </row>
    <row r="83" spans="1:14" ht="12" x14ac:dyDescent="0.2">
      <c r="F83" t="str">
        <f>Lu_Governance</f>
        <v>Governance</v>
      </c>
      <c r="H83" s="289">
        <f t="shared" ca="1" si="13"/>
        <v>1.3925711213969795E-2</v>
      </c>
      <c r="I83" s="120">
        <f t="shared" ca="1" si="12"/>
        <v>2887692.7336422387</v>
      </c>
      <c r="J83" s="329">
        <f t="shared" ca="1" si="12"/>
        <v>742399.73160622548</v>
      </c>
      <c r="K83" s="329">
        <f t="shared" ca="1" si="12"/>
        <v>-32299.896171552275</v>
      </c>
      <c r="L83" s="329">
        <f t="shared" ca="1" si="12"/>
        <v>803371.21277289209</v>
      </c>
      <c r="M83" s="329">
        <f t="shared" ca="1" si="12"/>
        <v>388541.06493955891</v>
      </c>
      <c r="N83" s="329">
        <f t="shared" ca="1" si="12"/>
        <v>985680.62049511448</v>
      </c>
    </row>
    <row r="84" spans="1:14" ht="12" x14ac:dyDescent="0.2">
      <c r="F84" s="324" t="str">
        <f>"TOTAL - Gap ("&amp;CURR_INT_ABBR&amp;")"</f>
        <v>TOTAL - Gap (USD)</v>
      </c>
      <c r="G84" s="74"/>
      <c r="H84" s="291">
        <f ca="1">SUM(H81:H83)</f>
        <v>1.0000000000000002</v>
      </c>
      <c r="I84" s="295">
        <f t="shared" ca="1" si="12"/>
        <v>207364111.55398688</v>
      </c>
      <c r="J84" s="122">
        <f t="shared" ca="1" si="12"/>
        <v>30757834.692596678</v>
      </c>
      <c r="K84" s="122">
        <f t="shared" ca="1" si="12"/>
        <v>14428516.272508919</v>
      </c>
      <c r="L84" s="122">
        <f t="shared" ca="1" si="12"/>
        <v>37465709.303660914</v>
      </c>
      <c r="M84" s="122">
        <f t="shared" ca="1" si="12"/>
        <v>61725862.849359751</v>
      </c>
      <c r="N84" s="122">
        <f t="shared" ca="1" si="12"/>
        <v>62986188.435860649</v>
      </c>
    </row>
    <row r="87" spans="1:14" x14ac:dyDescent="0.2">
      <c r="A87" s="35" t="s">
        <v>77</v>
      </c>
      <c r="B87" s="1" t="s">
        <v>562</v>
      </c>
      <c r="C87" s="1"/>
      <c r="D87" s="1"/>
      <c r="E87" s="1"/>
      <c r="F87" s="1"/>
      <c r="G87" s="1"/>
      <c r="H87" s="1"/>
      <c r="I87" s="1"/>
      <c r="J87" s="1"/>
      <c r="K87" s="1"/>
      <c r="L87" s="1"/>
      <c r="M87" s="1"/>
      <c r="N87" s="1"/>
    </row>
    <row r="89" spans="1:14" ht="15.6" x14ac:dyDescent="0.2">
      <c r="E89" s="86" t="str">
        <f>CURR_LCU_ABBR</f>
        <v>GOZ</v>
      </c>
    </row>
    <row r="91" spans="1:14" ht="12" x14ac:dyDescent="0.2">
      <c r="F91" s="1" t="s">
        <v>389</v>
      </c>
      <c r="G91" s="1" t="s">
        <v>399</v>
      </c>
      <c r="H91" s="1" t="s">
        <v>387</v>
      </c>
      <c r="I91" s="297" t="s">
        <v>106</v>
      </c>
      <c r="J91" s="298" t="str">
        <f>CURR_LCU_ABBR</f>
        <v>GOZ</v>
      </c>
      <c r="K91" s="298" t="str">
        <f>CURR_LCU_ABBR</f>
        <v>GOZ</v>
      </c>
      <c r="L91" s="298" t="str">
        <f>CURR_LCU_ABBR</f>
        <v>GOZ</v>
      </c>
      <c r="M91" s="298" t="str">
        <f>CURR_LCU_ABBR</f>
        <v>GOZ</v>
      </c>
      <c r="N91" s="298" t="str">
        <f>CURR_LCU_ABBR</f>
        <v>GOZ</v>
      </c>
    </row>
    <row r="92" spans="1:14" ht="22.8" x14ac:dyDescent="0.2">
      <c r="F92" s="447" t="str">
        <f>Strategy1</f>
        <v>Objetivo estratégico 1: Fortalecer la gobernanza de la nutrición</v>
      </c>
      <c r="G92" s="42" t="str">
        <f>STRAT1_IND1</f>
        <v>Se refuerza la coordinación multisectorial en materia de nutrición</v>
      </c>
      <c r="H92" s="260" t="str">
        <f ca="1">OFFSET(Variables_Lu!$D$10,Basic_Setup!H34,0)</f>
        <v>Governance</v>
      </c>
      <c r="I92" s="306">
        <f>SUM(J92:N92)</f>
        <v>-1365272669.8609929</v>
      </c>
      <c r="J92" s="283">
        <f>Financial_Gap_Details!I168</f>
        <v>-292711170.77719855</v>
      </c>
      <c r="K92" s="283">
        <f>Financial_Gap_Details!I323</f>
        <v>-1026379753.2771986</v>
      </c>
      <c r="L92" s="283">
        <f>Financial_Gap_Details!I478</f>
        <v>-242751504.25219858</v>
      </c>
      <c r="M92" s="283">
        <f>Financial_Gap_Details!I633</f>
        <v>-39446520.777198493</v>
      </c>
      <c r="N92" s="283">
        <f>Financial_Gap_Details!I788</f>
        <v>236016279.22280151</v>
      </c>
    </row>
    <row r="93" spans="1:14" ht="34.200000000000003" x14ac:dyDescent="0.2">
      <c r="F93" s="447"/>
      <c r="G93" s="42" t="str">
        <f>STRAT1_IND2</f>
        <v>Está en funcionamiento el sistema multisectorial de información sobre nutrición para la adopción de decisiones eficaces.</v>
      </c>
      <c r="H93" s="260" t="str">
        <f ca="1">OFFSET(Variables_Lu!$D$10,Basic_Setup!H35,0)</f>
        <v>Governance</v>
      </c>
      <c r="I93" s="306">
        <f t="shared" ref="I93:I97" si="14">SUM(J93:N93)</f>
        <v>2150026530.1390076</v>
      </c>
      <c r="J93" s="283">
        <f>Financial_Gap_Details!I169</f>
        <v>523450229.22280151</v>
      </c>
      <c r="K93" s="283">
        <f>Financial_Gap_Details!I324</f>
        <v>303186646.72280151</v>
      </c>
      <c r="L93" s="283">
        <f>Financial_Gap_Details!I479</f>
        <v>563419895.74780142</v>
      </c>
      <c r="M93" s="283">
        <f>Financial_Gap_Details!I634</f>
        <v>246753479.22280151</v>
      </c>
      <c r="N93" s="283">
        <f>Financial_Gap_Details!I789</f>
        <v>513216279.22280151</v>
      </c>
    </row>
    <row r="94" spans="1:14" ht="22.8" x14ac:dyDescent="0.2">
      <c r="F94" s="447"/>
      <c r="G94" s="42" t="str">
        <f>STRAT1_IND3</f>
        <v>La investigación en nutrición se utiliza para aclarar que la toma de decisiones se mejora y se refuerza.</v>
      </c>
      <c r="H94" s="260" t="str">
        <f ca="1">OFFSET(Variables_Lu!$D$10,Basic_Setup!H36,0)</f>
        <v>Governance</v>
      </c>
      <c r="I94" s="306">
        <f t="shared" si="14"/>
        <v>2202946530.1390071</v>
      </c>
      <c r="J94" s="283">
        <f>Financial_Gap_Details!I170</f>
        <v>552070229.22280145</v>
      </c>
      <c r="K94" s="283">
        <f>Financial_Gap_Details!I325</f>
        <v>331806646.72280151</v>
      </c>
      <c r="L94" s="283">
        <f>Financial_Gap_Details!I480</f>
        <v>561979895.74780142</v>
      </c>
      <c r="M94" s="283">
        <f>Financial_Gap_Details!I635</f>
        <v>245313479.22280151</v>
      </c>
      <c r="N94" s="283">
        <f>Financial_Gap_Details!I790</f>
        <v>511776279.22280151</v>
      </c>
    </row>
    <row r="95" spans="1:14" ht="22.8" x14ac:dyDescent="0.2">
      <c r="F95" s="447"/>
      <c r="G95" s="41" t="str">
        <f>STRAT1_IND4</f>
        <v>El marco legislativo y reglamentario de la nutrición se ha fortalecido y está en funcionamiento.</v>
      </c>
      <c r="H95" s="260" t="str">
        <f ca="1">OFFSET(Variables_Lu!$D$10,Basic_Setup!H37,0)</f>
        <v>Governance</v>
      </c>
      <c r="I95" s="306">
        <f t="shared" si="14"/>
        <v>2210146530.1390071</v>
      </c>
      <c r="J95" s="283">
        <f>Financial_Gap_Details!I171</f>
        <v>553510229.22280145</v>
      </c>
      <c r="K95" s="283">
        <f>Financial_Gap_Details!I326</f>
        <v>333246646.72280151</v>
      </c>
      <c r="L95" s="283">
        <f>Financial_Gap_Details!I481</f>
        <v>563419895.74780142</v>
      </c>
      <c r="M95" s="283">
        <f>Financial_Gap_Details!I636</f>
        <v>246753479.22280151</v>
      </c>
      <c r="N95" s="283">
        <f>Financial_Gap_Details!I791</f>
        <v>513216279.22280151</v>
      </c>
    </row>
    <row r="96" spans="1:14" ht="12" x14ac:dyDescent="0.2">
      <c r="F96" s="448"/>
      <c r="G96" s="41" t="str">
        <f>STRAT1_IND5</f>
        <v>Objetivo estratégico 1 Indicador 5</v>
      </c>
      <c r="H96" s="260" t="str">
        <f ca="1">OFFSET(Variables_Lu!$D$10,Basic_Setup!H38,0)</f>
        <v>Governance</v>
      </c>
      <c r="I96" s="306">
        <f t="shared" si="14"/>
        <v>0</v>
      </c>
      <c r="J96" s="283">
        <f>Financial_Gap_Details!I172</f>
        <v>0</v>
      </c>
      <c r="K96" s="283">
        <f>Financial_Gap_Details!I327</f>
        <v>0</v>
      </c>
      <c r="L96" s="283">
        <f>Financial_Gap_Details!I482</f>
        <v>0</v>
      </c>
      <c r="M96" s="283">
        <f>Financial_Gap_Details!I637</f>
        <v>0</v>
      </c>
      <c r="N96" s="283">
        <f>Financial_Gap_Details!I792</f>
        <v>0</v>
      </c>
    </row>
    <row r="97" spans="6:14" ht="12" x14ac:dyDescent="0.2">
      <c r="F97" s="38"/>
      <c r="G97" s="38"/>
      <c r="H97" s="152" t="s">
        <v>538</v>
      </c>
      <c r="I97" s="311">
        <f t="shared" si="14"/>
        <v>5197846920.5560293</v>
      </c>
      <c r="J97" s="312">
        <f>SUM(J92:J96)</f>
        <v>1336319516.8912058</v>
      </c>
      <c r="K97" s="312">
        <f t="shared" ref="K97:N97" si="15">SUM(K92:K96)</f>
        <v>-58139813.108794093</v>
      </c>
      <c r="L97" s="312">
        <f t="shared" si="15"/>
        <v>1446068182.9912057</v>
      </c>
      <c r="M97" s="312">
        <f t="shared" si="15"/>
        <v>699373916.89120603</v>
      </c>
      <c r="N97" s="312">
        <f t="shared" si="15"/>
        <v>1774225116.891206</v>
      </c>
    </row>
    <row r="98" spans="6:14" ht="45.6" x14ac:dyDescent="0.2">
      <c r="F98" s="447" t="str">
        <f>Strategy2</f>
        <v>Objetivo estratégico 2: Fortalecer el acceso al tratamiento y a los servicios de salud y nutrición de calidad, así como al tratamiento de todas las formas de malnutrición</v>
      </c>
      <c r="G98" s="42" t="str">
        <f>STRAT2_IND1</f>
        <v>Se fortalece el acceso y la utilización sostenible de los servicios de salud y nutrición para los niños menores de 5 años, los adolescentes, las mujeres embarazadas y lactantes, y los demás grupos vulnerables</v>
      </c>
      <c r="H98" s="260" t="str">
        <f ca="1">OFFSET(Variables_Lu!$D$10,Basic_Setup!H40,0)</f>
        <v>Nutrition-specific</v>
      </c>
      <c r="I98" s="306">
        <f>SUM(J98:N98)</f>
        <v>-3921955264.8957367</v>
      </c>
      <c r="J98" s="283">
        <f>Financial_Gap_Details!I175</f>
        <v>-1498967639.8339205</v>
      </c>
      <c r="K98" s="283">
        <f>Financial_Gap_Details!I330</f>
        <v>-29308596.048753738</v>
      </c>
      <c r="L98" s="283">
        <f>Financial_Gap_Details!I485</f>
        <v>-880587112.7633543</v>
      </c>
      <c r="M98" s="283">
        <f>Financial_Gap_Details!I640</f>
        <v>-783659786.38128757</v>
      </c>
      <c r="N98" s="283">
        <f>Financial_Gap_Details!I795</f>
        <v>-729432129.8684206</v>
      </c>
    </row>
    <row r="99" spans="6:14" ht="45.6" x14ac:dyDescent="0.2">
      <c r="F99" s="447"/>
      <c r="G99" s="42" t="str">
        <f>STRAT2_IND2</f>
        <v xml:space="preserve">Se reduce la prevalencia de enfermedades relacionadas con la prevalencia de la malnutrición (paludismo, diarrea, neumonía, parásitos intestinales, VIH, TNM) en lactantes, adolescentes y mujeres en edad reproductiva. </v>
      </c>
      <c r="H99" s="260" t="str">
        <f ca="1">OFFSET(Variables_Lu!$D$10,Basic_Setup!H41,0)</f>
        <v>Nutrition-sensitive</v>
      </c>
      <c r="I99" s="306">
        <f t="shared" ref="I99:I103" si="16">SUM(J99:N99)</f>
        <v>11309758135.104263</v>
      </c>
      <c r="J99" s="283">
        <f>Financial_Gap_Details!I176</f>
        <v>610534260.16607952</v>
      </c>
      <c r="K99" s="283">
        <f>Financial_Gap_Details!I331</f>
        <v>-3425598996.0487537</v>
      </c>
      <c r="L99" s="283">
        <f>Financial_Gap_Details!I486</f>
        <v>1246914787.2366457</v>
      </c>
      <c r="M99" s="283">
        <f>Financial_Gap_Details!I641</f>
        <v>6407340213.6187124</v>
      </c>
      <c r="N99" s="283">
        <f>Financial_Gap_Details!I796</f>
        <v>6470567870.1315794</v>
      </c>
    </row>
    <row r="100" spans="6:14" ht="22.8" x14ac:dyDescent="0.2">
      <c r="F100" s="447"/>
      <c r="G100" s="42" t="str">
        <f>STRAT2_IND3</f>
        <v>Se refuerzan las intervenciones comunitarias en materia de nutrición.</v>
      </c>
      <c r="H100" s="260" t="str">
        <f ca="1">OFFSET(Variables_Lu!$D$10,Basic_Setup!H42,0)</f>
        <v>Nutrition-specific</v>
      </c>
      <c r="I100" s="306">
        <f t="shared" si="16"/>
        <v>24932044735.104263</v>
      </c>
      <c r="J100" s="283">
        <f>Financial_Gap_Details!I177</f>
        <v>4270032360.1660795</v>
      </c>
      <c r="K100" s="283">
        <f>Financial_Gap_Details!I332</f>
        <v>5748691403.9512463</v>
      </c>
      <c r="L100" s="283">
        <f>Financial_Gap_Details!I487</f>
        <v>4906412887.2366457</v>
      </c>
      <c r="M100" s="283">
        <f>Financial_Gap_Details!I642</f>
        <v>4976340213.6187124</v>
      </c>
      <c r="N100" s="283">
        <f>Financial_Gap_Details!I797</f>
        <v>5030567870.1315794</v>
      </c>
    </row>
    <row r="101" spans="6:14" ht="12" x14ac:dyDescent="0.2">
      <c r="F101" s="447"/>
      <c r="G101" s="41" t="str">
        <f>STRAT2_IND4</f>
        <v>Objetivo estratégico 2 Indicador 4</v>
      </c>
      <c r="H101" s="260" t="str">
        <f ca="1">OFFSET(Variables_Lu!$D$10,Basic_Setup!H43,0)</f>
        <v>Nutrition-specific</v>
      </c>
      <c r="I101" s="306">
        <f t="shared" si="16"/>
        <v>0</v>
      </c>
      <c r="J101" s="283">
        <f>Financial_Gap_Details!I178</f>
        <v>0</v>
      </c>
      <c r="K101" s="283">
        <f>Financial_Gap_Details!I333</f>
        <v>0</v>
      </c>
      <c r="L101" s="283">
        <f>Financial_Gap_Details!I488</f>
        <v>0</v>
      </c>
      <c r="M101" s="283">
        <f>Financial_Gap_Details!I643</f>
        <v>0</v>
      </c>
      <c r="N101" s="283">
        <f>Financial_Gap_Details!I798</f>
        <v>0</v>
      </c>
    </row>
    <row r="102" spans="6:14" ht="12" x14ac:dyDescent="0.2">
      <c r="F102" s="448"/>
      <c r="G102" s="41" t="str">
        <f>STRAT2_IND5</f>
        <v>Objetivo estratégico 2 Indicador 5</v>
      </c>
      <c r="H102" s="260" t="str">
        <f ca="1">OFFSET(Variables_Lu!$D$10,Basic_Setup!H44,0)</f>
        <v>Nutrition-specific</v>
      </c>
      <c r="I102" s="306">
        <f t="shared" si="16"/>
        <v>0</v>
      </c>
      <c r="J102" s="283">
        <f>Financial_Gap_Details!I179</f>
        <v>0</v>
      </c>
      <c r="K102" s="283">
        <f>Financial_Gap_Details!I334</f>
        <v>0</v>
      </c>
      <c r="L102" s="283">
        <f>Financial_Gap_Details!I489</f>
        <v>0</v>
      </c>
      <c r="M102" s="283">
        <f>Financial_Gap_Details!I644</f>
        <v>0</v>
      </c>
      <c r="N102" s="283">
        <f>Financial_Gap_Details!I799</f>
        <v>0</v>
      </c>
    </row>
    <row r="103" spans="6:14" ht="12" x14ac:dyDescent="0.2">
      <c r="F103" s="38"/>
      <c r="G103" s="38"/>
      <c r="H103" s="152" t="s">
        <v>539</v>
      </c>
      <c r="I103" s="311">
        <f t="shared" si="16"/>
        <v>32319847605.31279</v>
      </c>
      <c r="J103" s="312">
        <f>SUM(J98:J102)</f>
        <v>3381598980.4982386</v>
      </c>
      <c r="K103" s="312">
        <f t="shared" ref="K103" si="17">SUM(K98:K102)</f>
        <v>2293783811.8537388</v>
      </c>
      <c r="L103" s="312">
        <f t="shared" ref="L103" si="18">SUM(L98:L102)</f>
        <v>5272740561.7099371</v>
      </c>
      <c r="M103" s="312">
        <f t="shared" ref="M103" si="19">SUM(M98:M102)</f>
        <v>10600020640.856136</v>
      </c>
      <c r="N103" s="312">
        <f t="shared" ref="N103" si="20">SUM(N98:N102)</f>
        <v>10771703610.394737</v>
      </c>
    </row>
    <row r="104" spans="6:14" ht="22.8" x14ac:dyDescent="0.2">
      <c r="F104" s="447" t="str">
        <f>Strategy3</f>
        <v>Objetivo estratégico 3: Aumentar la disponibilidad y el acceso a alimentos nutritivos de alto valor, seguros y diversificados</v>
      </c>
      <c r="G104" s="42" t="str">
        <f>STRAT3_IND1</f>
        <v xml:space="preserve">Aumenta la disponibilidad y el acceso a alimentos de alto valor nutritivo en los hogares. </v>
      </c>
      <c r="H104" s="260" t="str">
        <f ca="1">OFFSET(Variables_Lu!$D$10,Basic_Setup!H46,0)</f>
        <v>Nutrition-specific</v>
      </c>
      <c r="I104" s="306">
        <f>SUM(J104:N104)</f>
        <v>36898941853.385445</v>
      </c>
      <c r="J104" s="283">
        <f>Financial_Gap_Details!I182</f>
        <v>-680167240.45761108</v>
      </c>
      <c r="K104" s="283">
        <f>Financial_Gap_Details!I337</f>
        <v>-31057405093.040855</v>
      </c>
      <c r="L104" s="283">
        <f>Financial_Gap_Details!I492</f>
        <v>937903998.28823853</v>
      </c>
      <c r="M104" s="283">
        <f>Financial_Gap_Details!I647</f>
        <v>33615155470.297485</v>
      </c>
      <c r="N104" s="283">
        <f>Financial_Gap_Details!I802</f>
        <v>34083454718.298187</v>
      </c>
    </row>
    <row r="105" spans="6:14" ht="22.8" x14ac:dyDescent="0.2">
      <c r="F105" s="447"/>
      <c r="G105" s="42" t="str">
        <f>STRAT3_IND2</f>
        <v xml:space="preserve"> La seguridad alimentaria está garantizada para toda la nación.</v>
      </c>
      <c r="H105" s="260" t="str">
        <f ca="1">OFFSET(Variables_Lu!$D$10,Basic_Setup!H47,0)</f>
        <v>Nutrition-sensitive</v>
      </c>
      <c r="I105" s="306">
        <f t="shared" ref="I105:I109" si="21">SUM(J105:N105)</f>
        <v>177327074053.38544</v>
      </c>
      <c r="J105" s="283">
        <f>Financial_Gap_Details!I183</f>
        <v>35279962759.542389</v>
      </c>
      <c r="K105" s="283">
        <f>Financial_Gap_Details!I338</f>
        <v>36933687106.959137</v>
      </c>
      <c r="L105" s="283">
        <f>Financial_Gap_Details!I493</f>
        <v>35164813998.288239</v>
      </c>
      <c r="M105" s="283">
        <f>Financial_Gap_Details!I648</f>
        <v>34740155470.297485</v>
      </c>
      <c r="N105" s="283">
        <f>Financial_Gap_Details!I803</f>
        <v>35208454718.298187</v>
      </c>
    </row>
    <row r="106" spans="6:14" ht="12" x14ac:dyDescent="0.2">
      <c r="F106" s="447"/>
      <c r="G106" s="42" t="str">
        <f>STRAT3_IND3</f>
        <v>Objetivo estratégico 3 Indicador 3</v>
      </c>
      <c r="H106" s="260" t="str">
        <f ca="1">OFFSET(Variables_Lu!$D$10,Basic_Setup!H48,0)</f>
        <v>Nutrition-specific</v>
      </c>
      <c r="I106" s="306">
        <f t="shared" si="21"/>
        <v>0</v>
      </c>
      <c r="J106" s="283">
        <f>Financial_Gap_Details!I184</f>
        <v>0</v>
      </c>
      <c r="K106" s="283">
        <f>Financial_Gap_Details!I339</f>
        <v>0</v>
      </c>
      <c r="L106" s="283">
        <f>Financial_Gap_Details!I494</f>
        <v>0</v>
      </c>
      <c r="M106" s="283">
        <f>Financial_Gap_Details!I649</f>
        <v>0</v>
      </c>
      <c r="N106" s="283">
        <f>Financial_Gap_Details!I804</f>
        <v>0</v>
      </c>
    </row>
    <row r="107" spans="6:14" ht="12" x14ac:dyDescent="0.2">
      <c r="F107" s="447"/>
      <c r="G107" s="41" t="str">
        <f>STRAT3_IND4</f>
        <v>Objetivo estratégico 3 Indicador 4</v>
      </c>
      <c r="H107" s="260" t="str">
        <f ca="1">OFFSET(Variables_Lu!$D$10,Basic_Setup!H49,0)</f>
        <v>Nutrition-specific</v>
      </c>
      <c r="I107" s="306">
        <f t="shared" si="21"/>
        <v>0</v>
      </c>
      <c r="J107" s="283">
        <f>Financial_Gap_Details!I185</f>
        <v>0</v>
      </c>
      <c r="K107" s="283">
        <f>Financial_Gap_Details!I340</f>
        <v>0</v>
      </c>
      <c r="L107" s="283">
        <f>Financial_Gap_Details!I495</f>
        <v>0</v>
      </c>
      <c r="M107" s="283">
        <f>Financial_Gap_Details!I650</f>
        <v>0</v>
      </c>
      <c r="N107" s="283">
        <f>Financial_Gap_Details!I805</f>
        <v>0</v>
      </c>
    </row>
    <row r="108" spans="6:14" ht="12" x14ac:dyDescent="0.2">
      <c r="F108" s="448"/>
      <c r="G108" s="41" t="str">
        <f>STRAT3_IND5</f>
        <v>Objetivo estratégico 3 Indicador 5</v>
      </c>
      <c r="H108" s="260" t="str">
        <f ca="1">OFFSET(Variables_Lu!$D$10,Basic_Setup!H50,0)</f>
        <v>Nutrition-specific</v>
      </c>
      <c r="I108" s="306">
        <f t="shared" si="21"/>
        <v>0</v>
      </c>
      <c r="J108" s="283">
        <f>Financial_Gap_Details!I186</f>
        <v>0</v>
      </c>
      <c r="K108" s="283">
        <f>Financial_Gap_Details!I341</f>
        <v>0</v>
      </c>
      <c r="L108" s="283">
        <f>Financial_Gap_Details!I496</f>
        <v>0</v>
      </c>
      <c r="M108" s="283">
        <f>Financial_Gap_Details!I651</f>
        <v>0</v>
      </c>
      <c r="N108" s="283">
        <f>Financial_Gap_Details!I806</f>
        <v>0</v>
      </c>
    </row>
    <row r="109" spans="6:14" ht="12" x14ac:dyDescent="0.2">
      <c r="H109" s="152" t="s">
        <v>540</v>
      </c>
      <c r="I109" s="311">
        <f t="shared" si="21"/>
        <v>214226015906.77087</v>
      </c>
      <c r="J109" s="312">
        <f>SUM(J104:J108)</f>
        <v>34599795519.084778</v>
      </c>
      <c r="K109" s="312">
        <f t="shared" ref="K109" si="22">SUM(K104:K108)</f>
        <v>5876282013.9182816</v>
      </c>
      <c r="L109" s="312">
        <f t="shared" ref="L109" si="23">SUM(L104:L108)</f>
        <v>36102717996.576477</v>
      </c>
      <c r="M109" s="312">
        <f t="shared" ref="M109" si="24">SUM(M104:M108)</f>
        <v>68355310940.594971</v>
      </c>
      <c r="N109" s="312">
        <f t="shared" ref="N109" si="25">SUM(N104:N108)</f>
        <v>69291909436.596375</v>
      </c>
    </row>
    <row r="110" spans="6:14" ht="34.200000000000003" x14ac:dyDescent="0.2">
      <c r="F110" s="447" t="str">
        <f>Strategy4</f>
        <v>Objetivo estratégico 4: Fortalecer la protección social, la resiliencia de la respuesta a las emergencias y los desastres naturales.</v>
      </c>
      <c r="G110" s="42" t="str">
        <f>STRAT4_IND1</f>
        <v xml:space="preserve">Se garantiza la protección social de los niños menores de 5 años, los adolescentes, FE/FA y otros grupos vulnerables. </v>
      </c>
      <c r="H110" s="260" t="str">
        <f ca="1">OFFSET(Variables_Lu!$D$10,Basic_Setup!H52,0)</f>
        <v>Nutrition-sensitive</v>
      </c>
      <c r="I110" s="306">
        <f>SUM(J110:N110)</f>
        <v>13855582592.41021</v>
      </c>
      <c r="J110" s="283">
        <f>Financial_Gap_Details!I189</f>
        <v>1529055468.69063</v>
      </c>
      <c r="K110" s="283">
        <f>Financial_Gap_Details!I344</f>
        <v>-4723454504.3139057</v>
      </c>
      <c r="L110" s="283">
        <f>Financial_Gap_Details!I499</f>
        <v>1480342338.1724949</v>
      </c>
      <c r="M110" s="283">
        <f>Financial_Gap_Details!I654</f>
        <v>7773077413.2368946</v>
      </c>
      <c r="N110" s="283">
        <f>Financial_Gap_Details!I809</f>
        <v>7796561876.6240959</v>
      </c>
    </row>
    <row r="111" spans="6:14" ht="34.200000000000003" x14ac:dyDescent="0.2">
      <c r="F111" s="447"/>
      <c r="G111" s="42" t="str">
        <f>STRAT4_IND2</f>
        <v xml:space="preserve">Se fortalece la capacidad de resiliencia y el estado nutricional de las poblaciones vulnerables, incluidos los niños de las zonas desfavorecidas.  </v>
      </c>
      <c r="H111" s="260" t="str">
        <f ca="1">OFFSET(Variables_Lu!$D$10,Basic_Setup!H53,0)</f>
        <v>Nutrition-specific</v>
      </c>
      <c r="I111" s="306">
        <f t="shared" ref="I111:I115" si="26">SUM(J111:N111)</f>
        <v>42801684992.410217</v>
      </c>
      <c r="J111" s="283">
        <f>Financial_Gap_Details!I190</f>
        <v>8541274968.69063</v>
      </c>
      <c r="K111" s="283">
        <f>Financial_Gap_Details!I345</f>
        <v>8510888895.6860962</v>
      </c>
      <c r="L111" s="283">
        <f>Financial_Gap_Details!I500</f>
        <v>8559881838.1724949</v>
      </c>
      <c r="M111" s="283">
        <f>Financial_Gap_Details!I655</f>
        <v>8583077413.2368946</v>
      </c>
      <c r="N111" s="283">
        <f>Financial_Gap_Details!I810</f>
        <v>8606561876.6240959</v>
      </c>
    </row>
    <row r="112" spans="6:14" ht="34.200000000000003" x14ac:dyDescent="0.2">
      <c r="F112" s="447"/>
      <c r="G112" s="42" t="str">
        <f>STRAT4_IND3</f>
        <v xml:space="preserve"> Se introducen eficazmente intervenciones para emergencias y catástrofes naturales integrales de la nutrición.</v>
      </c>
      <c r="H112" s="260" t="str">
        <f ca="1">OFFSET(Variables_Lu!$D$10,Basic_Setup!H54,0)</f>
        <v>Nutrition-specific</v>
      </c>
      <c r="I112" s="306">
        <f t="shared" si="26"/>
        <v>40825104992.410217</v>
      </c>
      <c r="J112" s="283">
        <f>Financial_Gap_Details!I191</f>
        <v>8194594968.69063</v>
      </c>
      <c r="K112" s="283">
        <f>Financial_Gap_Details!I346</f>
        <v>8122988895.6860962</v>
      </c>
      <c r="L112" s="283">
        <f>Financial_Gap_Details!I501</f>
        <v>8145881838.1724949</v>
      </c>
      <c r="M112" s="283">
        <f>Financial_Gap_Details!I656</f>
        <v>8169077413.2368946</v>
      </c>
      <c r="N112" s="283">
        <f>Financial_Gap_Details!I811</f>
        <v>8192561876.6240959</v>
      </c>
    </row>
    <row r="113" spans="6:14" ht="12" x14ac:dyDescent="0.2">
      <c r="F113" s="447"/>
      <c r="G113" s="41" t="str">
        <f>STRAT4_IND4</f>
        <v>Objetivo estratégico 4 Indicador 4</v>
      </c>
      <c r="H113" s="260" t="str">
        <f ca="1">OFFSET(Variables_Lu!$D$10,Basic_Setup!H55,0)</f>
        <v>Nutrition-specific</v>
      </c>
      <c r="I113" s="306">
        <f t="shared" si="26"/>
        <v>0</v>
      </c>
      <c r="J113" s="283">
        <f>Financial_Gap_Details!I192</f>
        <v>0</v>
      </c>
      <c r="K113" s="283">
        <f>Financial_Gap_Details!I347</f>
        <v>0</v>
      </c>
      <c r="L113" s="283">
        <f>Financial_Gap_Details!I502</f>
        <v>0</v>
      </c>
      <c r="M113" s="283">
        <f>Financial_Gap_Details!I657</f>
        <v>0</v>
      </c>
      <c r="N113" s="283">
        <f>Financial_Gap_Details!I812</f>
        <v>0</v>
      </c>
    </row>
    <row r="114" spans="6:14" ht="12" x14ac:dyDescent="0.2">
      <c r="F114" s="448"/>
      <c r="G114" s="41" t="str">
        <f>STRAT4_IND5</f>
        <v>Objetivo estratégico 4 Indicador 5</v>
      </c>
      <c r="H114" s="260" t="str">
        <f ca="1">OFFSET(Variables_Lu!$D$10,Basic_Setup!H56,0)</f>
        <v>Nutrition-specific</v>
      </c>
      <c r="I114" s="306">
        <f t="shared" si="26"/>
        <v>0</v>
      </c>
      <c r="J114" s="283">
        <f>Financial_Gap_Details!I193</f>
        <v>0</v>
      </c>
      <c r="K114" s="283">
        <f>Financial_Gap_Details!I348</f>
        <v>0</v>
      </c>
      <c r="L114" s="283">
        <f>Financial_Gap_Details!I503</f>
        <v>0</v>
      </c>
      <c r="M114" s="283">
        <f>Financial_Gap_Details!I658</f>
        <v>0</v>
      </c>
      <c r="N114" s="283">
        <f>Financial_Gap_Details!I813</f>
        <v>0</v>
      </c>
    </row>
    <row r="115" spans="6:14" ht="12" x14ac:dyDescent="0.2">
      <c r="H115" s="152" t="s">
        <v>541</v>
      </c>
      <c r="I115" s="311">
        <f t="shared" si="26"/>
        <v>97482372577.230637</v>
      </c>
      <c r="J115" s="312">
        <f>SUM(J110:J114)</f>
        <v>18264925406.071892</v>
      </c>
      <c r="K115" s="312">
        <f t="shared" ref="K115" si="27">SUM(K110:K114)</f>
        <v>11910423287.058287</v>
      </c>
      <c r="L115" s="312">
        <f t="shared" ref="L115" si="28">SUM(L110:L114)</f>
        <v>18186106014.517487</v>
      </c>
      <c r="M115" s="312">
        <f t="shared" ref="M115" si="29">SUM(M110:M114)</f>
        <v>24525232239.710686</v>
      </c>
      <c r="N115" s="312">
        <f t="shared" ref="N115" si="30">SUM(N110:N114)</f>
        <v>24595685629.872288</v>
      </c>
    </row>
    <row r="116" spans="6:14" ht="34.200000000000003" x14ac:dyDescent="0.2">
      <c r="F116" s="447" t="str">
        <f>Strategy5</f>
        <v xml:space="preserve">Objetivo estratégico 5: Promoción de prácticas favorables a una nutrición óptima, de higiene y saneamiento básico. </v>
      </c>
      <c r="G116" s="42" t="str">
        <f>STRAT5_IND1</f>
        <v>Se mejoran las prácticas nutricionales favorables para los niños menores de 5 años, los adolescentes, las mujeres embarazadas y lactantes, y otros grupos vulnerables.</v>
      </c>
      <c r="H116" s="260" t="str">
        <f ca="1">OFFSET(Variables_Lu!$D$10,Basic_Setup!H58,0)</f>
        <v>Nutrition-specific</v>
      </c>
      <c r="I116" s="306">
        <f>SUM(J116:N116)</f>
        <v>-3376763404.2313032</v>
      </c>
      <c r="J116" s="283">
        <f>Financial_Gap_Details!I196</f>
        <v>-3432863125.2906952</v>
      </c>
      <c r="K116" s="283">
        <f>Financial_Gap_Details!I351</f>
        <v>-609544269.73515224</v>
      </c>
      <c r="L116" s="283">
        <f>Financial_Gap_Details!I506</f>
        <v>-117099603.06848526</v>
      </c>
      <c r="M116" s="283">
        <f>Financial_Gap_Details!I661</f>
        <v>388871796.93151474</v>
      </c>
      <c r="N116" s="283">
        <f>Financial_Gap_Details!I816</f>
        <v>393871796.93151474</v>
      </c>
    </row>
    <row r="117" spans="6:14" ht="22.8" x14ac:dyDescent="0.2">
      <c r="F117" s="447"/>
      <c r="G117" s="42" t="str">
        <f>STRAT5_IND2</f>
        <v>Se promueven dietas saludables y estilos de vida saludables para las personas.</v>
      </c>
      <c r="H117" s="260" t="str">
        <f ca="1">OFFSET(Variables_Lu!$D$10,Basic_Setup!H59,0)</f>
        <v>Nutrition-specific</v>
      </c>
      <c r="I117" s="306">
        <f t="shared" ref="I117:I120" si="31">SUM(J117:N117)</f>
        <v>14750730595.768696</v>
      </c>
      <c r="J117" s="283">
        <f>Financial_Gap_Details!I197</f>
        <v>806423074.70930457</v>
      </c>
      <c r="K117" s="283">
        <f>Financial_Gap_Details!I352</f>
        <v>3479692130.2648478</v>
      </c>
      <c r="L117" s="283">
        <f>Financial_Gap_Details!I507</f>
        <v>3489871796.9315147</v>
      </c>
      <c r="M117" s="283">
        <f>Financial_Gap_Details!I662</f>
        <v>3484871796.9315147</v>
      </c>
      <c r="N117" s="283">
        <f>Financial_Gap_Details!I817</f>
        <v>3489871796.9315147</v>
      </c>
    </row>
    <row r="118" spans="6:14" ht="22.8" x14ac:dyDescent="0.2">
      <c r="F118" s="447"/>
      <c r="G118" s="42" t="str">
        <f>STRAT5_IND3</f>
        <v>Se promueven las buenas prácticas WASH a nivel comunitario y doméstico</v>
      </c>
      <c r="H118" s="260" t="str">
        <f ca="1">OFFSET(Variables_Lu!$D$10,Basic_Setup!H60,0)</f>
        <v>Nutrition-sensitive</v>
      </c>
      <c r="I118" s="306">
        <f t="shared" si="31"/>
        <v>12655350595.768696</v>
      </c>
      <c r="J118" s="283">
        <f>Financial_Gap_Details!I198</f>
        <v>407903074.70930457</v>
      </c>
      <c r="K118" s="283">
        <f>Financial_Gap_Details!I353</f>
        <v>3078832130.2648478</v>
      </c>
      <c r="L118" s="283">
        <f>Financial_Gap_Details!I508</f>
        <v>3057871796.9315147</v>
      </c>
      <c r="M118" s="283">
        <f>Financial_Gap_Details!I663</f>
        <v>3052871796.9315147</v>
      </c>
      <c r="N118" s="283">
        <f>Financial_Gap_Details!I818</f>
        <v>3057871796.9315147</v>
      </c>
    </row>
    <row r="119" spans="6:14" ht="12" x14ac:dyDescent="0.2">
      <c r="F119" s="447"/>
      <c r="G119" s="41" t="str">
        <f>STRAT5_IND4</f>
        <v>Objetivo estratégico 5 Indicador 4</v>
      </c>
      <c r="H119" s="260" t="str">
        <f ca="1">OFFSET(Variables_Lu!$D$10,Basic_Setup!H61,0)</f>
        <v>Nutrition-specific</v>
      </c>
      <c r="I119" s="306">
        <f t="shared" si="31"/>
        <v>0</v>
      </c>
      <c r="J119" s="283">
        <f>Financial_Gap_Details!I199</f>
        <v>0</v>
      </c>
      <c r="K119" s="283">
        <f>Financial_Gap_Details!I354</f>
        <v>0</v>
      </c>
      <c r="L119" s="283">
        <f>Financial_Gap_Details!I509</f>
        <v>0</v>
      </c>
      <c r="M119" s="283">
        <f>Financial_Gap_Details!I664</f>
        <v>0</v>
      </c>
      <c r="N119" s="283">
        <f>Financial_Gap_Details!I819</f>
        <v>0</v>
      </c>
    </row>
    <row r="120" spans="6:14" ht="12" x14ac:dyDescent="0.2">
      <c r="F120" s="448"/>
      <c r="G120" s="41" t="str">
        <f>STRAT5_IND5</f>
        <v>Objetivo estratégico 5 Indicador 5</v>
      </c>
      <c r="H120" s="260" t="str">
        <f ca="1">OFFSET(Variables_Lu!$D$10,Basic_Setup!H62,0)</f>
        <v>Nutrition-specific</v>
      </c>
      <c r="I120" s="306">
        <f t="shared" si="31"/>
        <v>0</v>
      </c>
      <c r="J120" s="283">
        <f>Financial_Gap_Details!I200</f>
        <v>0</v>
      </c>
      <c r="K120" s="283">
        <f>Financial_Gap_Details!I355</f>
        <v>0</v>
      </c>
      <c r="L120" s="283">
        <f>Financial_Gap_Details!I510</f>
        <v>0</v>
      </c>
      <c r="M120" s="283">
        <f>Financial_Gap_Details!I665</f>
        <v>0</v>
      </c>
      <c r="N120" s="283">
        <f>Financial_Gap_Details!I820</f>
        <v>0</v>
      </c>
    </row>
    <row r="121" spans="6:14" ht="12" x14ac:dyDescent="0.2">
      <c r="H121" s="152" t="s">
        <v>542</v>
      </c>
      <c r="I121" s="311">
        <f t="shared" ref="I121" si="32">SUM(J121:N121)</f>
        <v>24029317787.306091</v>
      </c>
      <c r="J121" s="312">
        <f>SUM(J116:J120)</f>
        <v>-2218536975.8720856</v>
      </c>
      <c r="K121" s="312">
        <f t="shared" ref="K121" si="33">SUM(K116:K120)</f>
        <v>5948979990.7945433</v>
      </c>
      <c r="L121" s="312">
        <f t="shared" ref="L121" si="34">SUM(L116:L120)</f>
        <v>6430643990.7945442</v>
      </c>
      <c r="M121" s="312">
        <f t="shared" ref="M121" si="35">SUM(M116:M120)</f>
        <v>6926615390.7945442</v>
      </c>
      <c r="N121" s="312">
        <f t="shared" ref="N121" si="36">SUM(N116:N120)</f>
        <v>6941615390.7945442</v>
      </c>
    </row>
    <row r="122" spans="6:14" ht="12" x14ac:dyDescent="0.2">
      <c r="F122" s="447" t="str">
        <f>Strategy6</f>
        <v>Objetivo estratégico 6: [No está en uso]</v>
      </c>
      <c r="G122" s="42" t="str">
        <f>STRAT6_IND1</f>
        <v>Objetivo estratégico 6 Indicador 1</v>
      </c>
      <c r="H122" s="260" t="str">
        <f ca="1">OFFSET(Variables_Lu!$D$10,Basic_Setup!H64,0)</f>
        <v>Nutrition-specific</v>
      </c>
      <c r="I122" s="306">
        <f>SUM(J122:N122)</f>
        <v>0</v>
      </c>
      <c r="J122" s="283">
        <f>Financial_Gap_Details!I203</f>
        <v>0</v>
      </c>
      <c r="K122" s="283">
        <f>Financial_Gap_Details!I358</f>
        <v>0</v>
      </c>
      <c r="L122" s="283">
        <f>Financial_Gap_Details!I513</f>
        <v>0</v>
      </c>
      <c r="M122" s="283">
        <f>Financial_Gap_Details!I668</f>
        <v>0</v>
      </c>
      <c r="N122" s="283">
        <f>Financial_Gap_Details!I823</f>
        <v>0</v>
      </c>
    </row>
    <row r="123" spans="6:14" ht="12" x14ac:dyDescent="0.2">
      <c r="F123" s="447"/>
      <c r="G123" s="42" t="str">
        <f>STRAT6_IND2</f>
        <v>Objetivo estratégico 6 Indicador 2</v>
      </c>
      <c r="H123" s="260" t="str">
        <f ca="1">OFFSET(Variables_Lu!$D$10,Basic_Setup!H65,0)</f>
        <v>Nutrition-specific</v>
      </c>
      <c r="I123" s="306">
        <f t="shared" ref="I123:I126" si="37">SUM(J123:N123)</f>
        <v>0</v>
      </c>
      <c r="J123" s="283">
        <f>Financial_Gap_Details!I204</f>
        <v>0</v>
      </c>
      <c r="K123" s="283">
        <f>Financial_Gap_Details!I359</f>
        <v>0</v>
      </c>
      <c r="L123" s="283">
        <f>Financial_Gap_Details!I514</f>
        <v>0</v>
      </c>
      <c r="M123" s="283">
        <f>Financial_Gap_Details!I669</f>
        <v>0</v>
      </c>
      <c r="N123" s="283">
        <f>Financial_Gap_Details!I824</f>
        <v>0</v>
      </c>
    </row>
    <row r="124" spans="6:14" ht="12" x14ac:dyDescent="0.2">
      <c r="F124" s="447"/>
      <c r="G124" s="42" t="str">
        <f>STRAT6_IND3</f>
        <v>Objetivo estratégico 6 Indicador 3</v>
      </c>
      <c r="H124" s="260" t="str">
        <f ca="1">OFFSET(Variables_Lu!$D$10,Basic_Setup!H66,0)</f>
        <v>Nutrition-specific</v>
      </c>
      <c r="I124" s="306">
        <f t="shared" si="37"/>
        <v>0</v>
      </c>
      <c r="J124" s="283">
        <f>Financial_Gap_Details!I205</f>
        <v>0</v>
      </c>
      <c r="K124" s="283">
        <f>Financial_Gap_Details!I360</f>
        <v>0</v>
      </c>
      <c r="L124" s="283">
        <f>Financial_Gap_Details!I515</f>
        <v>0</v>
      </c>
      <c r="M124" s="283">
        <f>Financial_Gap_Details!I670</f>
        <v>0</v>
      </c>
      <c r="N124" s="283">
        <f>Financial_Gap_Details!I825</f>
        <v>0</v>
      </c>
    </row>
    <row r="125" spans="6:14" ht="12" x14ac:dyDescent="0.2">
      <c r="F125" s="447"/>
      <c r="G125" s="41" t="str">
        <f>STRAT6_IND4</f>
        <v>Objetivo estratégico 6 Indicador 4</v>
      </c>
      <c r="H125" s="260" t="str">
        <f ca="1">OFFSET(Variables_Lu!$D$10,Basic_Setup!H67,0)</f>
        <v>Nutrition-specific</v>
      </c>
      <c r="I125" s="306">
        <f t="shared" si="37"/>
        <v>0</v>
      </c>
      <c r="J125" s="283">
        <f>Financial_Gap_Details!I206</f>
        <v>0</v>
      </c>
      <c r="K125" s="283">
        <f>Financial_Gap_Details!I361</f>
        <v>0</v>
      </c>
      <c r="L125" s="283">
        <f>Financial_Gap_Details!I516</f>
        <v>0</v>
      </c>
      <c r="M125" s="283">
        <f>Financial_Gap_Details!I671</f>
        <v>0</v>
      </c>
      <c r="N125" s="283">
        <f>Financial_Gap_Details!I826</f>
        <v>0</v>
      </c>
    </row>
    <row r="126" spans="6:14" ht="12" x14ac:dyDescent="0.2">
      <c r="F126" s="448"/>
      <c r="G126" s="41" t="str">
        <f>STRAT6_IND5</f>
        <v>Objetivo estratégico 6 Indicador 5</v>
      </c>
      <c r="H126" s="260" t="str">
        <f ca="1">OFFSET(Variables_Lu!$D$10,Basic_Setup!H68,0)</f>
        <v>Nutrition-specific</v>
      </c>
      <c r="I126" s="306">
        <f t="shared" si="37"/>
        <v>0</v>
      </c>
      <c r="J126" s="283">
        <f>Financial_Gap_Details!I207</f>
        <v>0</v>
      </c>
      <c r="K126" s="283">
        <f>Financial_Gap_Details!I362</f>
        <v>0</v>
      </c>
      <c r="L126" s="283">
        <f>Financial_Gap_Details!I517</f>
        <v>0</v>
      </c>
      <c r="M126" s="283">
        <f>Financial_Gap_Details!I672</f>
        <v>0</v>
      </c>
      <c r="N126" s="283">
        <f>Financial_Gap_Details!I827</f>
        <v>0</v>
      </c>
    </row>
    <row r="127" spans="6:14" ht="12" x14ac:dyDescent="0.2">
      <c r="H127" s="152" t="s">
        <v>543</v>
      </c>
      <c r="I127" s="311">
        <f t="shared" ref="I127" si="38">SUM(J127:N127)</f>
        <v>0</v>
      </c>
      <c r="J127" s="312">
        <f>SUM(J122:J126)</f>
        <v>0</v>
      </c>
      <c r="K127" s="312">
        <f t="shared" ref="K127" si="39">SUM(K122:K126)</f>
        <v>0</v>
      </c>
      <c r="L127" s="312">
        <f t="shared" ref="L127" si="40">SUM(L122:L126)</f>
        <v>0</v>
      </c>
      <c r="M127" s="312">
        <f t="shared" ref="M127" si="41">SUM(M122:M126)</f>
        <v>0</v>
      </c>
      <c r="N127" s="312">
        <f t="shared" ref="N127" si="42">SUM(N122:N126)</f>
        <v>0</v>
      </c>
    </row>
    <row r="128" spans="6:14" ht="12" x14ac:dyDescent="0.2">
      <c r="F128" s="447" t="str">
        <f>Strategy7</f>
        <v>Objetivo estratégico 7: [No está en uso]</v>
      </c>
      <c r="G128" s="42" t="str">
        <f>STRAT7_IND1</f>
        <v>Objetivo estratégico 7 Indicador 1</v>
      </c>
      <c r="H128" s="260" t="str">
        <f ca="1">OFFSET(Variables_Lu!$D$10,Basic_Setup!H70,0)</f>
        <v>Nutrition-specific</v>
      </c>
      <c r="I128" s="306">
        <f>SUM(J128:N128)</f>
        <v>0</v>
      </c>
      <c r="J128" s="283">
        <f>Financial_Gap_Details!I210</f>
        <v>0</v>
      </c>
      <c r="K128" s="283">
        <f>Financial_Gap_Details!I365</f>
        <v>0</v>
      </c>
      <c r="L128" s="283">
        <f>Financial_Gap_Details!I520</f>
        <v>0</v>
      </c>
      <c r="M128" s="283">
        <f>Financial_Gap_Details!I675</f>
        <v>0</v>
      </c>
      <c r="N128" s="283">
        <f>Financial_Gap_Details!I830</f>
        <v>0</v>
      </c>
    </row>
    <row r="129" spans="6:14" ht="12" x14ac:dyDescent="0.2">
      <c r="F129" s="447"/>
      <c r="G129" s="42" t="str">
        <f>STRAT7_IND2</f>
        <v>Objetivo estratégico 7 Indicador 2</v>
      </c>
      <c r="H129" s="260" t="str">
        <f ca="1">OFFSET(Variables_Lu!$D$10,Basic_Setup!H71,0)</f>
        <v>Nutrition-specific</v>
      </c>
      <c r="I129" s="306">
        <f t="shared" ref="I129:I132" si="43">SUM(J129:N129)</f>
        <v>0</v>
      </c>
      <c r="J129" s="283">
        <f>Financial_Gap_Details!I211</f>
        <v>0</v>
      </c>
      <c r="K129" s="283">
        <f>Financial_Gap_Details!I366</f>
        <v>0</v>
      </c>
      <c r="L129" s="283">
        <f>Financial_Gap_Details!I521</f>
        <v>0</v>
      </c>
      <c r="M129" s="283">
        <f>Financial_Gap_Details!I676</f>
        <v>0</v>
      </c>
      <c r="N129" s="283">
        <f>Financial_Gap_Details!I831</f>
        <v>0</v>
      </c>
    </row>
    <row r="130" spans="6:14" ht="12" x14ac:dyDescent="0.2">
      <c r="F130" s="447"/>
      <c r="G130" s="42" t="str">
        <f>STRAT7_IND3</f>
        <v>Objetivo estratégico 7 Indicador 3</v>
      </c>
      <c r="H130" s="260" t="str">
        <f ca="1">OFFSET(Variables_Lu!$D$10,Basic_Setup!H72,0)</f>
        <v>Nutrition-specific</v>
      </c>
      <c r="I130" s="306">
        <f t="shared" si="43"/>
        <v>0</v>
      </c>
      <c r="J130" s="283">
        <f>Financial_Gap_Details!I212</f>
        <v>0</v>
      </c>
      <c r="K130" s="283">
        <f>Financial_Gap_Details!I367</f>
        <v>0</v>
      </c>
      <c r="L130" s="283">
        <f>Financial_Gap_Details!I522</f>
        <v>0</v>
      </c>
      <c r="M130" s="283">
        <f>Financial_Gap_Details!I677</f>
        <v>0</v>
      </c>
      <c r="N130" s="283">
        <f>Financial_Gap_Details!I832</f>
        <v>0</v>
      </c>
    </row>
    <row r="131" spans="6:14" ht="12" x14ac:dyDescent="0.2">
      <c r="F131" s="447"/>
      <c r="G131" s="41" t="str">
        <f>STRAT7_IND4</f>
        <v>Objetivo estratégico 7 Indicador 4</v>
      </c>
      <c r="H131" s="260" t="str">
        <f ca="1">OFFSET(Variables_Lu!$D$10,Basic_Setup!H73,0)</f>
        <v>Nutrition-specific</v>
      </c>
      <c r="I131" s="306">
        <f t="shared" si="43"/>
        <v>0</v>
      </c>
      <c r="J131" s="283">
        <f>Financial_Gap_Details!I213</f>
        <v>0</v>
      </c>
      <c r="K131" s="283">
        <f>Financial_Gap_Details!I368</f>
        <v>0</v>
      </c>
      <c r="L131" s="283">
        <f>Financial_Gap_Details!I523</f>
        <v>0</v>
      </c>
      <c r="M131" s="283">
        <f>Financial_Gap_Details!I678</f>
        <v>0</v>
      </c>
      <c r="N131" s="283">
        <f>Financial_Gap_Details!I833</f>
        <v>0</v>
      </c>
    </row>
    <row r="132" spans="6:14" ht="12" x14ac:dyDescent="0.2">
      <c r="F132" s="448"/>
      <c r="G132" s="41" t="str">
        <f>STRAT7_IND5</f>
        <v>Objetivo estratégico 7 Indicador 5</v>
      </c>
      <c r="H132" s="260" t="str">
        <f ca="1">OFFSET(Variables_Lu!$D$10,Basic_Setup!H74,0)</f>
        <v>Nutrition-specific</v>
      </c>
      <c r="I132" s="306">
        <f t="shared" si="43"/>
        <v>0</v>
      </c>
      <c r="J132" s="283">
        <f>Financial_Gap_Details!I214</f>
        <v>0</v>
      </c>
      <c r="K132" s="283">
        <f>Financial_Gap_Details!I369</f>
        <v>0</v>
      </c>
      <c r="L132" s="283">
        <f>Financial_Gap_Details!I524</f>
        <v>0</v>
      </c>
      <c r="M132" s="283">
        <f>Financial_Gap_Details!I679</f>
        <v>0</v>
      </c>
      <c r="N132" s="283">
        <f>Financial_Gap_Details!I834</f>
        <v>0</v>
      </c>
    </row>
    <row r="133" spans="6:14" ht="12" x14ac:dyDescent="0.2">
      <c r="H133" s="152" t="s">
        <v>544</v>
      </c>
      <c r="I133" s="311">
        <f t="shared" ref="I133" si="44">SUM(J133:N133)</f>
        <v>0</v>
      </c>
      <c r="J133" s="312">
        <f>SUM(J128:J132)</f>
        <v>0</v>
      </c>
      <c r="K133" s="312">
        <f t="shared" ref="K133" si="45">SUM(K128:K132)</f>
        <v>0</v>
      </c>
      <c r="L133" s="312">
        <f t="shared" ref="L133" si="46">SUM(L128:L132)</f>
        <v>0</v>
      </c>
      <c r="M133" s="312">
        <f t="shared" ref="M133" si="47">SUM(M128:M132)</f>
        <v>0</v>
      </c>
      <c r="N133" s="312">
        <f t="shared" ref="N133" si="48">SUM(N128:N132)</f>
        <v>0</v>
      </c>
    </row>
    <row r="134" spans="6:14" ht="12" x14ac:dyDescent="0.2">
      <c r="F134" s="447" t="str">
        <f>Strategy8</f>
        <v>Objetivo estratégico 8: [No está en uso]</v>
      </c>
      <c r="G134" s="42" t="str">
        <f>STRAT8_IND1</f>
        <v>Objetivo estratégico 8 Indicador 1</v>
      </c>
      <c r="H134" s="260" t="str">
        <f ca="1">OFFSET(Variables_Lu!$D$10,Basic_Setup!H76,0)</f>
        <v>Nutrition-specific</v>
      </c>
      <c r="I134" s="306">
        <f>SUM(J134:N134)</f>
        <v>0</v>
      </c>
      <c r="J134" s="283">
        <f>Financial_Gap_Details!I217</f>
        <v>0</v>
      </c>
      <c r="K134" s="283">
        <f>Financial_Gap_Details!I372</f>
        <v>0</v>
      </c>
      <c r="L134" s="283">
        <f>Financial_Gap_Details!I527</f>
        <v>0</v>
      </c>
      <c r="M134" s="283">
        <f>Financial_Gap_Details!I682</f>
        <v>0</v>
      </c>
      <c r="N134" s="283">
        <f>Financial_Gap_Details!I837</f>
        <v>0</v>
      </c>
    </row>
    <row r="135" spans="6:14" ht="12" x14ac:dyDescent="0.2">
      <c r="F135" s="447"/>
      <c r="G135" s="42" t="str">
        <f>STRAT8_IND2</f>
        <v>Objetivo estratégico 8 Indicador 2</v>
      </c>
      <c r="H135" s="260" t="str">
        <f ca="1">OFFSET(Variables_Lu!$D$10,Basic_Setup!H77,0)</f>
        <v>Nutrition-specific</v>
      </c>
      <c r="I135" s="306">
        <f t="shared" ref="I135:I138" si="49">SUM(J135:N135)</f>
        <v>0</v>
      </c>
      <c r="J135" s="283">
        <f>Financial_Gap_Details!I218</f>
        <v>0</v>
      </c>
      <c r="K135" s="283">
        <f>Financial_Gap_Details!I373</f>
        <v>0</v>
      </c>
      <c r="L135" s="283">
        <f>Financial_Gap_Details!I528</f>
        <v>0</v>
      </c>
      <c r="M135" s="283">
        <f>Financial_Gap_Details!I683</f>
        <v>0</v>
      </c>
      <c r="N135" s="283">
        <f>Financial_Gap_Details!I838</f>
        <v>0</v>
      </c>
    </row>
    <row r="136" spans="6:14" ht="12" x14ac:dyDescent="0.2">
      <c r="F136" s="447"/>
      <c r="G136" s="42" t="str">
        <f>STRAT8_IND3</f>
        <v>Objetivo estratégico 8 Indicador 3</v>
      </c>
      <c r="H136" s="260" t="str">
        <f ca="1">OFFSET(Variables_Lu!$D$10,Basic_Setup!H78,0)</f>
        <v>Nutrition-specific</v>
      </c>
      <c r="I136" s="306">
        <f t="shared" si="49"/>
        <v>0</v>
      </c>
      <c r="J136" s="283">
        <f>Financial_Gap_Details!I219</f>
        <v>0</v>
      </c>
      <c r="K136" s="283">
        <f>Financial_Gap_Details!I374</f>
        <v>0</v>
      </c>
      <c r="L136" s="283">
        <f>Financial_Gap_Details!I529</f>
        <v>0</v>
      </c>
      <c r="M136" s="283">
        <f>Financial_Gap_Details!I684</f>
        <v>0</v>
      </c>
      <c r="N136" s="283">
        <f>Financial_Gap_Details!I839</f>
        <v>0</v>
      </c>
    </row>
    <row r="137" spans="6:14" ht="12" x14ac:dyDescent="0.2">
      <c r="F137" s="447"/>
      <c r="G137" s="41" t="str">
        <f>STRAT8_IND4</f>
        <v>Objetivo estratégico 8 Indicador 4</v>
      </c>
      <c r="H137" s="260" t="str">
        <f ca="1">OFFSET(Variables_Lu!$D$10,Basic_Setup!H79,0)</f>
        <v>Nutrition-specific</v>
      </c>
      <c r="I137" s="306">
        <f t="shared" si="49"/>
        <v>0</v>
      </c>
      <c r="J137" s="283">
        <f>Financial_Gap_Details!I220</f>
        <v>0</v>
      </c>
      <c r="K137" s="283">
        <f>Financial_Gap_Details!I375</f>
        <v>0</v>
      </c>
      <c r="L137" s="283">
        <f>Financial_Gap_Details!I530</f>
        <v>0</v>
      </c>
      <c r="M137" s="283">
        <f>Financial_Gap_Details!I685</f>
        <v>0</v>
      </c>
      <c r="N137" s="283">
        <f>Financial_Gap_Details!I840</f>
        <v>0</v>
      </c>
    </row>
    <row r="138" spans="6:14" ht="12" x14ac:dyDescent="0.2">
      <c r="F138" s="448"/>
      <c r="G138" s="41" t="str">
        <f>STRAT8_IND5</f>
        <v>Objetivo estratégico 8 Indicador 5</v>
      </c>
      <c r="H138" s="260" t="str">
        <f ca="1">OFFSET(Variables_Lu!$D$10,Basic_Setup!H80,0)</f>
        <v>Nutrition-specific</v>
      </c>
      <c r="I138" s="306">
        <f t="shared" si="49"/>
        <v>0</v>
      </c>
      <c r="J138" s="283">
        <f>Financial_Gap_Details!I221</f>
        <v>0</v>
      </c>
      <c r="K138" s="283">
        <f>Financial_Gap_Details!I376</f>
        <v>0</v>
      </c>
      <c r="L138" s="283">
        <f>Financial_Gap_Details!I531</f>
        <v>0</v>
      </c>
      <c r="M138" s="283">
        <f>Financial_Gap_Details!I686</f>
        <v>0</v>
      </c>
      <c r="N138" s="283">
        <f>Financial_Gap_Details!I841</f>
        <v>0</v>
      </c>
    </row>
    <row r="139" spans="6:14" ht="12" x14ac:dyDescent="0.2">
      <c r="H139" s="152" t="s">
        <v>545</v>
      </c>
      <c r="I139" s="311">
        <f t="shared" ref="I139" si="50">SUM(J139:N139)</f>
        <v>0</v>
      </c>
      <c r="J139" s="312">
        <f>SUM(J134:J138)</f>
        <v>0</v>
      </c>
      <c r="K139" s="312">
        <f t="shared" ref="K139" si="51">SUM(K134:K138)</f>
        <v>0</v>
      </c>
      <c r="L139" s="312">
        <f t="shared" ref="L139" si="52">SUM(L134:L138)</f>
        <v>0</v>
      </c>
      <c r="M139" s="312">
        <f t="shared" ref="M139" si="53">SUM(M134:M138)</f>
        <v>0</v>
      </c>
      <c r="N139" s="312">
        <f t="shared" ref="N139" si="54">SUM(N134:N138)</f>
        <v>0</v>
      </c>
    </row>
    <row r="140" spans="6:14" ht="12" x14ac:dyDescent="0.2">
      <c r="F140" s="447" t="str">
        <f>Strategy9</f>
        <v>Objetivo estratégico 9: [No está en uso]</v>
      </c>
      <c r="G140" s="42" t="str">
        <f>STRAT9_IND1</f>
        <v>Objetivo estratégico 9 Indicador 1</v>
      </c>
      <c r="H140" s="260" t="str">
        <f ca="1">OFFSET(Variables_Lu!$D$10,Basic_Setup!H82,0)</f>
        <v>Nutrition-specific</v>
      </c>
      <c r="I140" s="306">
        <f>SUM(J140:N140)</f>
        <v>0</v>
      </c>
      <c r="J140" s="283">
        <f>Financial_Gap_Details!I224</f>
        <v>0</v>
      </c>
      <c r="K140" s="283">
        <f>Financial_Gap_Details!I379</f>
        <v>0</v>
      </c>
      <c r="L140" s="283">
        <f>Financial_Gap_Details!I534</f>
        <v>0</v>
      </c>
      <c r="M140" s="283">
        <f>Financial_Gap_Details!I689</f>
        <v>0</v>
      </c>
      <c r="N140" s="283">
        <f>Financial_Gap_Details!I844</f>
        <v>0</v>
      </c>
    </row>
    <row r="141" spans="6:14" ht="12" x14ac:dyDescent="0.2">
      <c r="F141" s="447"/>
      <c r="G141" s="42" t="str">
        <f>STRAT9_IND2</f>
        <v>Objetivo estratégico 9 Indicador 2</v>
      </c>
      <c r="H141" s="260" t="str">
        <f ca="1">OFFSET(Variables_Lu!$D$10,Basic_Setup!H83,0)</f>
        <v>Nutrition-specific</v>
      </c>
      <c r="I141" s="306">
        <f t="shared" ref="I141:I144" si="55">SUM(J141:N141)</f>
        <v>0</v>
      </c>
      <c r="J141" s="283">
        <f>Financial_Gap_Details!I225</f>
        <v>0</v>
      </c>
      <c r="K141" s="283">
        <f>Financial_Gap_Details!I380</f>
        <v>0</v>
      </c>
      <c r="L141" s="283">
        <f>Financial_Gap_Details!I535</f>
        <v>0</v>
      </c>
      <c r="M141" s="283">
        <f>Financial_Gap_Details!I690</f>
        <v>0</v>
      </c>
      <c r="N141" s="283">
        <f>Financial_Gap_Details!I845</f>
        <v>0</v>
      </c>
    </row>
    <row r="142" spans="6:14" ht="12" x14ac:dyDescent="0.2">
      <c r="F142" s="447"/>
      <c r="G142" s="42" t="str">
        <f>STRAT9_IND3</f>
        <v>Objetivo estratégico 9 Indicador 3</v>
      </c>
      <c r="H142" s="260" t="str">
        <f ca="1">OFFSET(Variables_Lu!$D$10,Basic_Setup!H84,0)</f>
        <v>Nutrition-specific</v>
      </c>
      <c r="I142" s="306">
        <f t="shared" si="55"/>
        <v>0</v>
      </c>
      <c r="J142" s="283">
        <f>Financial_Gap_Details!I226</f>
        <v>0</v>
      </c>
      <c r="K142" s="283">
        <f>Financial_Gap_Details!I381</f>
        <v>0</v>
      </c>
      <c r="L142" s="283">
        <f>Financial_Gap_Details!I536</f>
        <v>0</v>
      </c>
      <c r="M142" s="283">
        <f>Financial_Gap_Details!I691</f>
        <v>0</v>
      </c>
      <c r="N142" s="283">
        <f>Financial_Gap_Details!I846</f>
        <v>0</v>
      </c>
    </row>
    <row r="143" spans="6:14" ht="12" x14ac:dyDescent="0.2">
      <c r="F143" s="447"/>
      <c r="G143" s="41" t="str">
        <f>STRAT9_IND4</f>
        <v>Objetivo estratégico 9 Indicador 4</v>
      </c>
      <c r="H143" s="260" t="str">
        <f ca="1">OFFSET(Variables_Lu!$D$10,Basic_Setup!H85,0)</f>
        <v>Nutrition-specific</v>
      </c>
      <c r="I143" s="306">
        <f t="shared" si="55"/>
        <v>0</v>
      </c>
      <c r="J143" s="283">
        <f>Financial_Gap_Details!I227</f>
        <v>0</v>
      </c>
      <c r="K143" s="283">
        <f>Financial_Gap_Details!I382</f>
        <v>0</v>
      </c>
      <c r="L143" s="283">
        <f>Financial_Gap_Details!I537</f>
        <v>0</v>
      </c>
      <c r="M143" s="283">
        <f>Financial_Gap_Details!I692</f>
        <v>0</v>
      </c>
      <c r="N143" s="283">
        <f>Financial_Gap_Details!I847</f>
        <v>0</v>
      </c>
    </row>
    <row r="144" spans="6:14" ht="12" x14ac:dyDescent="0.2">
      <c r="F144" s="448"/>
      <c r="G144" s="41" t="str">
        <f>STRAT9_IND5</f>
        <v>Objetivo estratégico 9 Indicador 5</v>
      </c>
      <c r="H144" s="260" t="str">
        <f ca="1">OFFSET(Variables_Lu!$D$10,Basic_Setup!H86,0)</f>
        <v>Nutrition-specific</v>
      </c>
      <c r="I144" s="306">
        <f t="shared" si="55"/>
        <v>0</v>
      </c>
      <c r="J144" s="283">
        <f>Financial_Gap_Details!I228</f>
        <v>0</v>
      </c>
      <c r="K144" s="283">
        <f>Financial_Gap_Details!I383</f>
        <v>0</v>
      </c>
      <c r="L144" s="283">
        <f>Financial_Gap_Details!I538</f>
        <v>0</v>
      </c>
      <c r="M144" s="283">
        <f>Financial_Gap_Details!I693</f>
        <v>0</v>
      </c>
      <c r="N144" s="283">
        <f>Financial_Gap_Details!I848</f>
        <v>0</v>
      </c>
    </row>
    <row r="145" spans="5:14" ht="12" x14ac:dyDescent="0.2">
      <c r="H145" s="152" t="s">
        <v>546</v>
      </c>
      <c r="I145" s="311">
        <f t="shared" ref="I145" si="56">SUM(J145:N145)</f>
        <v>0</v>
      </c>
      <c r="J145" s="312">
        <f>SUM(J140:J144)</f>
        <v>0</v>
      </c>
      <c r="K145" s="312">
        <f t="shared" ref="K145" si="57">SUM(K140:K144)</f>
        <v>0</v>
      </c>
      <c r="L145" s="312">
        <f t="shared" ref="L145" si="58">SUM(L140:L144)</f>
        <v>0</v>
      </c>
      <c r="M145" s="312">
        <f t="shared" ref="M145" si="59">SUM(M140:M144)</f>
        <v>0</v>
      </c>
      <c r="N145" s="312">
        <f t="shared" ref="N145" si="60">SUM(N140:N144)</f>
        <v>0</v>
      </c>
    </row>
    <row r="146" spans="5:14" ht="12" x14ac:dyDescent="0.2">
      <c r="F146" s="447" t="str">
        <f>Strategy10</f>
        <v>Objetivo estratégico 10: [No está en uso]</v>
      </c>
      <c r="G146" s="42" t="str">
        <f>STRAT10_IND1</f>
        <v>Objetivo estratégico 10 Indicador 1</v>
      </c>
      <c r="H146" s="260" t="str">
        <f ca="1">OFFSET(Variables_Lu!$D$10,Basic_Setup!H88,0)</f>
        <v>Nutrition-specific</v>
      </c>
      <c r="I146" s="306">
        <f>SUM(J146:N146)</f>
        <v>0</v>
      </c>
      <c r="J146" s="283">
        <f>Financial_Gap_Details!I231</f>
        <v>0</v>
      </c>
      <c r="K146" s="283">
        <f>Financial_Gap_Details!I386</f>
        <v>0</v>
      </c>
      <c r="L146" s="283">
        <f>Financial_Gap_Details!I541</f>
        <v>0</v>
      </c>
      <c r="M146" s="283">
        <f>Financial_Gap_Details!I696</f>
        <v>0</v>
      </c>
      <c r="N146" s="283">
        <f>Financial_Gap_Details!I851</f>
        <v>0</v>
      </c>
    </row>
    <row r="147" spans="5:14" ht="12" x14ac:dyDescent="0.2">
      <c r="F147" s="447"/>
      <c r="G147" s="42" t="str">
        <f>STRAT10_IND2</f>
        <v>Objetivo estratégico 10 Indicador 2</v>
      </c>
      <c r="H147" s="260" t="str">
        <f ca="1">OFFSET(Variables_Lu!$D$10,Basic_Setup!H89,0)</f>
        <v>Nutrition-specific</v>
      </c>
      <c r="I147" s="306">
        <f t="shared" ref="I147:I150" si="61">SUM(J147:N147)</f>
        <v>0</v>
      </c>
      <c r="J147" s="283">
        <f>Financial_Gap_Details!I232</f>
        <v>0</v>
      </c>
      <c r="K147" s="283">
        <f>Financial_Gap_Details!I387</f>
        <v>0</v>
      </c>
      <c r="L147" s="283">
        <f>Financial_Gap_Details!I542</f>
        <v>0</v>
      </c>
      <c r="M147" s="283">
        <f>Financial_Gap_Details!I697</f>
        <v>0</v>
      </c>
      <c r="N147" s="283">
        <f>Financial_Gap_Details!I852</f>
        <v>0</v>
      </c>
    </row>
    <row r="148" spans="5:14" ht="12" x14ac:dyDescent="0.2">
      <c r="F148" s="447"/>
      <c r="G148" s="42" t="str">
        <f>STRAT10_IND3</f>
        <v>Objetivo estratégico 10 Indicador 3</v>
      </c>
      <c r="H148" s="260" t="str">
        <f ca="1">OFFSET(Variables_Lu!$D$10,Basic_Setup!H90,0)</f>
        <v>Nutrition-specific</v>
      </c>
      <c r="I148" s="306">
        <f t="shared" si="61"/>
        <v>0</v>
      </c>
      <c r="J148" s="283">
        <f>Financial_Gap_Details!I233</f>
        <v>0</v>
      </c>
      <c r="K148" s="283">
        <f>Financial_Gap_Details!I388</f>
        <v>0</v>
      </c>
      <c r="L148" s="283">
        <f>Financial_Gap_Details!I543</f>
        <v>0</v>
      </c>
      <c r="M148" s="283">
        <f>Financial_Gap_Details!I698</f>
        <v>0</v>
      </c>
      <c r="N148" s="283">
        <f>Financial_Gap_Details!I853</f>
        <v>0</v>
      </c>
    </row>
    <row r="149" spans="5:14" ht="12" x14ac:dyDescent="0.2">
      <c r="F149" s="447"/>
      <c r="G149" s="41" t="str">
        <f>STRAT10_IND4</f>
        <v>Objetivo estratégico 10 Indicador 4</v>
      </c>
      <c r="H149" s="260" t="str">
        <f ca="1">OFFSET(Variables_Lu!$D$10,Basic_Setup!H91,0)</f>
        <v>Nutrition-specific</v>
      </c>
      <c r="I149" s="306">
        <f t="shared" si="61"/>
        <v>0</v>
      </c>
      <c r="J149" s="283">
        <f>Financial_Gap_Details!I234</f>
        <v>0</v>
      </c>
      <c r="K149" s="283">
        <f>Financial_Gap_Details!I389</f>
        <v>0</v>
      </c>
      <c r="L149" s="283">
        <f>Financial_Gap_Details!I544</f>
        <v>0</v>
      </c>
      <c r="M149" s="283">
        <f>Financial_Gap_Details!I699</f>
        <v>0</v>
      </c>
      <c r="N149" s="283">
        <f>Financial_Gap_Details!I854</f>
        <v>0</v>
      </c>
    </row>
    <row r="150" spans="5:14" ht="12" x14ac:dyDescent="0.2">
      <c r="F150" s="448"/>
      <c r="G150" s="41" t="str">
        <f>STRAT10_IND5</f>
        <v>Objetivo estratégico 10 Indicador 5</v>
      </c>
      <c r="H150" s="260" t="str">
        <f ca="1">OFFSET(Variables_Lu!$D$10,Basic_Setup!H92,0)</f>
        <v>Nutrition-specific</v>
      </c>
      <c r="I150" s="306">
        <f t="shared" si="61"/>
        <v>0</v>
      </c>
      <c r="J150" s="283">
        <f>Financial_Gap_Details!I235</f>
        <v>0</v>
      </c>
      <c r="K150" s="283">
        <f>Financial_Gap_Details!I390</f>
        <v>0</v>
      </c>
      <c r="L150" s="283">
        <f>Financial_Gap_Details!I545</f>
        <v>0</v>
      </c>
      <c r="M150" s="283">
        <f>Financial_Gap_Details!I700</f>
        <v>0</v>
      </c>
      <c r="N150" s="283">
        <f>Financial_Gap_Details!I855</f>
        <v>0</v>
      </c>
    </row>
    <row r="151" spans="5:14" ht="12" x14ac:dyDescent="0.2">
      <c r="H151" s="152" t="s">
        <v>547</v>
      </c>
      <c r="I151" s="311">
        <f t="shared" ref="I151" si="62">SUM(J151:N151)</f>
        <v>0</v>
      </c>
      <c r="J151" s="312">
        <f>SUM(J146:J150)</f>
        <v>0</v>
      </c>
      <c r="K151" s="312">
        <f t="shared" ref="K151" si="63">SUM(K146:K150)</f>
        <v>0</v>
      </c>
      <c r="L151" s="312">
        <f t="shared" ref="L151" si="64">SUM(L146:L150)</f>
        <v>0</v>
      </c>
      <c r="M151" s="312">
        <f t="shared" ref="M151" si="65">SUM(M146:M150)</f>
        <v>0</v>
      </c>
      <c r="N151" s="312">
        <f t="shared" ref="N151" si="66">SUM(N146:N150)</f>
        <v>0</v>
      </c>
    </row>
    <row r="152" spans="5:14" ht="12" x14ac:dyDescent="0.2">
      <c r="H152" s="152"/>
      <c r="I152" s="307"/>
      <c r="J152" s="290"/>
      <c r="K152" s="290"/>
      <c r="L152" s="290"/>
      <c r="M152" s="290"/>
      <c r="N152" s="290"/>
    </row>
    <row r="153" spans="5:14" ht="12" x14ac:dyDescent="0.2">
      <c r="H153" s="149" t="str">
        <f>"TOTAL - Gap"&amp;" ("&amp;CURR_LCU_ABBR&amp;")"</f>
        <v>TOTAL - Gap (GOZ)</v>
      </c>
      <c r="I153" s="314">
        <f>SUM(I97,I103,I109,I115,I121,I127,I133,I139,I145,I151)</f>
        <v>373255400797.17645</v>
      </c>
      <c r="J153" s="314">
        <f t="shared" ref="J153:N153" si="67">SUM(J97,J103,J109,J115,J121,J127,J133,J139,J145,J151)</f>
        <v>55364102446.674026</v>
      </c>
      <c r="K153" s="314">
        <f t="shared" si="67"/>
        <v>25971329290.516056</v>
      </c>
      <c r="L153" s="314">
        <f t="shared" si="67"/>
        <v>67438276746.589645</v>
      </c>
      <c r="M153" s="314">
        <f t="shared" si="67"/>
        <v>111106553128.84755</v>
      </c>
      <c r="N153" s="314">
        <f t="shared" si="67"/>
        <v>113375139184.54915</v>
      </c>
    </row>
    <row r="155" spans="5:14" ht="15.6" x14ac:dyDescent="0.2">
      <c r="E155" s="86" t="str">
        <f>CURR_INT_ABBR</f>
        <v>USD</v>
      </c>
    </row>
    <row r="157" spans="5:14" s="38" customFormat="1" ht="12" x14ac:dyDescent="0.2">
      <c r="F157" s="1" t="s">
        <v>389</v>
      </c>
      <c r="G157" s="1" t="s">
        <v>399</v>
      </c>
      <c r="H157" s="1" t="s">
        <v>387</v>
      </c>
      <c r="I157" s="297" t="s">
        <v>106</v>
      </c>
      <c r="J157" s="298" t="str">
        <f>CURR_INT_ABBR</f>
        <v>USD</v>
      </c>
      <c r="K157" s="298" t="str">
        <f>CURR_INT_ABBR</f>
        <v>USD</v>
      </c>
      <c r="L157" s="298" t="str">
        <f>CURR_INT_ABBR</f>
        <v>USD</v>
      </c>
      <c r="M157" s="298" t="str">
        <f>CURR_INT_ABBR</f>
        <v>USD</v>
      </c>
      <c r="N157" s="298" t="str">
        <f>CURR_INT_ABBR</f>
        <v>USD</v>
      </c>
    </row>
    <row r="158" spans="5:14" s="38" customFormat="1" ht="12" customHeight="1" x14ac:dyDescent="0.2">
      <c r="F158" s="447" t="str">
        <f>Strategy1</f>
        <v>Objetivo estratégico 1: Fortalecer la gobernanza de la nutrición</v>
      </c>
      <c r="G158" s="42" t="str">
        <f>STRAT1_IND1</f>
        <v>Se refuerza la coordinación multisectorial en materia de nutrición</v>
      </c>
      <c r="H158" s="260" t="str">
        <f ca="1">OFFSET(Variables_Lu!$D$10,Basic_Setup!H34,0)</f>
        <v>Governance</v>
      </c>
      <c r="I158" s="308">
        <f t="shared" ref="I158:N173" si="68">I92/EXCHANGE_RATE</f>
        <v>-758484.81658944045</v>
      </c>
      <c r="J158" s="150">
        <f t="shared" si="68"/>
        <v>-162617.31709844363</v>
      </c>
      <c r="K158" s="150">
        <f t="shared" si="68"/>
        <v>-570210.97404288803</v>
      </c>
      <c r="L158" s="150">
        <f t="shared" si="68"/>
        <v>-134861.94680677698</v>
      </c>
      <c r="M158" s="150">
        <f t="shared" si="68"/>
        <v>-21914.733765110275</v>
      </c>
      <c r="N158" s="150">
        <f t="shared" si="68"/>
        <v>131120.15512377862</v>
      </c>
    </row>
    <row r="159" spans="5:14" s="38" customFormat="1" ht="34.200000000000003" x14ac:dyDescent="0.2">
      <c r="F159" s="447"/>
      <c r="G159" s="42" t="str">
        <f>STRAT1_IND2</f>
        <v>Está en funcionamiento el sistema multisectorial de información sobre nutrición para la adopción de decisiones eficaces.</v>
      </c>
      <c r="H159" s="260" t="str">
        <f ca="1">OFFSET(Variables_Lu!$D$10,Basic_Setup!H35,0)</f>
        <v>Governance</v>
      </c>
      <c r="I159" s="308">
        <f t="shared" si="68"/>
        <v>1194459.1834105598</v>
      </c>
      <c r="J159" s="150">
        <f t="shared" si="68"/>
        <v>290805.68290155637</v>
      </c>
      <c r="K159" s="150">
        <f t="shared" si="68"/>
        <v>168437.02595711194</v>
      </c>
      <c r="L159" s="150">
        <f t="shared" si="68"/>
        <v>313011.05319322302</v>
      </c>
      <c r="M159" s="150">
        <f t="shared" si="68"/>
        <v>137085.26623488971</v>
      </c>
      <c r="N159" s="150">
        <f t="shared" si="68"/>
        <v>285120.15512377862</v>
      </c>
    </row>
    <row r="160" spans="5:14" s="38" customFormat="1" ht="22.8" x14ac:dyDescent="0.2">
      <c r="F160" s="447"/>
      <c r="G160" s="42" t="str">
        <f>STRAT1_IND3</f>
        <v>La investigación en nutrición se utiliza para aclarar que la toma de decisiones se mejora y se refuerza.</v>
      </c>
      <c r="H160" s="260" t="str">
        <f ca="1">OFFSET(Variables_Lu!$D$10,Basic_Setup!H36,0)</f>
        <v>Governance</v>
      </c>
      <c r="I160" s="308">
        <f t="shared" si="68"/>
        <v>1223859.1834105595</v>
      </c>
      <c r="J160" s="150">
        <f t="shared" si="68"/>
        <v>306705.68290155637</v>
      </c>
      <c r="K160" s="150">
        <f t="shared" si="68"/>
        <v>184337.02595711194</v>
      </c>
      <c r="L160" s="150">
        <f t="shared" si="68"/>
        <v>312211.05319322302</v>
      </c>
      <c r="M160" s="150">
        <f t="shared" si="68"/>
        <v>136285.26623488971</v>
      </c>
      <c r="N160" s="150">
        <f t="shared" si="68"/>
        <v>284320.15512377862</v>
      </c>
    </row>
    <row r="161" spans="6:14" s="38" customFormat="1" ht="22.8" x14ac:dyDescent="0.2">
      <c r="F161" s="447"/>
      <c r="G161" s="41" t="str">
        <f>STRAT1_IND4</f>
        <v>El marco legislativo y reglamentario de la nutrición se ha fortalecido y está en funcionamiento.</v>
      </c>
      <c r="H161" s="260" t="str">
        <f ca="1">OFFSET(Variables_Lu!$D$10,Basic_Setup!H37,0)</f>
        <v>Governance</v>
      </c>
      <c r="I161" s="308">
        <f t="shared" si="68"/>
        <v>1227859.1834105595</v>
      </c>
      <c r="J161" s="150">
        <f t="shared" si="68"/>
        <v>307505.68290155637</v>
      </c>
      <c r="K161" s="150">
        <f t="shared" si="68"/>
        <v>185137.02595711194</v>
      </c>
      <c r="L161" s="150">
        <f t="shared" si="68"/>
        <v>313011.05319322302</v>
      </c>
      <c r="M161" s="150">
        <f t="shared" si="68"/>
        <v>137085.26623488971</v>
      </c>
      <c r="N161" s="150">
        <f t="shared" si="68"/>
        <v>285120.15512377862</v>
      </c>
    </row>
    <row r="162" spans="6:14" s="38" customFormat="1" ht="12" x14ac:dyDescent="0.2">
      <c r="F162" s="448"/>
      <c r="G162" s="41" t="str">
        <f>STRAT1_IND5</f>
        <v>Objetivo estratégico 1 Indicador 5</v>
      </c>
      <c r="H162" s="260" t="str">
        <f ca="1">OFFSET(Variables_Lu!$D$10,Basic_Setup!H38,0)</f>
        <v>Governance</v>
      </c>
      <c r="I162" s="308">
        <f t="shared" si="68"/>
        <v>0</v>
      </c>
      <c r="J162" s="150">
        <f t="shared" si="68"/>
        <v>0</v>
      </c>
      <c r="K162" s="150">
        <f t="shared" si="68"/>
        <v>0</v>
      </c>
      <c r="L162" s="150">
        <f t="shared" si="68"/>
        <v>0</v>
      </c>
      <c r="M162" s="150">
        <f t="shared" si="68"/>
        <v>0</v>
      </c>
      <c r="N162" s="150">
        <f t="shared" si="68"/>
        <v>0</v>
      </c>
    </row>
    <row r="163" spans="6:14" s="38" customFormat="1" ht="12" x14ac:dyDescent="0.2">
      <c r="H163" s="152" t="s">
        <v>538</v>
      </c>
      <c r="I163" s="310">
        <f t="shared" si="68"/>
        <v>2887692.7336422387</v>
      </c>
      <c r="J163" s="313">
        <f t="shared" si="68"/>
        <v>742399.73160622548</v>
      </c>
      <c r="K163" s="313">
        <f t="shared" si="68"/>
        <v>-32299.896171552275</v>
      </c>
      <c r="L163" s="313">
        <f t="shared" si="68"/>
        <v>803371.21277289209</v>
      </c>
      <c r="M163" s="313">
        <f t="shared" si="68"/>
        <v>388541.06493955891</v>
      </c>
      <c r="N163" s="313">
        <f t="shared" si="68"/>
        <v>985680.62049511448</v>
      </c>
    </row>
    <row r="164" spans="6:14" s="38" customFormat="1" ht="48" customHeight="1" x14ac:dyDescent="0.2">
      <c r="F164" s="447" t="str">
        <f>Strategy2</f>
        <v>Objetivo estratégico 2: Fortalecer el acceso al tratamiento y a los servicios de salud y nutrición de calidad, así como al tratamiento de todas las formas de malnutrición</v>
      </c>
      <c r="G164" s="42" t="str">
        <f>STRAT2_IND1</f>
        <v>Se fortalece el acceso y la utilización sostenible de los servicios de salud y nutrición para los niños menores de 5 años, los adolescentes, las mujeres embarazadas y lactantes, y los demás grupos vulnerables</v>
      </c>
      <c r="H164" s="260" t="str">
        <f ca="1">OFFSET(Variables_Lu!$D$10,Basic_Setup!H40,0)</f>
        <v>Nutrition-specific</v>
      </c>
      <c r="I164" s="308">
        <f t="shared" si="68"/>
        <v>-2178864.0360531872</v>
      </c>
      <c r="J164" s="150">
        <f t="shared" si="68"/>
        <v>-832759.79990773357</v>
      </c>
      <c r="K164" s="150">
        <f t="shared" si="68"/>
        <v>-16282.553360418744</v>
      </c>
      <c r="L164" s="150">
        <f t="shared" si="68"/>
        <v>-489215.06264630792</v>
      </c>
      <c r="M164" s="150">
        <f t="shared" si="68"/>
        <v>-435366.54798960418</v>
      </c>
      <c r="N164" s="150">
        <f t="shared" si="68"/>
        <v>-405240.07214912254</v>
      </c>
    </row>
    <row r="165" spans="6:14" s="38" customFormat="1" ht="45.6" x14ac:dyDescent="0.2">
      <c r="F165" s="447"/>
      <c r="G165" s="42" t="str">
        <f>STRAT2_IND2</f>
        <v xml:space="preserve">Se reduce la prevalencia de enfermedades relacionadas con la prevalencia de la malnutrición (paludismo, diarrea, neumonía, parásitos intestinales, VIH, TNM) en lactantes, adolescentes y mujeres en edad reproductiva. </v>
      </c>
      <c r="H165" s="260" t="str">
        <f ca="1">OFFSET(Variables_Lu!$D$10,Basic_Setup!H41,0)</f>
        <v>Nutrition-sensitive</v>
      </c>
      <c r="I165" s="308">
        <f t="shared" si="68"/>
        <v>6283198.9639468128</v>
      </c>
      <c r="J165" s="150">
        <f t="shared" si="68"/>
        <v>339185.70009226637</v>
      </c>
      <c r="K165" s="150">
        <f t="shared" si="68"/>
        <v>-1903110.5533604186</v>
      </c>
      <c r="L165" s="150">
        <f t="shared" si="68"/>
        <v>692730.43735369202</v>
      </c>
      <c r="M165" s="150">
        <f t="shared" si="68"/>
        <v>3559633.4520103959</v>
      </c>
      <c r="N165" s="150">
        <f t="shared" si="68"/>
        <v>3594759.9278508774</v>
      </c>
    </row>
    <row r="166" spans="6:14" s="38" customFormat="1" ht="22.8" x14ac:dyDescent="0.2">
      <c r="F166" s="447"/>
      <c r="G166" s="42" t="str">
        <f>STRAT2_IND3</f>
        <v>Se refuerzan las intervenciones comunitarias en materia de nutrición.</v>
      </c>
      <c r="H166" s="260" t="str">
        <f ca="1">OFFSET(Variables_Lu!$D$10,Basic_Setup!H42,0)</f>
        <v>Nutrition-specific</v>
      </c>
      <c r="I166" s="308">
        <f t="shared" si="68"/>
        <v>13851135.963946814</v>
      </c>
      <c r="J166" s="150">
        <f t="shared" si="68"/>
        <v>2372240.2000922663</v>
      </c>
      <c r="K166" s="150">
        <f t="shared" si="68"/>
        <v>3193717.4466395811</v>
      </c>
      <c r="L166" s="150">
        <f t="shared" si="68"/>
        <v>2725784.937353692</v>
      </c>
      <c r="M166" s="150">
        <f t="shared" si="68"/>
        <v>2764633.4520103959</v>
      </c>
      <c r="N166" s="150">
        <f t="shared" si="68"/>
        <v>2794759.9278508774</v>
      </c>
    </row>
    <row r="167" spans="6:14" s="38" customFormat="1" ht="12" x14ac:dyDescent="0.2">
      <c r="F167" s="447"/>
      <c r="G167" s="41" t="str">
        <f>STRAT2_IND4</f>
        <v>Objetivo estratégico 2 Indicador 4</v>
      </c>
      <c r="H167" s="260" t="str">
        <f ca="1">OFFSET(Variables_Lu!$D$10,Basic_Setup!H43,0)</f>
        <v>Nutrition-specific</v>
      </c>
      <c r="I167" s="308">
        <f t="shared" si="68"/>
        <v>0</v>
      </c>
      <c r="J167" s="150">
        <f t="shared" si="68"/>
        <v>0</v>
      </c>
      <c r="K167" s="150">
        <f t="shared" si="68"/>
        <v>0</v>
      </c>
      <c r="L167" s="150">
        <f t="shared" si="68"/>
        <v>0</v>
      </c>
      <c r="M167" s="150">
        <f t="shared" si="68"/>
        <v>0</v>
      </c>
      <c r="N167" s="150">
        <f t="shared" si="68"/>
        <v>0</v>
      </c>
    </row>
    <row r="168" spans="6:14" s="38" customFormat="1" ht="12" x14ac:dyDescent="0.2">
      <c r="F168" s="448"/>
      <c r="G168" s="41" t="str">
        <f>STRAT2_IND5</f>
        <v>Objetivo estratégico 2 Indicador 5</v>
      </c>
      <c r="H168" s="260" t="str">
        <f ca="1">OFFSET(Variables_Lu!$D$10,Basic_Setup!H44,0)</f>
        <v>Nutrition-specific</v>
      </c>
      <c r="I168" s="308">
        <f t="shared" si="68"/>
        <v>0</v>
      </c>
      <c r="J168" s="150">
        <f t="shared" si="68"/>
        <v>0</v>
      </c>
      <c r="K168" s="150">
        <f t="shared" si="68"/>
        <v>0</v>
      </c>
      <c r="L168" s="150">
        <f t="shared" si="68"/>
        <v>0</v>
      </c>
      <c r="M168" s="150">
        <f t="shared" si="68"/>
        <v>0</v>
      </c>
      <c r="N168" s="150">
        <f t="shared" si="68"/>
        <v>0</v>
      </c>
    </row>
    <row r="169" spans="6:14" s="38" customFormat="1" ht="12" x14ac:dyDescent="0.2">
      <c r="H169" s="152" t="s">
        <v>539</v>
      </c>
      <c r="I169" s="310">
        <f t="shared" si="68"/>
        <v>17955470.891840439</v>
      </c>
      <c r="J169" s="313">
        <f t="shared" si="68"/>
        <v>1878666.1002767992</v>
      </c>
      <c r="K169" s="313">
        <f t="shared" si="68"/>
        <v>1274324.3399187438</v>
      </c>
      <c r="L169" s="313">
        <f t="shared" si="68"/>
        <v>2929300.3120610761</v>
      </c>
      <c r="M169" s="313">
        <f t="shared" si="68"/>
        <v>5888900.3560311869</v>
      </c>
      <c r="N169" s="313">
        <f t="shared" si="68"/>
        <v>5984279.7835526317</v>
      </c>
    </row>
    <row r="170" spans="6:14" s="38" customFormat="1" ht="24" customHeight="1" x14ac:dyDescent="0.2">
      <c r="F170" s="447" t="str">
        <f>Strategy3</f>
        <v>Objetivo estratégico 3: Aumentar la disponibilidad y el acceso a alimentos nutritivos de alto valor, seguros y diversificados</v>
      </c>
      <c r="G170" s="42" t="str">
        <f>STRAT3_IND1</f>
        <v xml:space="preserve">Aumenta la disponibilidad y el acceso a alimentos de alto valor nutritivo en los hogares. </v>
      </c>
      <c r="H170" s="260" t="str">
        <f ca="1">OFFSET(Variables_Lu!$D$10,Basic_Setup!H46,0)</f>
        <v>Nutrition-specific</v>
      </c>
      <c r="I170" s="308">
        <f t="shared" si="68"/>
        <v>20499412.14076969</v>
      </c>
      <c r="J170" s="150">
        <f t="shared" si="68"/>
        <v>-377870.68914311728</v>
      </c>
      <c r="K170" s="150">
        <f t="shared" si="68"/>
        <v>-17254113.940578252</v>
      </c>
      <c r="L170" s="150">
        <f t="shared" si="68"/>
        <v>521057.77682679921</v>
      </c>
      <c r="M170" s="150">
        <f t="shared" si="68"/>
        <v>18675086.372387491</v>
      </c>
      <c r="N170" s="150">
        <f t="shared" si="68"/>
        <v>18935252.62127677</v>
      </c>
    </row>
    <row r="171" spans="6:14" s="38" customFormat="1" ht="22.8" x14ac:dyDescent="0.2">
      <c r="F171" s="447"/>
      <c r="G171" s="42" t="str">
        <f>STRAT3_IND2</f>
        <v xml:space="preserve"> La seguridad alimentaria está garantizada para toda la nación.</v>
      </c>
      <c r="H171" s="260" t="str">
        <f ca="1">OFFSET(Variables_Lu!$D$10,Basic_Setup!H47,0)</f>
        <v>Nutrition-sensitive</v>
      </c>
      <c r="I171" s="308">
        <f t="shared" si="68"/>
        <v>98515041.14076969</v>
      </c>
      <c r="J171" s="150">
        <f t="shared" si="68"/>
        <v>19599979.310856882</v>
      </c>
      <c r="K171" s="150">
        <f t="shared" si="68"/>
        <v>20518715.059421744</v>
      </c>
      <c r="L171" s="150">
        <f t="shared" si="68"/>
        <v>19536007.776826799</v>
      </c>
      <c r="M171" s="150">
        <f t="shared" si="68"/>
        <v>19300086.372387491</v>
      </c>
      <c r="N171" s="150">
        <f t="shared" si="68"/>
        <v>19560252.62127677</v>
      </c>
    </row>
    <row r="172" spans="6:14" ht="12" x14ac:dyDescent="0.2">
      <c r="F172" s="447"/>
      <c r="G172" s="42" t="str">
        <f>STRAT3_IND3</f>
        <v>Objetivo estratégico 3 Indicador 3</v>
      </c>
      <c r="H172" s="260" t="str">
        <f ca="1">OFFSET(Variables_Lu!$D$10,Basic_Setup!H48,0)</f>
        <v>Nutrition-specific</v>
      </c>
      <c r="I172" s="308">
        <f t="shared" si="68"/>
        <v>0</v>
      </c>
      <c r="J172" s="150">
        <f t="shared" si="68"/>
        <v>0</v>
      </c>
      <c r="K172" s="150">
        <f t="shared" si="68"/>
        <v>0</v>
      </c>
      <c r="L172" s="150">
        <f t="shared" si="68"/>
        <v>0</v>
      </c>
      <c r="M172" s="150">
        <f t="shared" si="68"/>
        <v>0</v>
      </c>
      <c r="N172" s="150">
        <f t="shared" si="68"/>
        <v>0</v>
      </c>
    </row>
    <row r="173" spans="6:14" ht="12" x14ac:dyDescent="0.2">
      <c r="F173" s="447"/>
      <c r="G173" s="41" t="str">
        <f>STRAT3_IND4</f>
        <v>Objetivo estratégico 3 Indicador 4</v>
      </c>
      <c r="H173" s="260" t="str">
        <f ca="1">OFFSET(Variables_Lu!$D$10,Basic_Setup!H49,0)</f>
        <v>Nutrition-specific</v>
      </c>
      <c r="I173" s="308">
        <f t="shared" si="68"/>
        <v>0</v>
      </c>
      <c r="J173" s="150">
        <f t="shared" si="68"/>
        <v>0</v>
      </c>
      <c r="K173" s="150">
        <f t="shared" si="68"/>
        <v>0</v>
      </c>
      <c r="L173" s="150">
        <f t="shared" si="68"/>
        <v>0</v>
      </c>
      <c r="M173" s="150">
        <f t="shared" si="68"/>
        <v>0</v>
      </c>
      <c r="N173" s="150">
        <f t="shared" si="68"/>
        <v>0</v>
      </c>
    </row>
    <row r="174" spans="6:14" ht="12" x14ac:dyDescent="0.2">
      <c r="F174" s="448"/>
      <c r="G174" s="41" t="str">
        <f>STRAT3_IND5</f>
        <v>Objetivo estratégico 3 Indicador 5</v>
      </c>
      <c r="H174" s="260" t="str">
        <f ca="1">OFFSET(Variables_Lu!$D$10,Basic_Setup!H50,0)</f>
        <v>Nutrition-specific</v>
      </c>
      <c r="I174" s="308">
        <f t="shared" ref="I174:N189" si="69">I108/EXCHANGE_RATE</f>
        <v>0</v>
      </c>
      <c r="J174" s="150">
        <f t="shared" si="69"/>
        <v>0</v>
      </c>
      <c r="K174" s="150">
        <f t="shared" si="69"/>
        <v>0</v>
      </c>
      <c r="L174" s="150">
        <f t="shared" si="69"/>
        <v>0</v>
      </c>
      <c r="M174" s="150">
        <f t="shared" si="69"/>
        <v>0</v>
      </c>
      <c r="N174" s="150">
        <f t="shared" si="69"/>
        <v>0</v>
      </c>
    </row>
    <row r="175" spans="6:14" ht="12" x14ac:dyDescent="0.2">
      <c r="H175" s="152" t="s">
        <v>540</v>
      </c>
      <c r="I175" s="310">
        <f t="shared" si="69"/>
        <v>119014453.28153938</v>
      </c>
      <c r="J175" s="313">
        <f t="shared" si="69"/>
        <v>19222108.621713765</v>
      </c>
      <c r="K175" s="313">
        <f t="shared" si="69"/>
        <v>3264601.1188434898</v>
      </c>
      <c r="L175" s="313">
        <f t="shared" si="69"/>
        <v>20057065.553653598</v>
      </c>
      <c r="M175" s="313">
        <f t="shared" si="69"/>
        <v>37975172.744774982</v>
      </c>
      <c r="N175" s="313">
        <f t="shared" si="69"/>
        <v>38495505.24255354</v>
      </c>
    </row>
    <row r="176" spans="6:14" ht="24" customHeight="1" x14ac:dyDescent="0.2">
      <c r="F176" s="447" t="str">
        <f>Strategy4</f>
        <v>Objetivo estratégico 4: Fortalecer la protección social, la resiliencia de la respuesta a las emergencias y los desastres naturales.</v>
      </c>
      <c r="G176" s="42" t="str">
        <f>STRAT4_IND1</f>
        <v xml:space="preserve">Se garantiza la protección social de los niños menores de 5 años, los adolescentes, FE/FA y otros grupos vulnerables. </v>
      </c>
      <c r="H176" s="260" t="str">
        <f ca="1">OFFSET(Variables_Lu!$D$10,Basic_Setup!H52,0)</f>
        <v>Nutrition-sensitive</v>
      </c>
      <c r="I176" s="308">
        <f t="shared" si="69"/>
        <v>7697545.8846723391</v>
      </c>
      <c r="J176" s="150">
        <f t="shared" si="69"/>
        <v>849475.26038368326</v>
      </c>
      <c r="K176" s="150">
        <f t="shared" si="69"/>
        <v>-2624141.3912855033</v>
      </c>
      <c r="L176" s="150">
        <f t="shared" si="69"/>
        <v>822412.41009583045</v>
      </c>
      <c r="M176" s="150">
        <f t="shared" si="69"/>
        <v>4318376.3406871641</v>
      </c>
      <c r="N176" s="150">
        <f t="shared" si="69"/>
        <v>4331423.2647911645</v>
      </c>
    </row>
    <row r="177" spans="6:14" ht="34.200000000000003" x14ac:dyDescent="0.2">
      <c r="F177" s="447"/>
      <c r="G177" s="42" t="str">
        <f>STRAT4_IND2</f>
        <v xml:space="preserve">Se fortalece la capacidad de resiliencia y el estado nutricional de las poblaciones vulnerables, incluidos los niños de las zonas desfavorecidas.  </v>
      </c>
      <c r="H177" s="260" t="str">
        <f ca="1">OFFSET(Variables_Lu!$D$10,Basic_Setup!H53,0)</f>
        <v>Nutrition-specific</v>
      </c>
      <c r="I177" s="308">
        <f t="shared" si="69"/>
        <v>23778713.884672344</v>
      </c>
      <c r="J177" s="150">
        <f t="shared" si="69"/>
        <v>4745152.7603836833</v>
      </c>
      <c r="K177" s="150">
        <f t="shared" si="69"/>
        <v>4728271.6087144976</v>
      </c>
      <c r="L177" s="150">
        <f t="shared" si="69"/>
        <v>4755489.9100958304</v>
      </c>
      <c r="M177" s="150">
        <f t="shared" si="69"/>
        <v>4768376.3406871641</v>
      </c>
      <c r="N177" s="150">
        <f t="shared" si="69"/>
        <v>4781423.2647911645</v>
      </c>
    </row>
    <row r="178" spans="6:14" ht="34.200000000000003" x14ac:dyDescent="0.2">
      <c r="F178" s="447"/>
      <c r="G178" s="42" t="str">
        <f>STRAT4_IND3</f>
        <v xml:space="preserve"> Se introducen eficazmente intervenciones para emergencias y catástrofes naturales integrales de la nutrición.</v>
      </c>
      <c r="H178" s="260" t="str">
        <f ca="1">OFFSET(Variables_Lu!$D$10,Basic_Setup!H54,0)</f>
        <v>Nutrition-specific</v>
      </c>
      <c r="I178" s="308">
        <f t="shared" si="69"/>
        <v>22680613.884672344</v>
      </c>
      <c r="J178" s="150">
        <f t="shared" si="69"/>
        <v>4552552.7603836833</v>
      </c>
      <c r="K178" s="150">
        <f t="shared" si="69"/>
        <v>4512771.6087144976</v>
      </c>
      <c r="L178" s="150">
        <f t="shared" si="69"/>
        <v>4525489.9100958304</v>
      </c>
      <c r="M178" s="150">
        <f t="shared" si="69"/>
        <v>4538376.3406871641</v>
      </c>
      <c r="N178" s="150">
        <f t="shared" si="69"/>
        <v>4551423.2647911645</v>
      </c>
    </row>
    <row r="179" spans="6:14" ht="12" x14ac:dyDescent="0.2">
      <c r="F179" s="447"/>
      <c r="G179" s="41" t="str">
        <f>STRAT4_IND4</f>
        <v>Objetivo estratégico 4 Indicador 4</v>
      </c>
      <c r="H179" s="260" t="str">
        <f ca="1">OFFSET(Variables_Lu!$D$10,Basic_Setup!H55,0)</f>
        <v>Nutrition-specific</v>
      </c>
      <c r="I179" s="308">
        <f t="shared" si="69"/>
        <v>0</v>
      </c>
      <c r="J179" s="150">
        <f t="shared" si="69"/>
        <v>0</v>
      </c>
      <c r="K179" s="150">
        <f t="shared" si="69"/>
        <v>0</v>
      </c>
      <c r="L179" s="150">
        <f t="shared" si="69"/>
        <v>0</v>
      </c>
      <c r="M179" s="150">
        <f t="shared" si="69"/>
        <v>0</v>
      </c>
      <c r="N179" s="150">
        <f t="shared" si="69"/>
        <v>0</v>
      </c>
    </row>
    <row r="180" spans="6:14" ht="12" x14ac:dyDescent="0.2">
      <c r="F180" s="448"/>
      <c r="G180" s="41" t="str">
        <f>STRAT4_IND5</f>
        <v>Objetivo estratégico 4 Indicador 5</v>
      </c>
      <c r="H180" s="260" t="str">
        <f ca="1">OFFSET(Variables_Lu!$D$10,Basic_Setup!H56,0)</f>
        <v>Nutrition-specific</v>
      </c>
      <c r="I180" s="308">
        <f t="shared" si="69"/>
        <v>0</v>
      </c>
      <c r="J180" s="150">
        <f t="shared" si="69"/>
        <v>0</v>
      </c>
      <c r="K180" s="150">
        <f t="shared" si="69"/>
        <v>0</v>
      </c>
      <c r="L180" s="150">
        <f t="shared" si="69"/>
        <v>0</v>
      </c>
      <c r="M180" s="150">
        <f t="shared" si="69"/>
        <v>0</v>
      </c>
      <c r="N180" s="150">
        <f t="shared" si="69"/>
        <v>0</v>
      </c>
    </row>
    <row r="181" spans="6:14" ht="12" x14ac:dyDescent="0.2">
      <c r="H181" s="152" t="s">
        <v>541</v>
      </c>
      <c r="I181" s="310">
        <f t="shared" si="69"/>
        <v>54156873.654017024</v>
      </c>
      <c r="J181" s="313">
        <f t="shared" si="69"/>
        <v>10147180.781151051</v>
      </c>
      <c r="K181" s="313">
        <f t="shared" si="69"/>
        <v>6616901.8261434929</v>
      </c>
      <c r="L181" s="313">
        <f t="shared" si="69"/>
        <v>10103392.230287492</v>
      </c>
      <c r="M181" s="313">
        <f t="shared" si="69"/>
        <v>13625129.022061491</v>
      </c>
      <c r="N181" s="313">
        <f t="shared" si="69"/>
        <v>13664269.794373494</v>
      </c>
    </row>
    <row r="182" spans="6:14" ht="36" customHeight="1" x14ac:dyDescent="0.2">
      <c r="F182" s="447" t="str">
        <f>Strategy5</f>
        <v xml:space="preserve">Objetivo estratégico 5: Promoción de prácticas favorables a una nutrición óptima, de higiene y saneamiento básico. </v>
      </c>
      <c r="G182" s="42" t="str">
        <f>STRAT5_IND1</f>
        <v>Se mejoran las prácticas nutricionales favorables para los niños menores de 5 años, los adolescentes, las mujeres embarazadas y lactantes, y otros grupos vulnerables.</v>
      </c>
      <c r="H182" s="260" t="str">
        <f ca="1">OFFSET(Variables_Lu!$D$10,Basic_Setup!H58,0)</f>
        <v>Nutrition-specific</v>
      </c>
      <c r="I182" s="308">
        <f t="shared" si="69"/>
        <v>-1875979.6690173906</v>
      </c>
      <c r="J182" s="150">
        <f t="shared" si="69"/>
        <v>-1907146.1807170529</v>
      </c>
      <c r="K182" s="150">
        <f t="shared" si="69"/>
        <v>-338635.70540841791</v>
      </c>
      <c r="L182" s="150">
        <f t="shared" si="69"/>
        <v>-65055.335038047364</v>
      </c>
      <c r="M182" s="150">
        <f t="shared" si="69"/>
        <v>216039.88718417485</v>
      </c>
      <c r="N182" s="150">
        <f t="shared" si="69"/>
        <v>218817.66496195263</v>
      </c>
    </row>
    <row r="183" spans="6:14" ht="22.8" x14ac:dyDescent="0.2">
      <c r="F183" s="447"/>
      <c r="G183" s="42" t="str">
        <f>STRAT5_IND2</f>
        <v>Se promueven dietas saludables y estilos de vida saludables para las personas.</v>
      </c>
      <c r="H183" s="260" t="str">
        <f ca="1">OFFSET(Variables_Lu!$D$10,Basic_Setup!H59,0)</f>
        <v>Nutrition-specific</v>
      </c>
      <c r="I183" s="308">
        <f t="shared" si="69"/>
        <v>8194850.3309826087</v>
      </c>
      <c r="J183" s="150">
        <f t="shared" si="69"/>
        <v>448012.81928294699</v>
      </c>
      <c r="K183" s="150">
        <f t="shared" si="69"/>
        <v>1933162.2945915821</v>
      </c>
      <c r="L183" s="150">
        <f t="shared" si="69"/>
        <v>1938817.6649619527</v>
      </c>
      <c r="M183" s="150">
        <f t="shared" si="69"/>
        <v>1936039.887184175</v>
      </c>
      <c r="N183" s="150">
        <f t="shared" si="69"/>
        <v>1938817.6649619527</v>
      </c>
    </row>
    <row r="184" spans="6:14" ht="22.8" x14ac:dyDescent="0.2">
      <c r="F184" s="447"/>
      <c r="G184" s="42" t="str">
        <f>STRAT5_IND3</f>
        <v>Se promueven las buenas prácticas WASH a nivel comunitario y doméstico</v>
      </c>
      <c r="H184" s="260" t="str">
        <f ca="1">OFFSET(Variables_Lu!$D$10,Basic_Setup!H60,0)</f>
        <v>Nutrition-sensitive</v>
      </c>
      <c r="I184" s="308">
        <f t="shared" si="69"/>
        <v>7030750.3309826087</v>
      </c>
      <c r="J184" s="150">
        <f t="shared" si="69"/>
        <v>226612.81928294699</v>
      </c>
      <c r="K184" s="150">
        <f t="shared" si="69"/>
        <v>1710462.2945915821</v>
      </c>
      <c r="L184" s="150">
        <f t="shared" si="69"/>
        <v>1698817.6649619527</v>
      </c>
      <c r="M184" s="150">
        <f t="shared" si="69"/>
        <v>1696039.887184175</v>
      </c>
      <c r="N184" s="150">
        <f t="shared" si="69"/>
        <v>1698817.6649619527</v>
      </c>
    </row>
    <row r="185" spans="6:14" ht="12" x14ac:dyDescent="0.2">
      <c r="F185" s="447"/>
      <c r="G185" s="41" t="str">
        <f>STRAT5_IND4</f>
        <v>Objetivo estratégico 5 Indicador 4</v>
      </c>
      <c r="H185" s="260" t="str">
        <f ca="1">OFFSET(Variables_Lu!$D$10,Basic_Setup!H61,0)</f>
        <v>Nutrition-specific</v>
      </c>
      <c r="I185" s="308">
        <f t="shared" si="69"/>
        <v>0</v>
      </c>
      <c r="J185" s="150">
        <f t="shared" si="69"/>
        <v>0</v>
      </c>
      <c r="K185" s="150">
        <f t="shared" si="69"/>
        <v>0</v>
      </c>
      <c r="L185" s="150">
        <f t="shared" si="69"/>
        <v>0</v>
      </c>
      <c r="M185" s="150">
        <f t="shared" si="69"/>
        <v>0</v>
      </c>
      <c r="N185" s="150">
        <f t="shared" si="69"/>
        <v>0</v>
      </c>
    </row>
    <row r="186" spans="6:14" ht="12" x14ac:dyDescent="0.2">
      <c r="F186" s="448"/>
      <c r="G186" s="41" t="str">
        <f>STRAT5_IND5</f>
        <v>Objetivo estratégico 5 Indicador 5</v>
      </c>
      <c r="H186" s="260" t="str">
        <f ca="1">OFFSET(Variables_Lu!$D$10,Basic_Setup!H62,0)</f>
        <v>Nutrition-specific</v>
      </c>
      <c r="I186" s="308">
        <f t="shared" si="69"/>
        <v>0</v>
      </c>
      <c r="J186" s="150">
        <f t="shared" si="69"/>
        <v>0</v>
      </c>
      <c r="K186" s="150">
        <f t="shared" si="69"/>
        <v>0</v>
      </c>
      <c r="L186" s="150">
        <f t="shared" si="69"/>
        <v>0</v>
      </c>
      <c r="M186" s="150">
        <f t="shared" si="69"/>
        <v>0</v>
      </c>
      <c r="N186" s="150">
        <f t="shared" si="69"/>
        <v>0</v>
      </c>
    </row>
    <row r="187" spans="6:14" ht="12" x14ac:dyDescent="0.2">
      <c r="H187" s="152" t="s">
        <v>542</v>
      </c>
      <c r="I187" s="310">
        <f t="shared" si="69"/>
        <v>13349620.992947828</v>
      </c>
      <c r="J187" s="313">
        <f t="shared" si="69"/>
        <v>-1232520.5421511587</v>
      </c>
      <c r="K187" s="313">
        <f t="shared" si="69"/>
        <v>3304988.8837747462</v>
      </c>
      <c r="L187" s="313">
        <f t="shared" si="69"/>
        <v>3572579.9948858577</v>
      </c>
      <c r="M187" s="313">
        <f t="shared" si="69"/>
        <v>3848119.6615525247</v>
      </c>
      <c r="N187" s="313">
        <f t="shared" si="69"/>
        <v>3856452.9948858577</v>
      </c>
    </row>
    <row r="188" spans="6:14" ht="12" x14ac:dyDescent="0.2">
      <c r="F188" s="447" t="str">
        <f>Strategy6</f>
        <v>Objetivo estratégico 6: [No está en uso]</v>
      </c>
      <c r="G188" s="42" t="str">
        <f>STRAT6_IND1</f>
        <v>Objetivo estratégico 6 Indicador 1</v>
      </c>
      <c r="H188" s="260" t="str">
        <f ca="1">OFFSET(Variables_Lu!$D$10,Basic_Setup!H64,0)</f>
        <v>Nutrition-specific</v>
      </c>
      <c r="I188" s="308">
        <f t="shared" si="69"/>
        <v>0</v>
      </c>
      <c r="J188" s="150">
        <f t="shared" si="69"/>
        <v>0</v>
      </c>
      <c r="K188" s="150">
        <f t="shared" si="69"/>
        <v>0</v>
      </c>
      <c r="L188" s="150">
        <f t="shared" si="69"/>
        <v>0</v>
      </c>
      <c r="M188" s="150">
        <f t="shared" si="69"/>
        <v>0</v>
      </c>
      <c r="N188" s="150">
        <f t="shared" si="69"/>
        <v>0</v>
      </c>
    </row>
    <row r="189" spans="6:14" ht="12" x14ac:dyDescent="0.2">
      <c r="F189" s="447"/>
      <c r="G189" s="42" t="str">
        <f>STRAT6_IND2</f>
        <v>Objetivo estratégico 6 Indicador 2</v>
      </c>
      <c r="H189" s="260" t="str">
        <f ca="1">OFFSET(Variables_Lu!$D$10,Basic_Setup!H65,0)</f>
        <v>Nutrition-specific</v>
      </c>
      <c r="I189" s="308">
        <f t="shared" si="69"/>
        <v>0</v>
      </c>
      <c r="J189" s="150">
        <f t="shared" si="69"/>
        <v>0</v>
      </c>
      <c r="K189" s="150">
        <f t="shared" si="69"/>
        <v>0</v>
      </c>
      <c r="L189" s="150">
        <f t="shared" si="69"/>
        <v>0</v>
      </c>
      <c r="M189" s="150">
        <f t="shared" si="69"/>
        <v>0</v>
      </c>
      <c r="N189" s="150">
        <f t="shared" si="69"/>
        <v>0</v>
      </c>
    </row>
    <row r="190" spans="6:14" s="38" customFormat="1" ht="12" x14ac:dyDescent="0.2">
      <c r="F190" s="447"/>
      <c r="G190" s="42" t="str">
        <f>STRAT6_IND3</f>
        <v>Objetivo estratégico 6 Indicador 3</v>
      </c>
      <c r="H190" s="260" t="str">
        <f ca="1">OFFSET(Variables_Lu!$D$10,Basic_Setup!H66,0)</f>
        <v>Nutrition-specific</v>
      </c>
      <c r="I190" s="308">
        <f t="shared" ref="I190:N205" si="70">I124/EXCHANGE_RATE</f>
        <v>0</v>
      </c>
      <c r="J190" s="150">
        <f t="shared" si="70"/>
        <v>0</v>
      </c>
      <c r="K190" s="150">
        <f t="shared" si="70"/>
        <v>0</v>
      </c>
      <c r="L190" s="150">
        <f t="shared" si="70"/>
        <v>0</v>
      </c>
      <c r="M190" s="150">
        <f t="shared" si="70"/>
        <v>0</v>
      </c>
      <c r="N190" s="150">
        <f t="shared" si="70"/>
        <v>0</v>
      </c>
    </row>
    <row r="191" spans="6:14" s="38" customFormat="1" ht="12" x14ac:dyDescent="0.2">
      <c r="F191" s="447"/>
      <c r="G191" s="41" t="str">
        <f>STRAT6_IND4</f>
        <v>Objetivo estratégico 6 Indicador 4</v>
      </c>
      <c r="H191" s="260" t="str">
        <f ca="1">OFFSET(Variables_Lu!$D$10,Basic_Setup!H67,0)</f>
        <v>Nutrition-specific</v>
      </c>
      <c r="I191" s="308">
        <f t="shared" si="70"/>
        <v>0</v>
      </c>
      <c r="J191" s="150">
        <f t="shared" si="70"/>
        <v>0</v>
      </c>
      <c r="K191" s="150">
        <f t="shared" si="70"/>
        <v>0</v>
      </c>
      <c r="L191" s="150">
        <f t="shared" si="70"/>
        <v>0</v>
      </c>
      <c r="M191" s="150">
        <f t="shared" si="70"/>
        <v>0</v>
      </c>
      <c r="N191" s="150">
        <f t="shared" si="70"/>
        <v>0</v>
      </c>
    </row>
    <row r="192" spans="6:14" s="38" customFormat="1" ht="12" x14ac:dyDescent="0.2">
      <c r="F192" s="448"/>
      <c r="G192" s="41" t="str">
        <f>STRAT6_IND5</f>
        <v>Objetivo estratégico 6 Indicador 5</v>
      </c>
      <c r="H192" s="260" t="str">
        <f ca="1">OFFSET(Variables_Lu!$D$10,Basic_Setup!H68,0)</f>
        <v>Nutrition-specific</v>
      </c>
      <c r="I192" s="308">
        <f t="shared" si="70"/>
        <v>0</v>
      </c>
      <c r="J192" s="150">
        <f t="shared" si="70"/>
        <v>0</v>
      </c>
      <c r="K192" s="150">
        <f t="shared" si="70"/>
        <v>0</v>
      </c>
      <c r="L192" s="150">
        <f t="shared" si="70"/>
        <v>0</v>
      </c>
      <c r="M192" s="150">
        <f t="shared" si="70"/>
        <v>0</v>
      </c>
      <c r="N192" s="150">
        <f t="shared" si="70"/>
        <v>0</v>
      </c>
    </row>
    <row r="193" spans="6:14" s="38" customFormat="1" ht="12" x14ac:dyDescent="0.2">
      <c r="F193"/>
      <c r="G193"/>
      <c r="H193" s="152" t="s">
        <v>543</v>
      </c>
      <c r="I193" s="310">
        <f t="shared" si="70"/>
        <v>0</v>
      </c>
      <c r="J193" s="313">
        <f t="shared" si="70"/>
        <v>0</v>
      </c>
      <c r="K193" s="313">
        <f t="shared" si="70"/>
        <v>0</v>
      </c>
      <c r="L193" s="313">
        <f t="shared" si="70"/>
        <v>0</v>
      </c>
      <c r="M193" s="313">
        <f t="shared" si="70"/>
        <v>0</v>
      </c>
      <c r="N193" s="313">
        <f t="shared" si="70"/>
        <v>0</v>
      </c>
    </row>
    <row r="194" spans="6:14" s="38" customFormat="1" ht="12" x14ac:dyDescent="0.2">
      <c r="F194" s="447" t="str">
        <f>Strategy7</f>
        <v>Objetivo estratégico 7: [No está en uso]</v>
      </c>
      <c r="G194" s="42" t="str">
        <f>STRAT7_IND1</f>
        <v>Objetivo estratégico 7 Indicador 1</v>
      </c>
      <c r="H194" s="260" t="str">
        <f ca="1">OFFSET(Variables_Lu!$D$10,Basic_Setup!H70,0)</f>
        <v>Nutrition-specific</v>
      </c>
      <c r="I194" s="308">
        <f t="shared" si="70"/>
        <v>0</v>
      </c>
      <c r="J194" s="150">
        <f t="shared" si="70"/>
        <v>0</v>
      </c>
      <c r="K194" s="150">
        <f t="shared" si="70"/>
        <v>0</v>
      </c>
      <c r="L194" s="150">
        <f t="shared" si="70"/>
        <v>0</v>
      </c>
      <c r="M194" s="150">
        <f t="shared" si="70"/>
        <v>0</v>
      </c>
      <c r="N194" s="150">
        <f t="shared" si="70"/>
        <v>0</v>
      </c>
    </row>
    <row r="195" spans="6:14" s="38" customFormat="1" ht="12" x14ac:dyDescent="0.2">
      <c r="F195" s="447"/>
      <c r="G195" s="42" t="str">
        <f>STRAT7_IND2</f>
        <v>Objetivo estratégico 7 Indicador 2</v>
      </c>
      <c r="H195" s="260" t="str">
        <f ca="1">OFFSET(Variables_Lu!$D$10,Basic_Setup!H71,0)</f>
        <v>Nutrition-specific</v>
      </c>
      <c r="I195" s="308">
        <f t="shared" si="70"/>
        <v>0</v>
      </c>
      <c r="J195" s="150">
        <f t="shared" si="70"/>
        <v>0</v>
      </c>
      <c r="K195" s="150">
        <f t="shared" si="70"/>
        <v>0</v>
      </c>
      <c r="L195" s="150">
        <f t="shared" si="70"/>
        <v>0</v>
      </c>
      <c r="M195" s="150">
        <f t="shared" si="70"/>
        <v>0</v>
      </c>
      <c r="N195" s="150">
        <f t="shared" si="70"/>
        <v>0</v>
      </c>
    </row>
    <row r="196" spans="6:14" s="38" customFormat="1" ht="12" x14ac:dyDescent="0.2">
      <c r="F196" s="447"/>
      <c r="G196" s="42" t="str">
        <f>STRAT7_IND3</f>
        <v>Objetivo estratégico 7 Indicador 3</v>
      </c>
      <c r="H196" s="260" t="str">
        <f ca="1">OFFSET(Variables_Lu!$D$10,Basic_Setup!H72,0)</f>
        <v>Nutrition-specific</v>
      </c>
      <c r="I196" s="308">
        <f t="shared" si="70"/>
        <v>0</v>
      </c>
      <c r="J196" s="150">
        <f t="shared" si="70"/>
        <v>0</v>
      </c>
      <c r="K196" s="150">
        <f t="shared" si="70"/>
        <v>0</v>
      </c>
      <c r="L196" s="150">
        <f t="shared" si="70"/>
        <v>0</v>
      </c>
      <c r="M196" s="150">
        <f t="shared" si="70"/>
        <v>0</v>
      </c>
      <c r="N196" s="150">
        <f t="shared" si="70"/>
        <v>0</v>
      </c>
    </row>
    <row r="197" spans="6:14" s="38" customFormat="1" ht="12" x14ac:dyDescent="0.2">
      <c r="F197" s="447"/>
      <c r="G197" s="41" t="str">
        <f>STRAT7_IND4</f>
        <v>Objetivo estratégico 7 Indicador 4</v>
      </c>
      <c r="H197" s="260" t="str">
        <f ca="1">OFFSET(Variables_Lu!$D$10,Basic_Setup!H73,0)</f>
        <v>Nutrition-specific</v>
      </c>
      <c r="I197" s="308">
        <f t="shared" si="70"/>
        <v>0</v>
      </c>
      <c r="J197" s="150">
        <f t="shared" si="70"/>
        <v>0</v>
      </c>
      <c r="K197" s="150">
        <f t="shared" si="70"/>
        <v>0</v>
      </c>
      <c r="L197" s="150">
        <f t="shared" si="70"/>
        <v>0</v>
      </c>
      <c r="M197" s="150">
        <f t="shared" si="70"/>
        <v>0</v>
      </c>
      <c r="N197" s="150">
        <f t="shared" si="70"/>
        <v>0</v>
      </c>
    </row>
    <row r="198" spans="6:14" s="38" customFormat="1" ht="12" x14ac:dyDescent="0.2">
      <c r="F198" s="448"/>
      <c r="G198" s="41" t="str">
        <f>STRAT7_IND5</f>
        <v>Objetivo estratégico 7 Indicador 5</v>
      </c>
      <c r="H198" s="260" t="str">
        <f ca="1">OFFSET(Variables_Lu!$D$10,Basic_Setup!H74,0)</f>
        <v>Nutrition-specific</v>
      </c>
      <c r="I198" s="308">
        <f t="shared" si="70"/>
        <v>0</v>
      </c>
      <c r="J198" s="150">
        <f t="shared" si="70"/>
        <v>0</v>
      </c>
      <c r="K198" s="150">
        <f t="shared" si="70"/>
        <v>0</v>
      </c>
      <c r="L198" s="150">
        <f t="shared" si="70"/>
        <v>0</v>
      </c>
      <c r="M198" s="150">
        <f t="shared" si="70"/>
        <v>0</v>
      </c>
      <c r="N198" s="150">
        <f t="shared" si="70"/>
        <v>0</v>
      </c>
    </row>
    <row r="199" spans="6:14" s="38" customFormat="1" ht="12" x14ac:dyDescent="0.2">
      <c r="F199"/>
      <c r="G199"/>
      <c r="H199" s="152" t="s">
        <v>544</v>
      </c>
      <c r="I199" s="310">
        <f t="shared" si="70"/>
        <v>0</v>
      </c>
      <c r="J199" s="313">
        <f t="shared" si="70"/>
        <v>0</v>
      </c>
      <c r="K199" s="313">
        <f t="shared" si="70"/>
        <v>0</v>
      </c>
      <c r="L199" s="313">
        <f t="shared" si="70"/>
        <v>0</v>
      </c>
      <c r="M199" s="313">
        <f t="shared" si="70"/>
        <v>0</v>
      </c>
      <c r="N199" s="313">
        <f t="shared" si="70"/>
        <v>0</v>
      </c>
    </row>
    <row r="200" spans="6:14" s="38" customFormat="1" ht="12" x14ac:dyDescent="0.2">
      <c r="F200" s="447" t="str">
        <f>Strategy8</f>
        <v>Objetivo estratégico 8: [No está en uso]</v>
      </c>
      <c r="G200" s="42" t="str">
        <f>STRAT8_IND1</f>
        <v>Objetivo estratégico 8 Indicador 1</v>
      </c>
      <c r="H200" s="260" t="str">
        <f ca="1">OFFSET(Variables_Lu!$D$10,Basic_Setup!H76,0)</f>
        <v>Nutrition-specific</v>
      </c>
      <c r="I200" s="308">
        <f t="shared" si="70"/>
        <v>0</v>
      </c>
      <c r="J200" s="150">
        <f t="shared" si="70"/>
        <v>0</v>
      </c>
      <c r="K200" s="150">
        <f t="shared" si="70"/>
        <v>0</v>
      </c>
      <c r="L200" s="150">
        <f t="shared" si="70"/>
        <v>0</v>
      </c>
      <c r="M200" s="150">
        <f t="shared" si="70"/>
        <v>0</v>
      </c>
      <c r="N200" s="150">
        <f t="shared" si="70"/>
        <v>0</v>
      </c>
    </row>
    <row r="201" spans="6:14" s="38" customFormat="1" ht="12" x14ac:dyDescent="0.2">
      <c r="F201" s="447"/>
      <c r="G201" s="42" t="str">
        <f>STRAT8_IND2</f>
        <v>Objetivo estratégico 8 Indicador 2</v>
      </c>
      <c r="H201" s="260" t="str">
        <f ca="1">OFFSET(Variables_Lu!$D$10,Basic_Setup!H77,0)</f>
        <v>Nutrition-specific</v>
      </c>
      <c r="I201" s="308">
        <f t="shared" si="70"/>
        <v>0</v>
      </c>
      <c r="J201" s="150">
        <f t="shared" si="70"/>
        <v>0</v>
      </c>
      <c r="K201" s="150">
        <f t="shared" si="70"/>
        <v>0</v>
      </c>
      <c r="L201" s="150">
        <f t="shared" si="70"/>
        <v>0</v>
      </c>
      <c r="M201" s="150">
        <f t="shared" si="70"/>
        <v>0</v>
      </c>
      <c r="N201" s="150">
        <f t="shared" si="70"/>
        <v>0</v>
      </c>
    </row>
    <row r="202" spans="6:14" s="38" customFormat="1" ht="12" x14ac:dyDescent="0.2">
      <c r="F202" s="447"/>
      <c r="G202" s="42" t="str">
        <f>STRAT8_IND3</f>
        <v>Objetivo estratégico 8 Indicador 3</v>
      </c>
      <c r="H202" s="260" t="str">
        <f ca="1">OFFSET(Variables_Lu!$D$10,Basic_Setup!H78,0)</f>
        <v>Nutrition-specific</v>
      </c>
      <c r="I202" s="308">
        <f t="shared" si="70"/>
        <v>0</v>
      </c>
      <c r="J202" s="150">
        <f t="shared" si="70"/>
        <v>0</v>
      </c>
      <c r="K202" s="150">
        <f t="shared" si="70"/>
        <v>0</v>
      </c>
      <c r="L202" s="150">
        <f t="shared" si="70"/>
        <v>0</v>
      </c>
      <c r="M202" s="150">
        <f t="shared" si="70"/>
        <v>0</v>
      </c>
      <c r="N202" s="150">
        <f t="shared" si="70"/>
        <v>0</v>
      </c>
    </row>
    <row r="203" spans="6:14" s="38" customFormat="1" ht="12" x14ac:dyDescent="0.2">
      <c r="F203" s="447"/>
      <c r="G203" s="41" t="str">
        <f>STRAT8_IND4</f>
        <v>Objetivo estratégico 8 Indicador 4</v>
      </c>
      <c r="H203" s="260" t="str">
        <f ca="1">OFFSET(Variables_Lu!$D$10,Basic_Setup!H79,0)</f>
        <v>Nutrition-specific</v>
      </c>
      <c r="I203" s="308">
        <f t="shared" si="70"/>
        <v>0</v>
      </c>
      <c r="J203" s="150">
        <f t="shared" si="70"/>
        <v>0</v>
      </c>
      <c r="K203" s="150">
        <f t="shared" si="70"/>
        <v>0</v>
      </c>
      <c r="L203" s="150">
        <f t="shared" si="70"/>
        <v>0</v>
      </c>
      <c r="M203" s="150">
        <f t="shared" si="70"/>
        <v>0</v>
      </c>
      <c r="N203" s="150">
        <f t="shared" si="70"/>
        <v>0</v>
      </c>
    </row>
    <row r="204" spans="6:14" s="38" customFormat="1" ht="12" x14ac:dyDescent="0.2">
      <c r="F204" s="448"/>
      <c r="G204" s="41" t="str">
        <f>STRAT8_IND5</f>
        <v>Objetivo estratégico 8 Indicador 5</v>
      </c>
      <c r="H204" s="260" t="str">
        <f ca="1">OFFSET(Variables_Lu!$D$10,Basic_Setup!H80,0)</f>
        <v>Nutrition-specific</v>
      </c>
      <c r="I204" s="308">
        <f t="shared" si="70"/>
        <v>0</v>
      </c>
      <c r="J204" s="150">
        <f t="shared" si="70"/>
        <v>0</v>
      </c>
      <c r="K204" s="150">
        <f t="shared" si="70"/>
        <v>0</v>
      </c>
      <c r="L204" s="150">
        <f t="shared" si="70"/>
        <v>0</v>
      </c>
      <c r="M204" s="150">
        <f t="shared" si="70"/>
        <v>0</v>
      </c>
      <c r="N204" s="150">
        <f t="shared" si="70"/>
        <v>0</v>
      </c>
    </row>
    <row r="205" spans="6:14" ht="12" x14ac:dyDescent="0.2">
      <c r="H205" s="152" t="s">
        <v>545</v>
      </c>
      <c r="I205" s="310">
        <f t="shared" si="70"/>
        <v>0</v>
      </c>
      <c r="J205" s="313">
        <f t="shared" si="70"/>
        <v>0</v>
      </c>
      <c r="K205" s="313">
        <f t="shared" si="70"/>
        <v>0</v>
      </c>
      <c r="L205" s="313">
        <f t="shared" si="70"/>
        <v>0</v>
      </c>
      <c r="M205" s="313">
        <f t="shared" si="70"/>
        <v>0</v>
      </c>
      <c r="N205" s="313">
        <f t="shared" si="70"/>
        <v>0</v>
      </c>
    </row>
    <row r="206" spans="6:14" ht="12" x14ac:dyDescent="0.2">
      <c r="F206" s="447" t="str">
        <f>Strategy9</f>
        <v>Objetivo estratégico 9: [No está en uso]</v>
      </c>
      <c r="G206" s="42" t="str">
        <f>STRAT9_IND1</f>
        <v>Objetivo estratégico 9 Indicador 1</v>
      </c>
      <c r="H206" s="260" t="str">
        <f ca="1">OFFSET(Variables_Lu!$D$10,Basic_Setup!H82,0)</f>
        <v>Nutrition-specific</v>
      </c>
      <c r="I206" s="308">
        <f t="shared" ref="I206:N217" si="71">I140/EXCHANGE_RATE</f>
        <v>0</v>
      </c>
      <c r="J206" s="150">
        <f t="shared" si="71"/>
        <v>0</v>
      </c>
      <c r="K206" s="150">
        <f t="shared" si="71"/>
        <v>0</v>
      </c>
      <c r="L206" s="150">
        <f t="shared" si="71"/>
        <v>0</v>
      </c>
      <c r="M206" s="150">
        <f t="shared" si="71"/>
        <v>0</v>
      </c>
      <c r="N206" s="150">
        <f t="shared" si="71"/>
        <v>0</v>
      </c>
    </row>
    <row r="207" spans="6:14" ht="12" x14ac:dyDescent="0.2">
      <c r="F207" s="447"/>
      <c r="G207" s="42" t="str">
        <f>STRAT9_IND2</f>
        <v>Objetivo estratégico 9 Indicador 2</v>
      </c>
      <c r="H207" s="260" t="str">
        <f ca="1">OFFSET(Variables_Lu!$D$10,Basic_Setup!H83,0)</f>
        <v>Nutrition-specific</v>
      </c>
      <c r="I207" s="308">
        <f t="shared" si="71"/>
        <v>0</v>
      </c>
      <c r="J207" s="150">
        <f t="shared" si="71"/>
        <v>0</v>
      </c>
      <c r="K207" s="150">
        <f t="shared" si="71"/>
        <v>0</v>
      </c>
      <c r="L207" s="150">
        <f t="shared" si="71"/>
        <v>0</v>
      </c>
      <c r="M207" s="150">
        <f t="shared" si="71"/>
        <v>0</v>
      </c>
      <c r="N207" s="150">
        <f t="shared" si="71"/>
        <v>0</v>
      </c>
    </row>
    <row r="208" spans="6:14" ht="12" x14ac:dyDescent="0.2">
      <c r="F208" s="447"/>
      <c r="G208" s="42" t="str">
        <f>STRAT9_IND3</f>
        <v>Objetivo estratégico 9 Indicador 3</v>
      </c>
      <c r="H208" s="260" t="str">
        <f ca="1">OFFSET(Variables_Lu!$D$10,Basic_Setup!H84,0)</f>
        <v>Nutrition-specific</v>
      </c>
      <c r="I208" s="308">
        <f t="shared" si="71"/>
        <v>0</v>
      </c>
      <c r="J208" s="150">
        <f t="shared" si="71"/>
        <v>0</v>
      </c>
      <c r="K208" s="150">
        <f t="shared" si="71"/>
        <v>0</v>
      </c>
      <c r="L208" s="150">
        <f t="shared" si="71"/>
        <v>0</v>
      </c>
      <c r="M208" s="150">
        <f t="shared" si="71"/>
        <v>0</v>
      </c>
      <c r="N208" s="150">
        <f t="shared" si="71"/>
        <v>0</v>
      </c>
    </row>
    <row r="209" spans="6:14" ht="12" x14ac:dyDescent="0.2">
      <c r="F209" s="447"/>
      <c r="G209" s="41" t="str">
        <f>STRAT9_IND4</f>
        <v>Objetivo estratégico 9 Indicador 4</v>
      </c>
      <c r="H209" s="260" t="str">
        <f ca="1">OFFSET(Variables_Lu!$D$10,Basic_Setup!H85,0)</f>
        <v>Nutrition-specific</v>
      </c>
      <c r="I209" s="308">
        <f t="shared" si="71"/>
        <v>0</v>
      </c>
      <c r="J209" s="150">
        <f t="shared" si="71"/>
        <v>0</v>
      </c>
      <c r="K209" s="150">
        <f t="shared" si="71"/>
        <v>0</v>
      </c>
      <c r="L209" s="150">
        <f t="shared" si="71"/>
        <v>0</v>
      </c>
      <c r="M209" s="150">
        <f t="shared" si="71"/>
        <v>0</v>
      </c>
      <c r="N209" s="150">
        <f t="shared" si="71"/>
        <v>0</v>
      </c>
    </row>
    <row r="210" spans="6:14" ht="12" x14ac:dyDescent="0.2">
      <c r="F210" s="448"/>
      <c r="G210" s="41" t="str">
        <f>STRAT9_IND5</f>
        <v>Objetivo estratégico 9 Indicador 5</v>
      </c>
      <c r="H210" s="260" t="str">
        <f ca="1">OFFSET(Variables_Lu!$D$10,Basic_Setup!H86,0)</f>
        <v>Nutrition-specific</v>
      </c>
      <c r="I210" s="308">
        <f t="shared" si="71"/>
        <v>0</v>
      </c>
      <c r="J210" s="150">
        <f t="shared" si="71"/>
        <v>0</v>
      </c>
      <c r="K210" s="150">
        <f t="shared" si="71"/>
        <v>0</v>
      </c>
      <c r="L210" s="150">
        <f t="shared" si="71"/>
        <v>0</v>
      </c>
      <c r="M210" s="150">
        <f t="shared" si="71"/>
        <v>0</v>
      </c>
      <c r="N210" s="150">
        <f t="shared" si="71"/>
        <v>0</v>
      </c>
    </row>
    <row r="211" spans="6:14" ht="12" x14ac:dyDescent="0.2">
      <c r="H211" s="152" t="s">
        <v>546</v>
      </c>
      <c r="I211" s="310">
        <f t="shared" si="71"/>
        <v>0</v>
      </c>
      <c r="J211" s="313">
        <f t="shared" si="71"/>
        <v>0</v>
      </c>
      <c r="K211" s="313">
        <f t="shared" si="71"/>
        <v>0</v>
      </c>
      <c r="L211" s="313">
        <f t="shared" si="71"/>
        <v>0</v>
      </c>
      <c r="M211" s="313">
        <f t="shared" si="71"/>
        <v>0</v>
      </c>
      <c r="N211" s="313">
        <f t="shared" si="71"/>
        <v>0</v>
      </c>
    </row>
    <row r="212" spans="6:14" ht="12" x14ac:dyDescent="0.2">
      <c r="F212" s="447" t="str">
        <f>Strategy10</f>
        <v>Objetivo estratégico 10: [No está en uso]</v>
      </c>
      <c r="G212" s="42" t="str">
        <f>STRAT10_IND1</f>
        <v>Objetivo estratégico 10 Indicador 1</v>
      </c>
      <c r="H212" s="260" t="str">
        <f ca="1">OFFSET(Variables_Lu!$D$10,Basic_Setup!H88,0)</f>
        <v>Nutrition-specific</v>
      </c>
      <c r="I212" s="308">
        <f t="shared" si="71"/>
        <v>0</v>
      </c>
      <c r="J212" s="150">
        <f t="shared" si="71"/>
        <v>0</v>
      </c>
      <c r="K212" s="150">
        <f t="shared" si="71"/>
        <v>0</v>
      </c>
      <c r="L212" s="150">
        <f t="shared" si="71"/>
        <v>0</v>
      </c>
      <c r="M212" s="150">
        <f t="shared" si="71"/>
        <v>0</v>
      </c>
      <c r="N212" s="150">
        <f t="shared" si="71"/>
        <v>0</v>
      </c>
    </row>
    <row r="213" spans="6:14" ht="12" x14ac:dyDescent="0.2">
      <c r="F213" s="447"/>
      <c r="G213" s="42" t="str">
        <f>STRAT10_IND2</f>
        <v>Objetivo estratégico 10 Indicador 2</v>
      </c>
      <c r="H213" s="260" t="str">
        <f ca="1">OFFSET(Variables_Lu!$D$10,Basic_Setup!H89,0)</f>
        <v>Nutrition-specific</v>
      </c>
      <c r="I213" s="308">
        <f t="shared" si="71"/>
        <v>0</v>
      </c>
      <c r="J213" s="150">
        <f t="shared" si="71"/>
        <v>0</v>
      </c>
      <c r="K213" s="150">
        <f t="shared" si="71"/>
        <v>0</v>
      </c>
      <c r="L213" s="150">
        <f t="shared" si="71"/>
        <v>0</v>
      </c>
      <c r="M213" s="150">
        <f t="shared" si="71"/>
        <v>0</v>
      </c>
      <c r="N213" s="150">
        <f t="shared" si="71"/>
        <v>0</v>
      </c>
    </row>
    <row r="214" spans="6:14" ht="12" x14ac:dyDescent="0.2">
      <c r="F214" s="447"/>
      <c r="G214" s="42" t="str">
        <f>STRAT10_IND3</f>
        <v>Objetivo estratégico 10 Indicador 3</v>
      </c>
      <c r="H214" s="260" t="str">
        <f ca="1">OFFSET(Variables_Lu!$D$10,Basic_Setup!H90,0)</f>
        <v>Nutrition-specific</v>
      </c>
      <c r="I214" s="308">
        <f t="shared" si="71"/>
        <v>0</v>
      </c>
      <c r="J214" s="150">
        <f t="shared" si="71"/>
        <v>0</v>
      </c>
      <c r="K214" s="150">
        <f t="shared" si="71"/>
        <v>0</v>
      </c>
      <c r="L214" s="150">
        <f t="shared" si="71"/>
        <v>0</v>
      </c>
      <c r="M214" s="150">
        <f t="shared" si="71"/>
        <v>0</v>
      </c>
      <c r="N214" s="150">
        <f t="shared" si="71"/>
        <v>0</v>
      </c>
    </row>
    <row r="215" spans="6:14" ht="12" x14ac:dyDescent="0.2">
      <c r="F215" s="447"/>
      <c r="G215" s="41" t="str">
        <f>STRAT10_IND4</f>
        <v>Objetivo estratégico 10 Indicador 4</v>
      </c>
      <c r="H215" s="260" t="str">
        <f ca="1">OFFSET(Variables_Lu!$D$10,Basic_Setup!H91,0)</f>
        <v>Nutrition-specific</v>
      </c>
      <c r="I215" s="308">
        <f t="shared" si="71"/>
        <v>0</v>
      </c>
      <c r="J215" s="150">
        <f t="shared" si="71"/>
        <v>0</v>
      </c>
      <c r="K215" s="150">
        <f t="shared" si="71"/>
        <v>0</v>
      </c>
      <c r="L215" s="150">
        <f t="shared" si="71"/>
        <v>0</v>
      </c>
      <c r="M215" s="150">
        <f t="shared" si="71"/>
        <v>0</v>
      </c>
      <c r="N215" s="150">
        <f t="shared" si="71"/>
        <v>0</v>
      </c>
    </row>
    <row r="216" spans="6:14" ht="12" x14ac:dyDescent="0.2">
      <c r="F216" s="448"/>
      <c r="G216" s="41" t="str">
        <f>STRAT10_IND5</f>
        <v>Objetivo estratégico 10 Indicador 5</v>
      </c>
      <c r="H216" s="260" t="str">
        <f ca="1">OFFSET(Variables_Lu!$D$10,Basic_Setup!H92,0)</f>
        <v>Nutrition-specific</v>
      </c>
      <c r="I216" s="308">
        <f t="shared" si="71"/>
        <v>0</v>
      </c>
      <c r="J216" s="150">
        <f t="shared" si="71"/>
        <v>0</v>
      </c>
      <c r="K216" s="150">
        <f t="shared" si="71"/>
        <v>0</v>
      </c>
      <c r="L216" s="150">
        <f t="shared" si="71"/>
        <v>0</v>
      </c>
      <c r="M216" s="150">
        <f t="shared" si="71"/>
        <v>0</v>
      </c>
      <c r="N216" s="150">
        <f t="shared" si="71"/>
        <v>0</v>
      </c>
    </row>
    <row r="217" spans="6:14" ht="12" x14ac:dyDescent="0.2">
      <c r="H217" s="152" t="s">
        <v>547</v>
      </c>
      <c r="I217" s="310">
        <f t="shared" si="71"/>
        <v>0</v>
      </c>
      <c r="J217" s="313">
        <f t="shared" si="71"/>
        <v>0</v>
      </c>
      <c r="K217" s="313">
        <f t="shared" si="71"/>
        <v>0</v>
      </c>
      <c r="L217" s="313">
        <f t="shared" si="71"/>
        <v>0</v>
      </c>
      <c r="M217" s="313">
        <f t="shared" si="71"/>
        <v>0</v>
      </c>
      <c r="N217" s="313">
        <f t="shared" si="71"/>
        <v>0</v>
      </c>
    </row>
    <row r="218" spans="6:14" ht="12" x14ac:dyDescent="0.2">
      <c r="H218" s="152"/>
      <c r="I218" s="240"/>
      <c r="J218" s="64"/>
      <c r="K218" s="64"/>
      <c r="L218" s="64"/>
      <c r="M218" s="64"/>
      <c r="N218" s="64"/>
    </row>
    <row r="219" spans="6:14" ht="12" x14ac:dyDescent="0.2">
      <c r="H219" s="149" t="str">
        <f>"TOTAL - Gaps"&amp;" ("&amp;CURR_INT_ABBR&amp;")"</f>
        <v>TOTAL - Gaps (USD)</v>
      </c>
      <c r="I219" s="315">
        <f t="shared" ref="I219:N219" si="72">I153/EXCHANGE_RATE</f>
        <v>207364111.55398691</v>
      </c>
      <c r="J219" s="316">
        <f t="shared" si="72"/>
        <v>30757834.692596681</v>
      </c>
      <c r="K219" s="316">
        <f t="shared" si="72"/>
        <v>14428516.272508919</v>
      </c>
      <c r="L219" s="316">
        <f t="shared" si="72"/>
        <v>37465709.303660914</v>
      </c>
      <c r="M219" s="316">
        <f t="shared" si="72"/>
        <v>61725862.849359751</v>
      </c>
      <c r="N219" s="316">
        <f t="shared" si="72"/>
        <v>62986188.435860641</v>
      </c>
    </row>
  </sheetData>
  <mergeCells count="21">
    <mergeCell ref="B3:F3"/>
    <mergeCell ref="F92:F96"/>
    <mergeCell ref="F98:F102"/>
    <mergeCell ref="F104:F108"/>
    <mergeCell ref="F110:F114"/>
    <mergeCell ref="F116:F120"/>
    <mergeCell ref="F122:F126"/>
    <mergeCell ref="F128:F132"/>
    <mergeCell ref="F134:F138"/>
    <mergeCell ref="F140:F144"/>
    <mergeCell ref="F146:F150"/>
    <mergeCell ref="F158:F162"/>
    <mergeCell ref="F164:F168"/>
    <mergeCell ref="F170:F174"/>
    <mergeCell ref="F176:F180"/>
    <mergeCell ref="F212:F216"/>
    <mergeCell ref="F182:F186"/>
    <mergeCell ref="F188:F192"/>
    <mergeCell ref="F194:F198"/>
    <mergeCell ref="F200:F204"/>
    <mergeCell ref="F206:F210"/>
  </mergeCells>
  <dataValidations count="1">
    <dataValidation type="custom" showErrorMessage="1" errorTitle="Invalid Assumption" error="Assumption must be a number." sqref="I92:N153 J219:N219 J158:N217" xr:uid="{00000000-0002-0000-2300-000000000000}">
      <formula1>NOT(ISERROR(I92/1))</formula1>
    </dataValidation>
  </dataValidations>
  <hyperlinks>
    <hyperlink ref="C4" location="HL_Sheet_Main_18" tooltip="Go to Next Sheet" display="è" xr:uid="{00000000-0004-0000-2300-000000000000}"/>
    <hyperlink ref="B4" location="HL_Sheet_Main_15" tooltip="Go to Previous Sheet" display="ç" xr:uid="{00000000-0004-0000-2300-000001000000}"/>
    <hyperlink ref="A4" r:id="rId1" tooltip="Go to Top of Sheet" xr:uid="{00000000-0004-0000-2300-000002000000}"/>
    <hyperlink ref="B3" location="HL_Home" tooltip="Go to Table of Contents" display="Ir al índice" xr:uid="{00000000-0004-0000-2300-000003000000}"/>
    <hyperlink ref="A12" location="Outputs!A1" tooltip="Click to follow hyperlink." display="ï" xr:uid="{00000000-0004-0000-2300-000004000000}"/>
    <hyperlink ref="A32" location="Outputs!A1" tooltip="Click to follow hyperlink." display="ï" xr:uid="{00000000-0004-0000-2300-000005000000}"/>
    <hyperlink ref="A69" location="Outputs!A1" tooltip="Click to follow hyperlink." display="ï" xr:uid="{00000000-0004-0000-2300-000006000000}"/>
    <hyperlink ref="A87" location="Outputs!A1" tooltip="Click to follow hyperlink." display="ï" xr:uid="{00000000-0004-0000-2300-000007000000}"/>
  </hyperlinks>
  <pageMargins left="0.4" right="0.4" top="0.6" bottom="1" header="0" footer="0.3"/>
  <pageSetup orientation="landscape" r:id="rId2"/>
  <headerFooter>
    <oddFooter>&amp;L&amp;F
&amp;A
Impreso: &amp;T en &amp;D&amp;C&amp;",Bold"Sheet 3.d.
Página &amp;P de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theme="4"/>
  </sheetPr>
  <dimension ref="A1:AD934"/>
  <sheetViews>
    <sheetView showGridLines="0" topLeftCell="B1" workbookViewId="0">
      <pane ySplit="4" topLeftCell="A5" activePane="bottomLeft" state="frozen"/>
      <selection pane="bottomLeft" activeCell="I862" sqref="I862"/>
    </sheetView>
  </sheetViews>
  <sheetFormatPr defaultColWidth="11.75" defaultRowHeight="11.4" x14ac:dyDescent="0.2"/>
  <cols>
    <col min="1" max="4" width="3.75" customWidth="1"/>
    <col min="5" max="5" width="5.875" style="300" customWidth="1"/>
    <col min="6" max="6" width="61.375" customWidth="1"/>
    <col min="7" max="7" width="36.875" customWidth="1"/>
    <col min="8" max="30" width="18.75" customWidth="1"/>
  </cols>
  <sheetData>
    <row r="1" spans="1:30" ht="13.8" x14ac:dyDescent="0.2">
      <c r="B1" s="143" t="str">
        <f ca="1">IF(ISERROR(RIGHT(CELL("filename",$A$1),LEN(CELL("filename",$A$1))-FIND("]",CELL("filename",$A$1)))),"This workbook never saved",RIGHT(CELL("filename",$A$1),LEN(CELL("filename",$A$1))-FIND("]",CELL("filename",$A$1))))</f>
        <v>Financial_Gap_Details</v>
      </c>
    </row>
    <row r="2" spans="1:30" ht="13.2" x14ac:dyDescent="0.2">
      <c r="B2" s="5" t="str">
        <f>Model_Name</f>
        <v>Financial Gap Analysis Tool - País X (Datos de la muestra)</v>
      </c>
    </row>
    <row r="3" spans="1:30" x14ac:dyDescent="0.2">
      <c r="B3" s="425" t="s">
        <v>524</v>
      </c>
      <c r="C3" s="425"/>
      <c r="D3" s="425"/>
      <c r="E3" s="425"/>
      <c r="F3" s="425"/>
      <c r="G3" s="299"/>
      <c r="O3" s="384"/>
    </row>
    <row r="4" spans="1:30" x14ac:dyDescent="0.2">
      <c r="A4" s="6" t="s">
        <v>10</v>
      </c>
      <c r="B4" s="7" t="s">
        <v>2</v>
      </c>
      <c r="C4" s="8" t="s">
        <v>3</v>
      </c>
      <c r="D4" s="15"/>
      <c r="E4" s="16"/>
      <c r="F4" s="17"/>
      <c r="G4" s="17"/>
      <c r="O4" s="384"/>
    </row>
    <row r="6" spans="1:30" s="1" customFormat="1" ht="17.399999999999999" x14ac:dyDescent="0.2">
      <c r="A6" s="35" t="s">
        <v>77</v>
      </c>
      <c r="B6" s="1" t="str">
        <f>"Detailed Report of Financial Requirements, Financing Available (by Contributor), and Financial Gap ("&amp;Ts_First_Fin_Yr&amp;" - "&amp;Ts_First_Fin_Yr+4&amp;")"</f>
        <v>Detailed Report of Financial Requirements, Financing Available (by Contributor), and Financial Gap (2019 - 2023)</v>
      </c>
      <c r="E6" s="304"/>
      <c r="F6" s="99"/>
      <c r="G6" s="99"/>
    </row>
    <row r="8" spans="1:30" ht="17.399999999999999" x14ac:dyDescent="0.2">
      <c r="E8" s="305" t="str">
        <f>CURR_LCU_ABBR</f>
        <v>GOZ</v>
      </c>
      <c r="K8" s="384"/>
      <c r="L8" s="385"/>
      <c r="M8" s="384"/>
      <c r="N8" s="384"/>
      <c r="R8" s="384"/>
    </row>
    <row r="10" spans="1:30" ht="84" x14ac:dyDescent="0.2">
      <c r="E10" s="303" t="s">
        <v>140</v>
      </c>
      <c r="F10" s="10"/>
      <c r="G10" s="302" t="s">
        <v>482</v>
      </c>
      <c r="H10" s="340" t="s">
        <v>143</v>
      </c>
      <c r="I10" s="341" t="s">
        <v>565</v>
      </c>
      <c r="J10" s="342" t="s">
        <v>141</v>
      </c>
      <c r="K10" s="339" t="str">
        <f>Government1</f>
        <v>Ministerio de Agricultura y Ganadería</v>
      </c>
      <c r="L10" s="339" t="str">
        <f>Government2</f>
        <v>Ministerio de Energía y Minas</v>
      </c>
      <c r="M10" s="339" t="str">
        <f>Government3</f>
        <v>Ministerio de Educación Nacional, de Educación Superior e Investigación Científica</v>
      </c>
      <c r="N10" s="339" t="str">
        <f>Government4</f>
        <v>Ministerio de Medioambiente</v>
      </c>
      <c r="O10" s="339" t="str">
        <f>Government5</f>
        <v>Ministerio de Servicio Público</v>
      </c>
      <c r="P10" s="339" t="str">
        <f>Government6</f>
        <v>Ministerio de Salud Pública y Lucha contra el SIDA</v>
      </c>
      <c r="Q10" s="339" t="str">
        <f>Government7</f>
        <v xml:space="preserve">Ministerio de Derechos Humanos, Asuntos Sociales y Género </v>
      </c>
      <c r="R10" s="339" t="str">
        <f>Government8</f>
        <v>Ministerio de Desarrollo Municipal</v>
      </c>
      <c r="S10" s="339" t="str">
        <f>Government9</f>
        <v>[No está en uso]</v>
      </c>
      <c r="T10" s="339" t="str">
        <f>Government10</f>
        <v>[No está en uso]</v>
      </c>
      <c r="U10" s="97" t="str">
        <f>Partner1</f>
        <v>UNICEF</v>
      </c>
      <c r="V10" s="97" t="str">
        <f>Partner2</f>
        <v>Organización Mundial de la Salud</v>
      </c>
      <c r="W10" s="97" t="str">
        <f>Partner3</f>
        <v>Banco Mundial</v>
      </c>
      <c r="X10" s="97" t="str">
        <f>Partner4</f>
        <v>Organización de las Naciones Unidas para la Alimentación y la Agricultura</v>
      </c>
      <c r="Y10" s="97" t="str">
        <f>Partner5</f>
        <v>Programa Mundial de Alimentos</v>
      </c>
      <c r="Z10" s="97" t="str">
        <f>Partner6</f>
        <v>[No está en uso]</v>
      </c>
      <c r="AA10" s="97" t="str">
        <f>Partner7</f>
        <v>[No está en uso]</v>
      </c>
      <c r="AB10" s="97" t="str">
        <f>Partner8</f>
        <v>[No está en uso]</v>
      </c>
      <c r="AC10" s="97" t="str">
        <f>Partner9</f>
        <v>[No está en uso]</v>
      </c>
      <c r="AD10" s="97" t="str">
        <f>Partner10</f>
        <v>[No está en uso]</v>
      </c>
    </row>
    <row r="11" spans="1:30" x14ac:dyDescent="0.2">
      <c r="H11" s="372"/>
      <c r="I11" s="372"/>
      <c r="J11" s="372"/>
    </row>
    <row r="12" spans="1:30" ht="12" x14ac:dyDescent="0.2">
      <c r="E12" s="301" t="str">
        <f>Strategy1</f>
        <v>Objetivo estratégico 1: Fortalecer la gobernanza de la nutrición</v>
      </c>
      <c r="H12" s="343"/>
      <c r="I12" s="344"/>
      <c r="J12" s="345"/>
      <c r="K12" s="365"/>
      <c r="L12" s="365"/>
      <c r="M12" s="365"/>
      <c r="N12" s="365"/>
      <c r="O12" s="365"/>
      <c r="P12" s="365"/>
      <c r="Q12" s="365"/>
      <c r="R12" s="365"/>
      <c r="S12" s="365"/>
      <c r="T12" s="365"/>
      <c r="U12" s="179"/>
      <c r="V12" s="179"/>
      <c r="W12" s="179"/>
      <c r="X12" s="179"/>
      <c r="Y12" s="179"/>
      <c r="Z12" s="179"/>
      <c r="AA12" s="179"/>
      <c r="AB12" s="179"/>
      <c r="AC12" s="179"/>
      <c r="AD12" s="179"/>
    </row>
    <row r="13" spans="1:30" ht="12" x14ac:dyDescent="0.2">
      <c r="F13" s="94" t="str">
        <f>STRAT1_IND1</f>
        <v>Se refuerza la coordinación multisectorial en materia de nutrición</v>
      </c>
      <c r="G13" s="94" t="str">
        <f ca="1">OFFSET(Variables_Lu!$D$10,Basic_Setup!H34,0)</f>
        <v>Governance</v>
      </c>
      <c r="H13" s="346">
        <f>'Financial Req'!$I20</f>
        <v>2276947509.0250001</v>
      </c>
      <c r="I13" s="347">
        <f>H13-J13</f>
        <v>-1365272669.8609924</v>
      </c>
      <c r="J13" s="345">
        <f>SUM(K13:AD13)</f>
        <v>3642220178.8859925</v>
      </c>
      <c r="K13" s="365">
        <f>Government1!$I20</f>
        <v>8549032.200029999</v>
      </c>
      <c r="L13" s="365">
        <f>Government2!$I20</f>
        <v>980873.07090750011</v>
      </c>
      <c r="M13" s="365">
        <f>Government3!$I20</f>
        <v>2574000</v>
      </c>
      <c r="N13" s="365">
        <f>Government4!$I20</f>
        <v>275534.14364999998</v>
      </c>
      <c r="O13" s="365">
        <f>Government5!$I20</f>
        <v>118538.66988</v>
      </c>
      <c r="P13" s="365">
        <f>Government6!$I20</f>
        <v>41659343.486504994</v>
      </c>
      <c r="Q13" s="365">
        <f>Government7!$I20</f>
        <v>5188577.6638800008</v>
      </c>
      <c r="R13" s="365">
        <f>Government8!$I20</f>
        <v>255079.65113999997</v>
      </c>
      <c r="S13" s="365">
        <f>Government9!$I20</f>
        <v>0</v>
      </c>
      <c r="T13" s="365">
        <f>Government10!$I20</f>
        <v>0</v>
      </c>
      <c r="U13" s="179">
        <f>Partner1!$I91</f>
        <v>43200000</v>
      </c>
      <c r="V13" s="179">
        <f>Partner2!$I91</f>
        <v>45000000</v>
      </c>
      <c r="W13" s="179">
        <f>Partner3!$I91</f>
        <v>2046319200</v>
      </c>
      <c r="X13" s="179">
        <f>Partner4!$I91</f>
        <v>98100000</v>
      </c>
      <c r="Y13" s="179">
        <f>Partner5!$I91</f>
        <v>1350000000</v>
      </c>
      <c r="Z13" s="179">
        <f>Partner6!$I91</f>
        <v>0</v>
      </c>
      <c r="AA13" s="179">
        <f>Partner7!$I91</f>
        <v>0</v>
      </c>
      <c r="AB13" s="179">
        <f>Partner8!$I91</f>
        <v>0</v>
      </c>
      <c r="AC13" s="179">
        <f>Partner9!$I91</f>
        <v>0</v>
      </c>
      <c r="AD13" s="179">
        <f>Partner10!$I91</f>
        <v>0</v>
      </c>
    </row>
    <row r="14" spans="1:30" ht="22.8" x14ac:dyDescent="0.2">
      <c r="F14" s="94" t="str">
        <f>STRAT1_IND2</f>
        <v>Está en funcionamiento el sistema multisectorial de información sobre nutrición para la adopción de decisiones eficaces.</v>
      </c>
      <c r="G14" s="94" t="str">
        <f ca="1">OFFSET(Variables_Lu!$D$10,Basic_Setup!H35,0)</f>
        <v>Governance</v>
      </c>
      <c r="H14" s="346">
        <f>'Financial Req'!$I21</f>
        <v>2276947509.0250001</v>
      </c>
      <c r="I14" s="347">
        <f t="shared" ref="I14:I17" si="0">H14-J14</f>
        <v>2150026530.1390076</v>
      </c>
      <c r="J14" s="345">
        <f t="shared" ref="J14:J17" si="1">SUM(K14:AD14)</f>
        <v>126920978.8859925</v>
      </c>
      <c r="K14" s="365">
        <f>Government1!$I21</f>
        <v>8549032.200029999</v>
      </c>
      <c r="L14" s="365">
        <f>Government2!$I21</f>
        <v>980873.07090750011</v>
      </c>
      <c r="M14" s="365">
        <f>Government3!$I21</f>
        <v>2574000</v>
      </c>
      <c r="N14" s="365">
        <f>Government4!$I21</f>
        <v>275534.14364999998</v>
      </c>
      <c r="O14" s="365">
        <f>Government5!$I21</f>
        <v>118538.66988</v>
      </c>
      <c r="P14" s="365">
        <f>Government6!$I21</f>
        <v>41659343.486504994</v>
      </c>
      <c r="Q14" s="365">
        <f>Government7!$I21</f>
        <v>5188577.6638800008</v>
      </c>
      <c r="R14" s="365">
        <f>Government8!$I21</f>
        <v>255079.65113999997</v>
      </c>
      <c r="S14" s="365">
        <f>Government9!$I21</f>
        <v>0</v>
      </c>
      <c r="T14" s="365">
        <f>Government10!$I21</f>
        <v>0</v>
      </c>
      <c r="U14" s="179">
        <f>Partner1!$I92</f>
        <v>7200000</v>
      </c>
      <c r="V14" s="179">
        <f>Partner2!$I92</f>
        <v>0</v>
      </c>
      <c r="W14" s="179">
        <f>Partner3!$I92</f>
        <v>0</v>
      </c>
      <c r="X14" s="179">
        <f>Partner4!$I92</f>
        <v>60120000</v>
      </c>
      <c r="Y14" s="179">
        <f>Partner5!$I92</f>
        <v>0</v>
      </c>
      <c r="Z14" s="179">
        <f>Partner6!$I92</f>
        <v>0</v>
      </c>
      <c r="AA14" s="179">
        <f>Partner7!$I92</f>
        <v>0</v>
      </c>
      <c r="AB14" s="179">
        <f>Partner8!$I92</f>
        <v>0</v>
      </c>
      <c r="AC14" s="179">
        <f>Partner9!$I92</f>
        <v>0</v>
      </c>
      <c r="AD14" s="179">
        <f>Partner10!$I92</f>
        <v>0</v>
      </c>
    </row>
    <row r="15" spans="1:30" ht="22.8" x14ac:dyDescent="0.2">
      <c r="F15" s="94" t="str">
        <f>STRAT1_IND3</f>
        <v>La investigación en nutrición se utiliza para aclarar que la toma de decisiones se mejora y se refuerza.</v>
      </c>
      <c r="G15" s="94" t="str">
        <f ca="1">OFFSET(Variables_Lu!$D$10,Basic_Setup!H36,0)</f>
        <v>Governance</v>
      </c>
      <c r="H15" s="346">
        <f>'Financial Req'!$I22</f>
        <v>2276947509.0250001</v>
      </c>
      <c r="I15" s="347">
        <f t="shared" si="0"/>
        <v>2202946530.1390076</v>
      </c>
      <c r="J15" s="345">
        <f t="shared" si="1"/>
        <v>74000978.885992497</v>
      </c>
      <c r="K15" s="365">
        <f>Government1!$I22</f>
        <v>8549032.200029999</v>
      </c>
      <c r="L15" s="365">
        <f>Government2!$I22</f>
        <v>980873.07090750011</v>
      </c>
      <c r="M15" s="365">
        <f>Government3!$I22</f>
        <v>2574000</v>
      </c>
      <c r="N15" s="365">
        <f>Government4!$I22</f>
        <v>275534.14364999998</v>
      </c>
      <c r="O15" s="365">
        <f>Government5!$I22</f>
        <v>118538.66988</v>
      </c>
      <c r="P15" s="365">
        <f>Government6!$I22</f>
        <v>41659343.486504994</v>
      </c>
      <c r="Q15" s="365">
        <f>Government7!$I22</f>
        <v>5188577.6638800008</v>
      </c>
      <c r="R15" s="365">
        <f>Government8!$I22</f>
        <v>255079.65113999997</v>
      </c>
      <c r="S15" s="365">
        <f>Government9!$I22</f>
        <v>0</v>
      </c>
      <c r="T15" s="365">
        <f>Government10!$I22</f>
        <v>0</v>
      </c>
      <c r="U15" s="179">
        <f>Partner1!$I93</f>
        <v>14400000</v>
      </c>
      <c r="V15" s="179">
        <f>Partner2!$I93</f>
        <v>0</v>
      </c>
      <c r="W15" s="179">
        <f>Partner3!$I93</f>
        <v>0</v>
      </c>
      <c r="X15" s="179">
        <f>Partner4!$I93</f>
        <v>0</v>
      </c>
      <c r="Y15" s="179">
        <f>Partner5!$I93</f>
        <v>0</v>
      </c>
      <c r="Z15" s="179">
        <f>Partner6!$I93</f>
        <v>0</v>
      </c>
      <c r="AA15" s="179">
        <f>Partner7!$I93</f>
        <v>0</v>
      </c>
      <c r="AB15" s="179">
        <f>Partner8!$I93</f>
        <v>0</v>
      </c>
      <c r="AC15" s="179">
        <f>Partner9!$I93</f>
        <v>0</v>
      </c>
      <c r="AD15" s="179">
        <f>Partner10!$I93</f>
        <v>0</v>
      </c>
    </row>
    <row r="16" spans="1:30" ht="22.8" x14ac:dyDescent="0.2">
      <c r="F16" s="94" t="str">
        <f>STRAT1_IND4</f>
        <v>El marco legislativo y reglamentario de la nutrición se ha fortalecido y está en funcionamiento.</v>
      </c>
      <c r="G16" s="94" t="str">
        <f ca="1">OFFSET(Variables_Lu!$D$10,Basic_Setup!H37,0)</f>
        <v>Governance</v>
      </c>
      <c r="H16" s="346">
        <f>'Financial Req'!$I23</f>
        <v>2276947509.0250001</v>
      </c>
      <c r="I16" s="347">
        <f t="shared" si="0"/>
        <v>2210146530.1390076</v>
      </c>
      <c r="J16" s="345">
        <f>SUM(K16:AD16)</f>
        <v>66800978.88599249</v>
      </c>
      <c r="K16" s="365">
        <f>Government1!$I23</f>
        <v>8549032.200029999</v>
      </c>
      <c r="L16" s="365">
        <f>Government2!$I23</f>
        <v>980873.07090750011</v>
      </c>
      <c r="M16" s="365">
        <f>Government3!$I23</f>
        <v>2574000</v>
      </c>
      <c r="N16" s="365">
        <f>Government4!$I23</f>
        <v>275534.14364999998</v>
      </c>
      <c r="O16" s="365">
        <f>Government5!$I23</f>
        <v>118538.66988</v>
      </c>
      <c r="P16" s="365">
        <f>Government6!$I23</f>
        <v>41659343.486504994</v>
      </c>
      <c r="Q16" s="365">
        <f>Government7!$I23</f>
        <v>5188577.6638800008</v>
      </c>
      <c r="R16" s="365">
        <f>Government8!$I23</f>
        <v>255079.65113999997</v>
      </c>
      <c r="S16" s="365">
        <f>Government9!$I23</f>
        <v>0</v>
      </c>
      <c r="T16" s="365">
        <f>Government10!$I23</f>
        <v>0</v>
      </c>
      <c r="U16" s="179">
        <f>Partner1!$I94</f>
        <v>7200000</v>
      </c>
      <c r="V16" s="179">
        <f>Partner2!$I94</f>
        <v>0</v>
      </c>
      <c r="W16" s="179">
        <f>Partner3!$I94</f>
        <v>0</v>
      </c>
      <c r="X16" s="179">
        <f>Partner4!$I94</f>
        <v>0</v>
      </c>
      <c r="Y16" s="179">
        <f>Partner5!$I94</f>
        <v>0</v>
      </c>
      <c r="Z16" s="179">
        <f>Partner6!$I94</f>
        <v>0</v>
      </c>
      <c r="AA16" s="179">
        <f>Partner7!$I94</f>
        <v>0</v>
      </c>
      <c r="AB16" s="179">
        <f>Partner8!$I94</f>
        <v>0</v>
      </c>
      <c r="AC16" s="179">
        <f>Partner9!$I94</f>
        <v>0</v>
      </c>
      <c r="AD16" s="179">
        <f>Partner10!$I94</f>
        <v>0</v>
      </c>
    </row>
    <row r="17" spans="5:30" ht="12" x14ac:dyDescent="0.2">
      <c r="F17" s="94" t="str">
        <f>STRAT1_IND5</f>
        <v>Objetivo estratégico 1 Indicador 5</v>
      </c>
      <c r="G17" s="94" t="str">
        <f ca="1">OFFSET(Variables_Lu!$D$10,Basic_Setup!H38,0)</f>
        <v>Governance</v>
      </c>
      <c r="H17" s="346">
        <f>'Financial Req'!$I24</f>
        <v>0</v>
      </c>
      <c r="I17" s="347">
        <f t="shared" si="0"/>
        <v>0</v>
      </c>
      <c r="J17" s="345">
        <f t="shared" si="1"/>
        <v>0</v>
      </c>
      <c r="K17" s="365">
        <f>Government1!$I24</f>
        <v>0</v>
      </c>
      <c r="L17" s="365">
        <f>Government2!$I24</f>
        <v>0</v>
      </c>
      <c r="M17" s="365">
        <f>Government3!$I24</f>
        <v>0</v>
      </c>
      <c r="N17" s="365">
        <f>Government4!$I24</f>
        <v>0</v>
      </c>
      <c r="O17" s="365">
        <f>Government5!$I24</f>
        <v>0</v>
      </c>
      <c r="P17" s="365">
        <f>Government6!$I24</f>
        <v>0</v>
      </c>
      <c r="Q17" s="365">
        <f>Government7!$I24</f>
        <v>0</v>
      </c>
      <c r="R17" s="365">
        <f>Government8!$I24</f>
        <v>0</v>
      </c>
      <c r="S17" s="365">
        <f>Government9!$I24</f>
        <v>0</v>
      </c>
      <c r="T17" s="365">
        <f>Government10!$I24</f>
        <v>0</v>
      </c>
      <c r="U17" s="179">
        <f>Partner1!$I95</f>
        <v>0</v>
      </c>
      <c r="V17" s="179">
        <f>Partner2!$I95</f>
        <v>0</v>
      </c>
      <c r="W17" s="179">
        <f>Partner3!$I95</f>
        <v>0</v>
      </c>
      <c r="X17" s="179">
        <f>Partner4!$I95</f>
        <v>0</v>
      </c>
      <c r="Y17" s="179">
        <f>Partner5!$I95</f>
        <v>0</v>
      </c>
      <c r="Z17" s="179">
        <f>Partner6!$I95</f>
        <v>0</v>
      </c>
      <c r="AA17" s="179">
        <f>Partner7!$I95</f>
        <v>0</v>
      </c>
      <c r="AB17" s="179">
        <f>Partner8!$I95</f>
        <v>0</v>
      </c>
      <c r="AC17" s="179">
        <f>Partner9!$I95</f>
        <v>0</v>
      </c>
      <c r="AD17" s="179">
        <f>Partner10!$I95</f>
        <v>0</v>
      </c>
    </row>
    <row r="18" spans="5:30" ht="22.8" x14ac:dyDescent="0.2">
      <c r="F18" s="332" t="str">
        <f>"Subtotal: "&amp;E12</f>
        <v>Subtotal: Objetivo estratégico 1: Fortalecer la gobernanza de la nutrición</v>
      </c>
      <c r="G18" s="333"/>
      <c r="H18" s="348">
        <f>'Financial Req'!$I25</f>
        <v>9107790036.1000004</v>
      </c>
      <c r="I18" s="349">
        <f>SUM(I13:I17)</f>
        <v>5197846920.5560303</v>
      </c>
      <c r="J18" s="350">
        <f>SUM(J13:J17)</f>
        <v>3909943115.5439701</v>
      </c>
      <c r="K18" s="366">
        <f>Government1!$I25</f>
        <v>34196128.800119996</v>
      </c>
      <c r="L18" s="366">
        <f>Government2!$I25</f>
        <v>3923492.2836300004</v>
      </c>
      <c r="M18" s="366">
        <f>Government3!$I25</f>
        <v>10296000</v>
      </c>
      <c r="N18" s="366">
        <f>Government4!$I25</f>
        <v>1102136.5745999999</v>
      </c>
      <c r="O18" s="366">
        <f>Government5!$I25</f>
        <v>474154.67952000001</v>
      </c>
      <c r="P18" s="366">
        <f>Government6!$I25</f>
        <v>166637373.94601998</v>
      </c>
      <c r="Q18" s="366">
        <f>Government7!$I25</f>
        <v>20754310.655520003</v>
      </c>
      <c r="R18" s="366">
        <f>Government8!$I25</f>
        <v>1020318.6045599999</v>
      </c>
      <c r="S18" s="366">
        <f>Government9!$I25</f>
        <v>0</v>
      </c>
      <c r="T18" s="366">
        <f>Government10!$I25</f>
        <v>0</v>
      </c>
      <c r="U18" s="331">
        <f>Partner1!$I96</f>
        <v>72000000</v>
      </c>
      <c r="V18" s="331">
        <f>Partner2!$I96</f>
        <v>45000000</v>
      </c>
      <c r="W18" s="331">
        <f>Partner3!$I96</f>
        <v>2046319200</v>
      </c>
      <c r="X18" s="331">
        <f>Partner4!$I96</f>
        <v>158220000</v>
      </c>
      <c r="Y18" s="331">
        <f>Partner5!$I96</f>
        <v>1350000000</v>
      </c>
      <c r="Z18" s="331">
        <f>Partner6!$I96</f>
        <v>0</v>
      </c>
      <c r="AA18" s="331">
        <f>Partner7!$I96</f>
        <v>0</v>
      </c>
      <c r="AB18" s="331">
        <f>Partner8!$I96</f>
        <v>0</v>
      </c>
      <c r="AC18" s="331">
        <f>Partner9!$I96</f>
        <v>0</v>
      </c>
      <c r="AD18" s="331">
        <f>Partner10!$I96</f>
        <v>0</v>
      </c>
    </row>
    <row r="19" spans="5:30" ht="12" x14ac:dyDescent="0.2">
      <c r="E19" s="301" t="str">
        <f>Strategy2</f>
        <v>Objetivo estratégico 2: Fortalecer el acceso al tratamiento y a los servicios de salud y nutrición de calidad, así como al tratamiento de todas las formas de malnutrición</v>
      </c>
      <c r="G19" s="94"/>
      <c r="H19" s="346"/>
      <c r="I19" s="347"/>
      <c r="J19" s="351"/>
      <c r="K19" s="365"/>
      <c r="L19" s="365"/>
      <c r="M19" s="365"/>
      <c r="N19" s="365"/>
      <c r="O19" s="365"/>
      <c r="P19" s="365"/>
      <c r="Q19" s="365"/>
      <c r="R19" s="365"/>
      <c r="S19" s="365"/>
      <c r="T19" s="365"/>
      <c r="U19" s="179"/>
      <c r="V19" s="179"/>
      <c r="W19" s="179"/>
      <c r="X19" s="179"/>
      <c r="Y19" s="179"/>
      <c r="Z19" s="179"/>
      <c r="AA19" s="179"/>
      <c r="AB19" s="179"/>
      <c r="AC19" s="179"/>
      <c r="AD19" s="179"/>
    </row>
    <row r="20" spans="5:30" ht="34.200000000000003" x14ac:dyDescent="0.2">
      <c r="F20" s="94" t="str">
        <f>STRAT2_IND1</f>
        <v>Se fortalece el acceso y la utilización sostenible de los servicios de salud y nutrición para los niños menores de 5 años, los adolescentes, las mujeres embarazadas y lactantes, y los demás grupos vulnerables</v>
      </c>
      <c r="G20" s="94" t="str">
        <f ca="1">OFFSET(Variables_Lu!$D$10,Basic_Setup!H40,0)</f>
        <v>Nutrition-specific</v>
      </c>
      <c r="H20" s="346">
        <f>'Financial Req'!$I26</f>
        <v>39785929867.821365</v>
      </c>
      <c r="I20" s="347">
        <f>H20-J20</f>
        <v>-3921955264.8957367</v>
      </c>
      <c r="J20" s="345">
        <f>SUM(K20:AD20)</f>
        <v>43707885132.717102</v>
      </c>
      <c r="K20" s="365">
        <f>Government1!$I26</f>
        <v>452386287.25158751</v>
      </c>
      <c r="L20" s="365">
        <f>Government2!$I26</f>
        <v>51904533.335521884</v>
      </c>
      <c r="M20" s="365">
        <f>Government3!$I26</f>
        <v>136207500</v>
      </c>
      <c r="N20" s="365">
        <f>Government4!$I26</f>
        <v>14580348.434812499</v>
      </c>
      <c r="O20" s="365">
        <f>Government5!$I26</f>
        <v>6272671.2811500002</v>
      </c>
      <c r="P20" s="365">
        <f>Government6!$I26</f>
        <v>2204473592.8275561</v>
      </c>
      <c r="Q20" s="365">
        <f>Government7!$I26</f>
        <v>274562234.71364999</v>
      </c>
      <c r="R20" s="365">
        <f>Government8!$I26</f>
        <v>13497964.872824999</v>
      </c>
      <c r="S20" s="365">
        <f>Government9!$I26</f>
        <v>0</v>
      </c>
      <c r="T20" s="365">
        <f>Government10!$I26</f>
        <v>0</v>
      </c>
      <c r="U20" s="179">
        <f>Partner1!$I97</f>
        <v>27000000000</v>
      </c>
      <c r="V20" s="179">
        <f>Partner2!$I97</f>
        <v>54000000</v>
      </c>
      <c r="W20" s="179">
        <f>Partner3!$I97</f>
        <v>0</v>
      </c>
      <c r="X20" s="179">
        <f>Partner4!$I97</f>
        <v>0</v>
      </c>
      <c r="Y20" s="179">
        <f>Partner5!$I97</f>
        <v>13500000000</v>
      </c>
      <c r="Z20" s="179">
        <f>Partner6!$I97</f>
        <v>0</v>
      </c>
      <c r="AA20" s="179">
        <f>Partner7!$I97</f>
        <v>0</v>
      </c>
      <c r="AB20" s="179">
        <f>Partner8!$I97</f>
        <v>0</v>
      </c>
      <c r="AC20" s="179">
        <f>Partner9!$I97</f>
        <v>0</v>
      </c>
      <c r="AD20" s="179">
        <f>Partner10!$I97</f>
        <v>0</v>
      </c>
    </row>
    <row r="21" spans="5:30" ht="45.6" x14ac:dyDescent="0.2">
      <c r="F21" s="94" t="str">
        <f>STRAT2_IND2</f>
        <v xml:space="preserve">Se reduce la prevalencia de enfermedades relacionadas con la prevalencia de la malnutrición (paludismo, diarrea, neumonía, parásitos intestinales, VIH, TNM) en lactantes, adolescentes y mujeres en edad reproductiva. </v>
      </c>
      <c r="G21" s="94" t="str">
        <f ca="1">OFFSET(Variables_Lu!$D$10,Basic_Setup!H41,0)</f>
        <v>Nutrition-sensitive</v>
      </c>
      <c r="H21" s="346">
        <f>'Financial Req'!$I27</f>
        <v>39785929867.821365</v>
      </c>
      <c r="I21" s="347">
        <f t="shared" ref="I21:I24" si="2">H21-J21</f>
        <v>11309758135.104263</v>
      </c>
      <c r="J21" s="345">
        <f t="shared" ref="J21:J24" si="3">SUM(K21:AD21)</f>
        <v>28476171732.717102</v>
      </c>
      <c r="K21" s="365">
        <f>Government1!$I27</f>
        <v>452386287.25158751</v>
      </c>
      <c r="L21" s="365">
        <f>Government2!$I27</f>
        <v>51904533.335521884</v>
      </c>
      <c r="M21" s="365">
        <f>Government3!$I27</f>
        <v>136207500</v>
      </c>
      <c r="N21" s="365">
        <f>Government4!$I27</f>
        <v>14580348.434812499</v>
      </c>
      <c r="O21" s="365">
        <f>Government5!$I27</f>
        <v>6272671.2811500002</v>
      </c>
      <c r="P21" s="365">
        <f>Government6!$I27</f>
        <v>2204473592.8275561</v>
      </c>
      <c r="Q21" s="365">
        <f>Government7!$I27</f>
        <v>274562234.71364999</v>
      </c>
      <c r="R21" s="365">
        <f>Government8!$I27</f>
        <v>13497964.872824999</v>
      </c>
      <c r="S21" s="365">
        <f>Government9!$I27</f>
        <v>0</v>
      </c>
      <c r="T21" s="365">
        <f>Government10!$I27</f>
        <v>0</v>
      </c>
      <c r="U21" s="179">
        <f>Partner1!$I98</f>
        <v>4500000000</v>
      </c>
      <c r="V21" s="179">
        <f>Partner2!$I98</f>
        <v>81000000</v>
      </c>
      <c r="W21" s="179">
        <f>Partner3!$I98</f>
        <v>20741286600</v>
      </c>
      <c r="X21" s="179">
        <f>Partner4!$I98</f>
        <v>0</v>
      </c>
      <c r="Y21" s="179">
        <f>Partner5!$I98</f>
        <v>0</v>
      </c>
      <c r="Z21" s="179">
        <f>Partner6!$I98</f>
        <v>0</v>
      </c>
      <c r="AA21" s="179">
        <f>Partner7!$I98</f>
        <v>0</v>
      </c>
      <c r="AB21" s="179">
        <f>Partner8!$I98</f>
        <v>0</v>
      </c>
      <c r="AC21" s="179">
        <f>Partner9!$I98</f>
        <v>0</v>
      </c>
      <c r="AD21" s="179">
        <f>Partner10!$I98</f>
        <v>0</v>
      </c>
    </row>
    <row r="22" spans="5:30" ht="12" x14ac:dyDescent="0.2">
      <c r="F22" s="94" t="str">
        <f>STRAT2_IND3</f>
        <v>Se refuerzan las intervenciones comunitarias en materia de nutrición.</v>
      </c>
      <c r="G22" s="94" t="str">
        <f ca="1">OFFSET(Variables_Lu!$D$10,Basic_Setup!H42,0)</f>
        <v>Nutrition-specific</v>
      </c>
      <c r="H22" s="346">
        <f>'Financial Req'!$I28</f>
        <v>39785929867.821365</v>
      </c>
      <c r="I22" s="347">
        <f t="shared" si="2"/>
        <v>24932044735.104263</v>
      </c>
      <c r="J22" s="345">
        <f t="shared" si="3"/>
        <v>14853885132.717104</v>
      </c>
      <c r="K22" s="365">
        <f>Government1!$I28</f>
        <v>452386287.25158751</v>
      </c>
      <c r="L22" s="365">
        <f>Government2!$I28</f>
        <v>51904533.335521884</v>
      </c>
      <c r="M22" s="365">
        <f>Government3!$I28</f>
        <v>136207500</v>
      </c>
      <c r="N22" s="365">
        <f>Government4!$I28</f>
        <v>14580348.434812499</v>
      </c>
      <c r="O22" s="365">
        <f>Government5!$I28</f>
        <v>6272671.2811500002</v>
      </c>
      <c r="P22" s="365">
        <f>Government6!$I28</f>
        <v>2204473592.8275561</v>
      </c>
      <c r="Q22" s="365">
        <f>Government7!$I28</f>
        <v>274562234.71364999</v>
      </c>
      <c r="R22" s="365">
        <f>Government8!$I28</f>
        <v>13497964.872824999</v>
      </c>
      <c r="S22" s="365">
        <f>Government9!$I28</f>
        <v>0</v>
      </c>
      <c r="T22" s="365">
        <f>Government10!$I28</f>
        <v>0</v>
      </c>
      <c r="U22" s="179">
        <f>Partner1!$I99</f>
        <v>11700000000</v>
      </c>
      <c r="V22" s="179">
        <f>Partner2!$I99</f>
        <v>0</v>
      </c>
      <c r="W22" s="179">
        <f>Partner3!$I99</f>
        <v>0</v>
      </c>
      <c r="X22" s="179">
        <f>Partner4!$I99</f>
        <v>0</v>
      </c>
      <c r="Y22" s="179">
        <f>Partner5!$I99</f>
        <v>0</v>
      </c>
      <c r="Z22" s="179">
        <f>Partner6!$I99</f>
        <v>0</v>
      </c>
      <c r="AA22" s="179">
        <f>Partner7!$I99</f>
        <v>0</v>
      </c>
      <c r="AB22" s="179">
        <f>Partner8!$I99</f>
        <v>0</v>
      </c>
      <c r="AC22" s="179">
        <f>Partner9!$I99</f>
        <v>0</v>
      </c>
      <c r="AD22" s="179">
        <f>Partner10!$I99</f>
        <v>0</v>
      </c>
    </row>
    <row r="23" spans="5:30" ht="12" x14ac:dyDescent="0.2">
      <c r="F23" s="94" t="str">
        <f>STRAT2_IND4</f>
        <v>Objetivo estratégico 2 Indicador 4</v>
      </c>
      <c r="G23" s="94" t="str">
        <f ca="1">OFFSET(Variables_Lu!$D$10,Basic_Setup!H43,0)</f>
        <v>Nutrition-specific</v>
      </c>
      <c r="H23" s="346">
        <f>'Financial Req'!$I29</f>
        <v>0</v>
      </c>
      <c r="I23" s="347">
        <f t="shared" si="2"/>
        <v>0</v>
      </c>
      <c r="J23" s="345">
        <f t="shared" si="3"/>
        <v>0</v>
      </c>
      <c r="K23" s="365">
        <f>Government1!$I29</f>
        <v>0</v>
      </c>
      <c r="L23" s="365">
        <f>Government2!$I29</f>
        <v>0</v>
      </c>
      <c r="M23" s="365">
        <f>Government3!$I29</f>
        <v>0</v>
      </c>
      <c r="N23" s="365">
        <f>Government4!$I29</f>
        <v>0</v>
      </c>
      <c r="O23" s="365">
        <f>Government5!$I29</f>
        <v>0</v>
      </c>
      <c r="P23" s="365">
        <f>Government6!$I29</f>
        <v>0</v>
      </c>
      <c r="Q23" s="365">
        <f>Government7!$I29</f>
        <v>0</v>
      </c>
      <c r="R23" s="365">
        <f>Government8!$I29</f>
        <v>0</v>
      </c>
      <c r="S23" s="365">
        <f>Government9!$I29</f>
        <v>0</v>
      </c>
      <c r="T23" s="365">
        <f>Government10!$I29</f>
        <v>0</v>
      </c>
      <c r="U23" s="179">
        <f>Partner1!$I100</f>
        <v>0</v>
      </c>
      <c r="V23" s="179">
        <f>Partner2!$I100</f>
        <v>0</v>
      </c>
      <c r="W23" s="179">
        <f>Partner3!$I100</f>
        <v>0</v>
      </c>
      <c r="X23" s="179">
        <f>Partner4!$I100</f>
        <v>0</v>
      </c>
      <c r="Y23" s="179">
        <f>Partner5!$I100</f>
        <v>0</v>
      </c>
      <c r="Z23" s="179">
        <f>Partner6!$I100</f>
        <v>0</v>
      </c>
      <c r="AA23" s="179">
        <f>Partner7!$I100</f>
        <v>0</v>
      </c>
      <c r="AB23" s="179">
        <f>Partner8!$I100</f>
        <v>0</v>
      </c>
      <c r="AC23" s="179">
        <f>Partner9!$I100</f>
        <v>0</v>
      </c>
      <c r="AD23" s="179">
        <f>Partner10!$I100</f>
        <v>0</v>
      </c>
    </row>
    <row r="24" spans="5:30" ht="12" x14ac:dyDescent="0.2">
      <c r="F24" s="94" t="str">
        <f>STRAT2_IND5</f>
        <v>Objetivo estratégico 2 Indicador 5</v>
      </c>
      <c r="G24" s="94" t="str">
        <f ca="1">OFFSET(Variables_Lu!$D$10,Basic_Setup!H44,0)</f>
        <v>Nutrition-specific</v>
      </c>
      <c r="H24" s="346">
        <f>'Financial Req'!$I30</f>
        <v>0</v>
      </c>
      <c r="I24" s="347">
        <f t="shared" si="2"/>
        <v>0</v>
      </c>
      <c r="J24" s="345">
        <f t="shared" si="3"/>
        <v>0</v>
      </c>
      <c r="K24" s="365">
        <f>Government1!$I30</f>
        <v>0</v>
      </c>
      <c r="L24" s="365">
        <f>Government2!$I30</f>
        <v>0</v>
      </c>
      <c r="M24" s="365">
        <f>Government3!$I30</f>
        <v>0</v>
      </c>
      <c r="N24" s="365">
        <f>Government4!$I30</f>
        <v>0</v>
      </c>
      <c r="O24" s="365">
        <f>Government5!$I30</f>
        <v>0</v>
      </c>
      <c r="P24" s="365">
        <f>Government6!$I30</f>
        <v>0</v>
      </c>
      <c r="Q24" s="365">
        <f>Government7!$I30</f>
        <v>0</v>
      </c>
      <c r="R24" s="365">
        <f>Government8!$I30</f>
        <v>0</v>
      </c>
      <c r="S24" s="365">
        <f>Government9!$I30</f>
        <v>0</v>
      </c>
      <c r="T24" s="365">
        <f>Government10!$I30</f>
        <v>0</v>
      </c>
      <c r="U24" s="179">
        <f>Partner1!$I101</f>
        <v>0</v>
      </c>
      <c r="V24" s="179">
        <f>Partner2!$I101</f>
        <v>0</v>
      </c>
      <c r="W24" s="179">
        <f>Partner3!$I101</f>
        <v>0</v>
      </c>
      <c r="X24" s="179">
        <f>Partner4!$I101</f>
        <v>0</v>
      </c>
      <c r="Y24" s="179">
        <f>Partner5!$I101</f>
        <v>0</v>
      </c>
      <c r="Z24" s="179">
        <f>Partner6!$I101</f>
        <v>0</v>
      </c>
      <c r="AA24" s="179">
        <f>Partner7!$I101</f>
        <v>0</v>
      </c>
      <c r="AB24" s="179">
        <f>Partner8!$I101</f>
        <v>0</v>
      </c>
      <c r="AC24" s="179">
        <f>Partner9!$I101</f>
        <v>0</v>
      </c>
      <c r="AD24" s="179">
        <f>Partner10!$I101</f>
        <v>0</v>
      </c>
    </row>
    <row r="25" spans="5:30" ht="34.200000000000003" x14ac:dyDescent="0.2">
      <c r="F25" s="332" t="str">
        <f>"Subtotal: "&amp;E19</f>
        <v>Subtotal: Objetivo estratégico 2: Fortalecer el acceso al tratamiento y a los servicios de salud y nutrición de calidad, así como al tratamiento de todas las formas de malnutrición</v>
      </c>
      <c r="G25" s="333"/>
      <c r="H25" s="348">
        <f>'Financial Req'!$I31</f>
        <v>119357789603.4641</v>
      </c>
      <c r="I25" s="349">
        <f>SUM(I20:I24)</f>
        <v>32319847605.31279</v>
      </c>
      <c r="J25" s="350">
        <f>SUM(J20:J24)</f>
        <v>87037941998.151306</v>
      </c>
      <c r="K25" s="366">
        <f>Government1!$I31</f>
        <v>1357158861.7547626</v>
      </c>
      <c r="L25" s="366">
        <f>Government2!$I31</f>
        <v>155713600.00656566</v>
      </c>
      <c r="M25" s="366">
        <f>Government3!$I31</f>
        <v>408622500</v>
      </c>
      <c r="N25" s="366">
        <f>Government4!$I31</f>
        <v>43741045.304437496</v>
      </c>
      <c r="O25" s="366">
        <f>Government5!$I31</f>
        <v>18818013.843450002</v>
      </c>
      <c r="P25" s="366">
        <f>Government6!$I31</f>
        <v>6613420778.4826679</v>
      </c>
      <c r="Q25" s="366">
        <f>Government7!$I31</f>
        <v>823686704.14094996</v>
      </c>
      <c r="R25" s="366">
        <f>Government8!$I31</f>
        <v>40493894.618474998</v>
      </c>
      <c r="S25" s="366">
        <f>Government9!$I31</f>
        <v>0</v>
      </c>
      <c r="T25" s="366">
        <f>Government10!$I31</f>
        <v>0</v>
      </c>
      <c r="U25" s="331">
        <f>Partner1!$I102</f>
        <v>43200000000</v>
      </c>
      <c r="V25" s="331">
        <f>Partner2!$I102</f>
        <v>135000000</v>
      </c>
      <c r="W25" s="331">
        <f>Partner3!$I102</f>
        <v>20741286600</v>
      </c>
      <c r="X25" s="331">
        <f>Partner4!$I102</f>
        <v>0</v>
      </c>
      <c r="Y25" s="331">
        <f>Partner5!$I102</f>
        <v>13500000000</v>
      </c>
      <c r="Z25" s="331">
        <f>Partner6!$I102</f>
        <v>0</v>
      </c>
      <c r="AA25" s="331">
        <f>Partner7!$I102</f>
        <v>0</v>
      </c>
      <c r="AB25" s="331">
        <f>Partner8!$I102</f>
        <v>0</v>
      </c>
      <c r="AC25" s="331">
        <f>Partner9!$I102</f>
        <v>0</v>
      </c>
      <c r="AD25" s="331">
        <f>Partner10!$I102</f>
        <v>0</v>
      </c>
    </row>
    <row r="26" spans="5:30" ht="12" x14ac:dyDescent="0.2">
      <c r="E26" s="301" t="str">
        <f>Strategy3</f>
        <v>Objetivo estratégico 3: Aumentar la disponibilidad y el acceso a alimentos nutritivos de alto valor, seguros y diversificados</v>
      </c>
      <c r="G26" s="94"/>
      <c r="H26" s="346"/>
      <c r="I26" s="347"/>
      <c r="J26" s="351"/>
      <c r="K26" s="365"/>
      <c r="L26" s="365"/>
      <c r="M26" s="365"/>
      <c r="N26" s="365"/>
      <c r="O26" s="365"/>
      <c r="P26" s="365"/>
      <c r="Q26" s="365"/>
      <c r="R26" s="365"/>
      <c r="S26" s="365"/>
      <c r="T26" s="365"/>
      <c r="U26" s="179"/>
      <c r="V26" s="179"/>
      <c r="W26" s="179"/>
      <c r="X26" s="179"/>
      <c r="Y26" s="179"/>
      <c r="Z26" s="179"/>
      <c r="AA26" s="179"/>
      <c r="AB26" s="179"/>
      <c r="AC26" s="179"/>
      <c r="AD26" s="179"/>
    </row>
    <row r="27" spans="5:30" ht="33" customHeight="1" x14ac:dyDescent="0.2">
      <c r="F27" s="94" t="str">
        <f>STRAT3_IND1</f>
        <v xml:space="preserve">Aumenta la disponibilidad y el acceso a alimentos de alto valor nutritivo en los hogares. </v>
      </c>
      <c r="G27" s="94" t="str">
        <f ca="1">OFFSET(Variables_Lu!$D$10,Basic_Setup!H46,0)</f>
        <v>Nutrition-specific</v>
      </c>
      <c r="H27" s="346">
        <f>'Financial Req'!$I32</f>
        <v>214622386591.29526</v>
      </c>
      <c r="I27" s="347">
        <f>H27-J27</f>
        <v>36898941853.385468</v>
      </c>
      <c r="J27" s="345">
        <f>SUM(K27:AD27)</f>
        <v>177723444737.90979</v>
      </c>
      <c r="K27" s="365">
        <f>Government1!$I32</f>
        <v>5349556899.1687727</v>
      </c>
      <c r="L27" s="365">
        <f>Government2!$I32</f>
        <v>613781324.12036824</v>
      </c>
      <c r="M27" s="365">
        <f>Government3!$I32</f>
        <v>1610680500</v>
      </c>
      <c r="N27" s="365">
        <f>Government4!$I32</f>
        <v>172415490.38898751</v>
      </c>
      <c r="O27" s="365">
        <f>Government5!$I32</f>
        <v>74175572.677410007</v>
      </c>
      <c r="P27" s="365">
        <f>Government6!$I32</f>
        <v>26068334186.680504</v>
      </c>
      <c r="Q27" s="365">
        <f>Government7!$I32</f>
        <v>3246752473.1729102</v>
      </c>
      <c r="R27" s="365">
        <f>Government8!$I32</f>
        <v>159616091.70085502</v>
      </c>
      <c r="S27" s="365">
        <f>Government9!$I32</f>
        <v>0</v>
      </c>
      <c r="T27" s="365">
        <f>Government10!$I32</f>
        <v>0</v>
      </c>
      <c r="U27" s="179">
        <f>Partner1!$I103</f>
        <v>0</v>
      </c>
      <c r="V27" s="179">
        <f>Partner2!$I103</f>
        <v>0</v>
      </c>
      <c r="W27" s="179">
        <f>Partner3!$I103</f>
        <v>130775139000</v>
      </c>
      <c r="X27" s="179">
        <f>Partner4!$I103</f>
        <v>4027993200</v>
      </c>
      <c r="Y27" s="179">
        <f>Partner5!$I103</f>
        <v>5625000000</v>
      </c>
      <c r="Z27" s="179">
        <f>Partner6!$I103</f>
        <v>0</v>
      </c>
      <c r="AA27" s="179">
        <f>Partner7!$I103</f>
        <v>0</v>
      </c>
      <c r="AB27" s="179">
        <f>Partner8!$I103</f>
        <v>0</v>
      </c>
      <c r="AC27" s="179">
        <f>Partner9!$I103</f>
        <v>0</v>
      </c>
      <c r="AD27" s="179">
        <f>Partner10!$I103</f>
        <v>0</v>
      </c>
    </row>
    <row r="28" spans="5:30" ht="13.5" customHeight="1" x14ac:dyDescent="0.2">
      <c r="F28" s="94" t="str">
        <f>STRAT3_IND2</f>
        <v xml:space="preserve"> La seguridad alimentaria está garantizada para toda la nación.</v>
      </c>
      <c r="G28" s="94" t="str">
        <f ca="1">OFFSET(Variables_Lu!$D$10,Basic_Setup!H47,0)</f>
        <v>Nutrition-sensitive</v>
      </c>
      <c r="H28" s="346">
        <f>'Financial Req'!$I33</f>
        <v>214622386591.29526</v>
      </c>
      <c r="I28" s="347">
        <f t="shared" ref="I28:I31" si="4">H28-J28</f>
        <v>177327074053.38544</v>
      </c>
      <c r="J28" s="345">
        <f t="shared" ref="J28:J31" si="5">SUM(K28:AD28)</f>
        <v>37295312537.909805</v>
      </c>
      <c r="K28" s="365">
        <f>Government1!$I33</f>
        <v>5349556899.1687727</v>
      </c>
      <c r="L28" s="365">
        <f>Government2!$I33</f>
        <v>613781324.12036824</v>
      </c>
      <c r="M28" s="365">
        <f>Government3!$I33</f>
        <v>1610680500</v>
      </c>
      <c r="N28" s="365">
        <f>Government4!$I33</f>
        <v>172415490.38898751</v>
      </c>
      <c r="O28" s="365">
        <f>Government5!$I33</f>
        <v>74175572.677410007</v>
      </c>
      <c r="P28" s="365">
        <f>Government6!$I33</f>
        <v>26068334186.680504</v>
      </c>
      <c r="Q28" s="365">
        <f>Government7!$I33</f>
        <v>3246752473.1729102</v>
      </c>
      <c r="R28" s="365">
        <f>Government8!$I33</f>
        <v>159616091.70085502</v>
      </c>
      <c r="S28" s="365">
        <f>Government9!$I33</f>
        <v>0</v>
      </c>
      <c r="T28" s="365">
        <f>Government10!$I33</f>
        <v>0</v>
      </c>
      <c r="U28" s="179">
        <f>Partner1!$I104</f>
        <v>0</v>
      </c>
      <c r="V28" s="179">
        <f>Partner2!$I104</f>
        <v>0</v>
      </c>
      <c r="W28" s="179">
        <f>Partner3!$I104</f>
        <v>0</v>
      </c>
      <c r="X28" s="179">
        <f>Partner4!$I104</f>
        <v>0</v>
      </c>
      <c r="Y28" s="179">
        <f>Partner5!$I104</f>
        <v>0</v>
      </c>
      <c r="Z28" s="179">
        <f>Partner6!$I104</f>
        <v>0</v>
      </c>
      <c r="AA28" s="179">
        <f>Partner7!$I104</f>
        <v>0</v>
      </c>
      <c r="AB28" s="179">
        <f>Partner8!$I104</f>
        <v>0</v>
      </c>
      <c r="AC28" s="179">
        <f>Partner9!$I104</f>
        <v>0</v>
      </c>
      <c r="AD28" s="179">
        <f>Partner10!$I104</f>
        <v>0</v>
      </c>
    </row>
    <row r="29" spans="5:30" ht="12" x14ac:dyDescent="0.2">
      <c r="F29" s="94" t="str">
        <f>STRAT3_IND3</f>
        <v>Objetivo estratégico 3 Indicador 3</v>
      </c>
      <c r="G29" s="94" t="str">
        <f ca="1">OFFSET(Variables_Lu!$D$10,Basic_Setup!H48,0)</f>
        <v>Nutrition-specific</v>
      </c>
      <c r="H29" s="346">
        <f>'Financial Req'!$I34</f>
        <v>0</v>
      </c>
      <c r="I29" s="347">
        <f t="shared" si="4"/>
        <v>0</v>
      </c>
      <c r="J29" s="345">
        <f t="shared" si="5"/>
        <v>0</v>
      </c>
      <c r="K29" s="365">
        <f>Government1!$I34</f>
        <v>0</v>
      </c>
      <c r="L29" s="365">
        <f>Government2!$I34</f>
        <v>0</v>
      </c>
      <c r="M29" s="365">
        <f>Government3!$I34</f>
        <v>0</v>
      </c>
      <c r="N29" s="365">
        <f>Government4!$I34</f>
        <v>0</v>
      </c>
      <c r="O29" s="365">
        <f>Government5!$I34</f>
        <v>0</v>
      </c>
      <c r="P29" s="365">
        <f>Government6!$I34</f>
        <v>0</v>
      </c>
      <c r="Q29" s="365">
        <f>Government7!$I34</f>
        <v>0</v>
      </c>
      <c r="R29" s="365">
        <f>Government8!$I34</f>
        <v>0</v>
      </c>
      <c r="S29" s="365">
        <f>Government9!$I34</f>
        <v>0</v>
      </c>
      <c r="T29" s="365">
        <f>Government10!$I34</f>
        <v>0</v>
      </c>
      <c r="U29" s="179">
        <f>Partner1!$I105</f>
        <v>0</v>
      </c>
      <c r="V29" s="179">
        <f>Partner2!$I105</f>
        <v>0</v>
      </c>
      <c r="W29" s="179">
        <f>Partner3!$I105</f>
        <v>0</v>
      </c>
      <c r="X29" s="179">
        <f>Partner4!$I105</f>
        <v>0</v>
      </c>
      <c r="Y29" s="179">
        <f>Partner5!$I105</f>
        <v>0</v>
      </c>
      <c r="Z29" s="179">
        <f>Partner6!$I105</f>
        <v>0</v>
      </c>
      <c r="AA29" s="179">
        <f>Partner7!$I105</f>
        <v>0</v>
      </c>
      <c r="AB29" s="179">
        <f>Partner8!$I105</f>
        <v>0</v>
      </c>
      <c r="AC29" s="179">
        <f>Partner9!$I105</f>
        <v>0</v>
      </c>
      <c r="AD29" s="179">
        <f>Partner10!$I105</f>
        <v>0</v>
      </c>
    </row>
    <row r="30" spans="5:30" ht="12" x14ac:dyDescent="0.2">
      <c r="F30" s="94" t="str">
        <f>STRAT3_IND4</f>
        <v>Objetivo estratégico 3 Indicador 4</v>
      </c>
      <c r="G30" s="94" t="str">
        <f ca="1">OFFSET(Variables_Lu!$D$10,Basic_Setup!H49,0)</f>
        <v>Nutrition-specific</v>
      </c>
      <c r="H30" s="346">
        <f>'Financial Req'!$I35</f>
        <v>0</v>
      </c>
      <c r="I30" s="347">
        <f t="shared" si="4"/>
        <v>0</v>
      </c>
      <c r="J30" s="345">
        <f t="shared" si="5"/>
        <v>0</v>
      </c>
      <c r="K30" s="365">
        <f>Government1!$I35</f>
        <v>0</v>
      </c>
      <c r="L30" s="365">
        <f>Government2!$I35</f>
        <v>0</v>
      </c>
      <c r="M30" s="365">
        <f>Government3!$I35</f>
        <v>0</v>
      </c>
      <c r="N30" s="365">
        <f>Government4!$I35</f>
        <v>0</v>
      </c>
      <c r="O30" s="365">
        <f>Government5!$I35</f>
        <v>0</v>
      </c>
      <c r="P30" s="365">
        <f>Government6!$I35</f>
        <v>0</v>
      </c>
      <c r="Q30" s="365">
        <f>Government7!$I35</f>
        <v>0</v>
      </c>
      <c r="R30" s="365">
        <f>Government8!$I35</f>
        <v>0</v>
      </c>
      <c r="S30" s="365">
        <f>Government9!$I35</f>
        <v>0</v>
      </c>
      <c r="T30" s="365">
        <f>Government10!$I35</f>
        <v>0</v>
      </c>
      <c r="U30" s="179">
        <f>Partner1!$I106</f>
        <v>0</v>
      </c>
      <c r="V30" s="179">
        <f>Partner2!$I106</f>
        <v>0</v>
      </c>
      <c r="W30" s="179">
        <f>Partner3!$I106</f>
        <v>0</v>
      </c>
      <c r="X30" s="179">
        <f>Partner4!$I106</f>
        <v>0</v>
      </c>
      <c r="Y30" s="179">
        <f>Partner5!$I106</f>
        <v>0</v>
      </c>
      <c r="Z30" s="179">
        <f>Partner6!$I106</f>
        <v>0</v>
      </c>
      <c r="AA30" s="179">
        <f>Partner7!$I106</f>
        <v>0</v>
      </c>
      <c r="AB30" s="179">
        <f>Partner8!$I106</f>
        <v>0</v>
      </c>
      <c r="AC30" s="179">
        <f>Partner9!$I106</f>
        <v>0</v>
      </c>
      <c r="AD30" s="179">
        <f>Partner10!$I106</f>
        <v>0</v>
      </c>
    </row>
    <row r="31" spans="5:30" ht="12" x14ac:dyDescent="0.2">
      <c r="F31" s="94" t="str">
        <f>STRAT3_IND5</f>
        <v>Objetivo estratégico 3 Indicador 5</v>
      </c>
      <c r="G31" s="94" t="str">
        <f ca="1">OFFSET(Variables_Lu!$D$10,Basic_Setup!H50,0)</f>
        <v>Nutrition-specific</v>
      </c>
      <c r="H31" s="346">
        <f>'Financial Req'!$I36</f>
        <v>0</v>
      </c>
      <c r="I31" s="347">
        <f t="shared" si="4"/>
        <v>0</v>
      </c>
      <c r="J31" s="345">
        <f t="shared" si="5"/>
        <v>0</v>
      </c>
      <c r="K31" s="365">
        <f>Government1!$I36</f>
        <v>0</v>
      </c>
      <c r="L31" s="365">
        <f>Government2!$I36</f>
        <v>0</v>
      </c>
      <c r="M31" s="365">
        <f>Government3!$I36</f>
        <v>0</v>
      </c>
      <c r="N31" s="365">
        <f>Government4!$I36</f>
        <v>0</v>
      </c>
      <c r="O31" s="365">
        <f>Government5!$I36</f>
        <v>0</v>
      </c>
      <c r="P31" s="365">
        <f>Government6!$I36</f>
        <v>0</v>
      </c>
      <c r="Q31" s="365">
        <f>Government7!$I36</f>
        <v>0</v>
      </c>
      <c r="R31" s="365">
        <f>Government8!$I36</f>
        <v>0</v>
      </c>
      <c r="S31" s="365">
        <f>Government9!$I36</f>
        <v>0</v>
      </c>
      <c r="T31" s="365">
        <f>Government10!$I36</f>
        <v>0</v>
      </c>
      <c r="U31" s="179">
        <f>Partner1!$I107</f>
        <v>0</v>
      </c>
      <c r="V31" s="179">
        <f>Partner2!$I107</f>
        <v>0</v>
      </c>
      <c r="W31" s="179">
        <f>Partner3!$I107</f>
        <v>0</v>
      </c>
      <c r="X31" s="179">
        <f>Partner4!$I107</f>
        <v>0</v>
      </c>
      <c r="Y31" s="179">
        <f>Partner5!$I107</f>
        <v>0</v>
      </c>
      <c r="Z31" s="179">
        <f>Partner6!$I107</f>
        <v>0</v>
      </c>
      <c r="AA31" s="179">
        <f>Partner7!$I107</f>
        <v>0</v>
      </c>
      <c r="AB31" s="179">
        <f>Partner8!$I107</f>
        <v>0</v>
      </c>
      <c r="AC31" s="179">
        <f>Partner9!$I107</f>
        <v>0</v>
      </c>
      <c r="AD31" s="179">
        <f>Partner10!$I107</f>
        <v>0</v>
      </c>
    </row>
    <row r="32" spans="5:30" ht="34.200000000000003" x14ac:dyDescent="0.2">
      <c r="F32" s="332" t="str">
        <f>"Subtotal: "&amp;E26</f>
        <v>Subtotal: Objetivo estratégico 3: Aumentar la disponibilidad y el acceso a alimentos nutritivos de alto valor, seguros y diversificados</v>
      </c>
      <c r="G32" s="333"/>
      <c r="H32" s="348">
        <f>'Financial Req'!$I37</f>
        <v>429244773182.59052</v>
      </c>
      <c r="I32" s="349">
        <f>SUM(I27:I31)</f>
        <v>214226015906.7709</v>
      </c>
      <c r="J32" s="350">
        <f>SUM(J27:J31)</f>
        <v>215018757275.81958</v>
      </c>
      <c r="K32" s="366">
        <f>Government1!$I37</f>
        <v>10699113798.337545</v>
      </c>
      <c r="L32" s="366">
        <f>Government2!$I37</f>
        <v>1227562648.2407365</v>
      </c>
      <c r="M32" s="366">
        <f>Government3!$I37</f>
        <v>3221361000</v>
      </c>
      <c r="N32" s="366">
        <f>Government4!$I37</f>
        <v>344830980.77797502</v>
      </c>
      <c r="O32" s="366">
        <f>Government5!$I37</f>
        <v>148351145.35482001</v>
      </c>
      <c r="P32" s="366">
        <f>Government6!$I37</f>
        <v>52136668373.361008</v>
      </c>
      <c r="Q32" s="366">
        <f>Government7!$I37</f>
        <v>6493504946.3458204</v>
      </c>
      <c r="R32" s="366">
        <f>Government8!$I37</f>
        <v>319232183.40171003</v>
      </c>
      <c r="S32" s="366">
        <f>Government9!$I37</f>
        <v>0</v>
      </c>
      <c r="T32" s="366">
        <f>Government10!$I37</f>
        <v>0</v>
      </c>
      <c r="U32" s="331">
        <f>Partner1!$I108</f>
        <v>0</v>
      </c>
      <c r="V32" s="331">
        <f>Partner2!$I108</f>
        <v>0</v>
      </c>
      <c r="W32" s="331">
        <f>Partner3!$I108</f>
        <v>130775139000</v>
      </c>
      <c r="X32" s="331">
        <f>Partner4!$I108</f>
        <v>4027993200</v>
      </c>
      <c r="Y32" s="331">
        <f>Partner5!$I108</f>
        <v>5625000000</v>
      </c>
      <c r="Z32" s="331">
        <f>Partner6!$I108</f>
        <v>0</v>
      </c>
      <c r="AA32" s="331">
        <f>Partner7!$I108</f>
        <v>0</v>
      </c>
      <c r="AB32" s="331">
        <f>Partner8!$I108</f>
        <v>0</v>
      </c>
      <c r="AC32" s="331">
        <f>Partner9!$I108</f>
        <v>0</v>
      </c>
      <c r="AD32" s="331">
        <f>Partner10!$I108</f>
        <v>0</v>
      </c>
    </row>
    <row r="33" spans="5:30" ht="12" x14ac:dyDescent="0.2">
      <c r="E33" s="301" t="str">
        <f>Strategy4</f>
        <v>Objetivo estratégico 4: Fortalecer la protección social, la resiliencia de la respuesta a las emergencias y los desastres naturales.</v>
      </c>
      <c r="G33" s="94"/>
      <c r="H33" s="346"/>
      <c r="I33" s="347"/>
      <c r="J33" s="351"/>
      <c r="K33" s="365"/>
      <c r="L33" s="365"/>
      <c r="M33" s="365"/>
      <c r="N33" s="365"/>
      <c r="O33" s="365"/>
      <c r="P33" s="365"/>
      <c r="Q33" s="365"/>
      <c r="R33" s="365"/>
      <c r="S33" s="365"/>
      <c r="T33" s="365"/>
      <c r="U33" s="179"/>
      <c r="V33" s="179"/>
      <c r="W33" s="179"/>
      <c r="X33" s="179"/>
      <c r="Y33" s="179"/>
      <c r="Z33" s="179"/>
      <c r="AA33" s="179"/>
      <c r="AB33" s="179"/>
      <c r="AC33" s="179"/>
      <c r="AD33" s="179"/>
    </row>
    <row r="34" spans="5:30" ht="22.8" x14ac:dyDescent="0.2">
      <c r="F34" s="94" t="str">
        <f>STRAT4_IND1</f>
        <v xml:space="preserve">Se garantiza la protección social de los niños menores de 5 años, los adolescentes, FE/FA y otros grupos vulnerables. </v>
      </c>
      <c r="G34" s="94" t="str">
        <f ca="1">OFFSET(Variables_Lu!$D$10,Basic_Setup!H52,0)</f>
        <v>Nutrition-sensitive</v>
      </c>
      <c r="H34" s="346">
        <f>'Financial Req'!$I38</f>
        <v>64699549805.001068</v>
      </c>
      <c r="I34" s="347">
        <f>H34-J34</f>
        <v>13855582592.410217</v>
      </c>
      <c r="J34" s="345">
        <f>SUM(K34:AD34)</f>
        <v>50843967212.590851</v>
      </c>
      <c r="K34" s="365">
        <f>Government1!$I38</f>
        <v>3011396592.4605675</v>
      </c>
      <c r="L34" s="365">
        <f>Government2!$I38</f>
        <v>345512539.22716689</v>
      </c>
      <c r="M34" s="365">
        <f>Government3!$I38</f>
        <v>906691500</v>
      </c>
      <c r="N34" s="365">
        <f>Government4!$I38</f>
        <v>97056902.100712493</v>
      </c>
      <c r="O34" s="365">
        <f>Government5!$I38</f>
        <v>41755246.465230003</v>
      </c>
      <c r="P34" s="365">
        <f>Government6!$I38</f>
        <v>14674503743.121386</v>
      </c>
      <c r="Q34" s="365">
        <f>Government7!$I38</f>
        <v>1827676482.1017301</v>
      </c>
      <c r="R34" s="365">
        <f>Government8!$I38</f>
        <v>89851807.114065006</v>
      </c>
      <c r="S34" s="365">
        <f>Government9!$I38</f>
        <v>0</v>
      </c>
      <c r="T34" s="365">
        <f>Government10!$I38</f>
        <v>0</v>
      </c>
      <c r="U34" s="179">
        <f>Partner1!$I109</f>
        <v>360000000</v>
      </c>
      <c r="V34" s="179">
        <f>Partner2!$I109</f>
        <v>0</v>
      </c>
      <c r="W34" s="179">
        <f>Partner3!$I109</f>
        <v>24989522400</v>
      </c>
      <c r="X34" s="179">
        <f>Partner4!$I109</f>
        <v>0</v>
      </c>
      <c r="Y34" s="179">
        <f>Partner5!$I109</f>
        <v>4500000000</v>
      </c>
      <c r="Z34" s="179">
        <f>Partner6!$I109</f>
        <v>0</v>
      </c>
      <c r="AA34" s="179">
        <f>Partner7!$I109</f>
        <v>0</v>
      </c>
      <c r="AB34" s="179">
        <f>Partner8!$I109</f>
        <v>0</v>
      </c>
      <c r="AC34" s="179">
        <f>Partner9!$I109</f>
        <v>0</v>
      </c>
      <c r="AD34" s="179">
        <f>Partner10!$I109</f>
        <v>0</v>
      </c>
    </row>
    <row r="35" spans="5:30" ht="34.200000000000003" x14ac:dyDescent="0.2">
      <c r="F35" s="94" t="str">
        <f>STRAT4_IND2</f>
        <v xml:space="preserve">Se fortalece la capacidad de resiliencia y el estado nutricional de las poblaciones vulnerables, incluidos los niños de las zonas desfavorecidas.  </v>
      </c>
      <c r="G35" s="94" t="str">
        <f ca="1">OFFSET(Variables_Lu!$D$10,Basic_Setup!H53,0)</f>
        <v>Nutrition-specific</v>
      </c>
      <c r="H35" s="346">
        <f>'Financial Req'!$I39</f>
        <v>64699549805.001068</v>
      </c>
      <c r="I35" s="347">
        <f t="shared" ref="I35:I38" si="6">H35-J35</f>
        <v>42801684992.410217</v>
      </c>
      <c r="J35" s="345">
        <f t="shared" ref="J35:J38" si="7">SUM(K35:AD35)</f>
        <v>21897864812.590855</v>
      </c>
      <c r="K35" s="365">
        <f>Government1!$I39</f>
        <v>3011396592.4605675</v>
      </c>
      <c r="L35" s="365">
        <f>Government2!$I39</f>
        <v>345512539.22716689</v>
      </c>
      <c r="M35" s="365">
        <f>Government3!$I39</f>
        <v>906691500</v>
      </c>
      <c r="N35" s="365">
        <f>Government4!$I39</f>
        <v>97056902.100712493</v>
      </c>
      <c r="O35" s="365">
        <f>Government5!$I39</f>
        <v>41755246.465230003</v>
      </c>
      <c r="P35" s="365">
        <f>Government6!$I39</f>
        <v>14674503743.121386</v>
      </c>
      <c r="Q35" s="365">
        <f>Government7!$I39</f>
        <v>1827676482.1017301</v>
      </c>
      <c r="R35" s="365">
        <f>Government8!$I39</f>
        <v>89851807.114065006</v>
      </c>
      <c r="S35" s="365">
        <f>Government9!$I39</f>
        <v>0</v>
      </c>
      <c r="T35" s="365">
        <f>Government10!$I39</f>
        <v>0</v>
      </c>
      <c r="U35" s="179">
        <f>Partner1!$I110</f>
        <v>360000000</v>
      </c>
      <c r="V35" s="179">
        <f>Partner2!$I110</f>
        <v>0</v>
      </c>
      <c r="W35" s="179">
        <f>Partner3!$I110</f>
        <v>0</v>
      </c>
      <c r="X35" s="179">
        <f>Partner4!$I110</f>
        <v>93420000</v>
      </c>
      <c r="Y35" s="179">
        <f>Partner5!$I110</f>
        <v>450000000</v>
      </c>
      <c r="Z35" s="179">
        <f>Partner6!$I110</f>
        <v>0</v>
      </c>
      <c r="AA35" s="179">
        <f>Partner7!$I110</f>
        <v>0</v>
      </c>
      <c r="AB35" s="179">
        <f>Partner8!$I110</f>
        <v>0</v>
      </c>
      <c r="AC35" s="179">
        <f>Partner9!$I110</f>
        <v>0</v>
      </c>
      <c r="AD35" s="179">
        <f>Partner10!$I110</f>
        <v>0</v>
      </c>
    </row>
    <row r="36" spans="5:30" ht="22.8" x14ac:dyDescent="0.2">
      <c r="F36" s="94" t="str">
        <f>STRAT4_IND3</f>
        <v xml:space="preserve"> Se introducen eficazmente intervenciones para emergencias y catástrofes naturales integrales de la nutrición.</v>
      </c>
      <c r="G36" s="94" t="str">
        <f ca="1">OFFSET(Variables_Lu!$D$10,Basic_Setup!H54,0)</f>
        <v>Nutrition-specific</v>
      </c>
      <c r="H36" s="346">
        <f>'Financial Req'!$I40</f>
        <v>64699549805.001068</v>
      </c>
      <c r="I36" s="347">
        <f t="shared" si="6"/>
        <v>40825104992.410217</v>
      </c>
      <c r="J36" s="345">
        <f t="shared" si="7"/>
        <v>23874444812.590855</v>
      </c>
      <c r="K36" s="365">
        <f>Government1!$I40</f>
        <v>3011396592.4605675</v>
      </c>
      <c r="L36" s="365">
        <f>Government2!$I40</f>
        <v>345512539.22716689</v>
      </c>
      <c r="M36" s="365">
        <f>Government3!$I40</f>
        <v>906691500</v>
      </c>
      <c r="N36" s="365">
        <f>Government4!$I40</f>
        <v>97056902.100712493</v>
      </c>
      <c r="O36" s="365">
        <f>Government5!$I40</f>
        <v>41755246.465230003</v>
      </c>
      <c r="P36" s="365">
        <f>Government6!$I40</f>
        <v>14674503743.121386</v>
      </c>
      <c r="Q36" s="365">
        <f>Government7!$I40</f>
        <v>1827676482.1017301</v>
      </c>
      <c r="R36" s="365">
        <f>Government8!$I40</f>
        <v>89851807.114065006</v>
      </c>
      <c r="S36" s="365">
        <f>Government9!$I40</f>
        <v>0</v>
      </c>
      <c r="T36" s="365">
        <f>Government10!$I40</f>
        <v>0</v>
      </c>
      <c r="U36" s="179">
        <f>Partner1!$I111</f>
        <v>2880000000</v>
      </c>
      <c r="V36" s="179">
        <f>Partner2!$I111</f>
        <v>0</v>
      </c>
      <c r="W36" s="179">
        <f>Partner3!$I111</f>
        <v>0</v>
      </c>
      <c r="X36" s="179">
        <f>Partner4!$I111</f>
        <v>0</v>
      </c>
      <c r="Y36" s="179">
        <f>Partner5!$I111</f>
        <v>0</v>
      </c>
      <c r="Z36" s="179">
        <f>Partner6!$I111</f>
        <v>0</v>
      </c>
      <c r="AA36" s="179">
        <f>Partner7!$I111</f>
        <v>0</v>
      </c>
      <c r="AB36" s="179">
        <f>Partner8!$I111</f>
        <v>0</v>
      </c>
      <c r="AC36" s="179">
        <f>Partner9!$I111</f>
        <v>0</v>
      </c>
      <c r="AD36" s="179">
        <f>Partner10!$I111</f>
        <v>0</v>
      </c>
    </row>
    <row r="37" spans="5:30" ht="12" x14ac:dyDescent="0.2">
      <c r="F37" s="94" t="str">
        <f>STRAT4_IND4</f>
        <v>Objetivo estratégico 4 Indicador 4</v>
      </c>
      <c r="G37" s="94" t="str">
        <f ca="1">OFFSET(Variables_Lu!$D$10,Basic_Setup!H55,0)</f>
        <v>Nutrition-specific</v>
      </c>
      <c r="H37" s="346">
        <f>'Financial Req'!$I41</f>
        <v>0</v>
      </c>
      <c r="I37" s="347">
        <f t="shared" si="6"/>
        <v>0</v>
      </c>
      <c r="J37" s="345">
        <f t="shared" si="7"/>
        <v>0</v>
      </c>
      <c r="K37" s="365">
        <f>Government1!$I41</f>
        <v>0</v>
      </c>
      <c r="L37" s="365">
        <f>Government2!$I41</f>
        <v>0</v>
      </c>
      <c r="M37" s="365">
        <f>Government3!$I41</f>
        <v>0</v>
      </c>
      <c r="N37" s="365">
        <f>Government4!$I41</f>
        <v>0</v>
      </c>
      <c r="O37" s="365">
        <f>Government5!$I41</f>
        <v>0</v>
      </c>
      <c r="P37" s="365">
        <f>Government6!$I41</f>
        <v>0</v>
      </c>
      <c r="Q37" s="365">
        <f>Government7!$I41</f>
        <v>0</v>
      </c>
      <c r="R37" s="365">
        <f>Government8!$I41</f>
        <v>0</v>
      </c>
      <c r="S37" s="365">
        <f>Government9!$I41</f>
        <v>0</v>
      </c>
      <c r="T37" s="365">
        <f>Government10!$I41</f>
        <v>0</v>
      </c>
      <c r="U37" s="179">
        <f>Partner1!$I112</f>
        <v>0</v>
      </c>
      <c r="V37" s="179">
        <f>Partner2!$I112</f>
        <v>0</v>
      </c>
      <c r="W37" s="179">
        <f>Partner3!$I112</f>
        <v>0</v>
      </c>
      <c r="X37" s="179">
        <f>Partner4!$I112</f>
        <v>0</v>
      </c>
      <c r="Y37" s="179">
        <f>Partner5!$I112</f>
        <v>0</v>
      </c>
      <c r="Z37" s="179">
        <f>Partner6!$I112</f>
        <v>0</v>
      </c>
      <c r="AA37" s="179">
        <f>Partner7!$I112</f>
        <v>0</v>
      </c>
      <c r="AB37" s="179">
        <f>Partner8!$I112</f>
        <v>0</v>
      </c>
      <c r="AC37" s="179">
        <f>Partner9!$I112</f>
        <v>0</v>
      </c>
      <c r="AD37" s="179">
        <f>Partner10!$I112</f>
        <v>0</v>
      </c>
    </row>
    <row r="38" spans="5:30" ht="12" x14ac:dyDescent="0.2">
      <c r="F38" s="94" t="str">
        <f>STRAT4_IND5</f>
        <v>Objetivo estratégico 4 Indicador 5</v>
      </c>
      <c r="G38" s="94" t="str">
        <f ca="1">OFFSET(Variables_Lu!$D$10,Basic_Setup!H56,0)</f>
        <v>Nutrition-specific</v>
      </c>
      <c r="H38" s="346">
        <f>'Financial Req'!$I42</f>
        <v>0</v>
      </c>
      <c r="I38" s="347">
        <f t="shared" si="6"/>
        <v>0</v>
      </c>
      <c r="J38" s="345">
        <f t="shared" si="7"/>
        <v>0</v>
      </c>
      <c r="K38" s="365">
        <f>Government1!$I42</f>
        <v>0</v>
      </c>
      <c r="L38" s="365">
        <f>Government2!$I42</f>
        <v>0</v>
      </c>
      <c r="M38" s="365">
        <f>Government3!$I42</f>
        <v>0</v>
      </c>
      <c r="N38" s="365">
        <f>Government4!$I42</f>
        <v>0</v>
      </c>
      <c r="O38" s="365">
        <f>Government5!$I42</f>
        <v>0</v>
      </c>
      <c r="P38" s="365">
        <f>Government6!$I42</f>
        <v>0</v>
      </c>
      <c r="Q38" s="365">
        <f>Government7!$I42</f>
        <v>0</v>
      </c>
      <c r="R38" s="365">
        <f>Government8!$I42</f>
        <v>0</v>
      </c>
      <c r="S38" s="365">
        <f>Government9!$I42</f>
        <v>0</v>
      </c>
      <c r="T38" s="365">
        <f>Government10!$I42</f>
        <v>0</v>
      </c>
      <c r="U38" s="179">
        <f>Partner1!$I113</f>
        <v>0</v>
      </c>
      <c r="V38" s="179">
        <f>Partner2!$I113</f>
        <v>0</v>
      </c>
      <c r="W38" s="179">
        <f>Partner3!$I113</f>
        <v>0</v>
      </c>
      <c r="X38" s="179">
        <f>Partner4!$I113</f>
        <v>0</v>
      </c>
      <c r="Y38" s="179">
        <f>Partner5!$I113</f>
        <v>0</v>
      </c>
      <c r="Z38" s="179">
        <f>Partner6!$I113</f>
        <v>0</v>
      </c>
      <c r="AA38" s="179">
        <f>Partner7!$I113</f>
        <v>0</v>
      </c>
      <c r="AB38" s="179">
        <f>Partner8!$I113</f>
        <v>0</v>
      </c>
      <c r="AC38" s="179">
        <f>Partner9!$I113</f>
        <v>0</v>
      </c>
      <c r="AD38" s="179">
        <f>Partner10!$I113</f>
        <v>0</v>
      </c>
    </row>
    <row r="39" spans="5:30" ht="34.200000000000003" x14ac:dyDescent="0.2">
      <c r="F39" s="332" t="str">
        <f>"Subtotal: "&amp;E33</f>
        <v>Subtotal: Objetivo estratégico 4: Fortalecer la protección social, la resiliencia de la respuesta a las emergencias y los desastres naturales.</v>
      </c>
      <c r="G39" s="333"/>
      <c r="H39" s="348">
        <f>'Financial Req'!$I43</f>
        <v>194098649415.0032</v>
      </c>
      <c r="I39" s="349">
        <f>SUM(I34:I38)</f>
        <v>97482372577.230652</v>
      </c>
      <c r="J39" s="350">
        <f>SUM(J34:J38)</f>
        <v>96616276837.772552</v>
      </c>
      <c r="K39" s="366">
        <f>Government1!$I43</f>
        <v>9034189777.3817024</v>
      </c>
      <c r="L39" s="366">
        <f>Government2!$I43</f>
        <v>1036537617.6815007</v>
      </c>
      <c r="M39" s="366">
        <f>Government3!$I43</f>
        <v>2720074500</v>
      </c>
      <c r="N39" s="366">
        <f>Government4!$I43</f>
        <v>291170706.30213749</v>
      </c>
      <c r="O39" s="366">
        <f>Government5!$I43</f>
        <v>125265739.39569001</v>
      </c>
      <c r="P39" s="366">
        <f>Government6!$I43</f>
        <v>44023511229.364159</v>
      </c>
      <c r="Q39" s="366">
        <f>Government7!$I43</f>
        <v>5483029446.3051901</v>
      </c>
      <c r="R39" s="366">
        <f>Government8!$I43</f>
        <v>269555421.34219503</v>
      </c>
      <c r="S39" s="366">
        <f>Government9!$I43</f>
        <v>0</v>
      </c>
      <c r="T39" s="366">
        <f>Government10!$I43</f>
        <v>0</v>
      </c>
      <c r="U39" s="331">
        <f>Partner1!$I114</f>
        <v>3600000000</v>
      </c>
      <c r="V39" s="331">
        <f>Partner2!$I114</f>
        <v>0</v>
      </c>
      <c r="W39" s="331">
        <f>Partner3!$I114</f>
        <v>24989522400</v>
      </c>
      <c r="X39" s="331">
        <f>Partner4!$I114</f>
        <v>93420000</v>
      </c>
      <c r="Y39" s="331">
        <f>Partner5!$I114</f>
        <v>4950000000</v>
      </c>
      <c r="Z39" s="331">
        <f>Partner6!$I114</f>
        <v>0</v>
      </c>
      <c r="AA39" s="331">
        <f>Partner7!$I114</f>
        <v>0</v>
      </c>
      <c r="AB39" s="331">
        <f>Partner8!$I114</f>
        <v>0</v>
      </c>
      <c r="AC39" s="331">
        <f>Partner9!$I114</f>
        <v>0</v>
      </c>
      <c r="AD39" s="331">
        <f>Partner10!$I114</f>
        <v>0</v>
      </c>
    </row>
    <row r="40" spans="5:30" ht="12" x14ac:dyDescent="0.2">
      <c r="E40" s="301" t="str">
        <f>Strategy5</f>
        <v xml:space="preserve">Objetivo estratégico 5: Promoción de prácticas favorables a una nutrición óptima, de higiene y saneamiento básico. </v>
      </c>
      <c r="G40" s="94"/>
      <c r="H40" s="346"/>
      <c r="I40" s="347"/>
      <c r="J40" s="351"/>
      <c r="K40" s="365"/>
      <c r="L40" s="365"/>
      <c r="M40" s="365"/>
      <c r="N40" s="365"/>
      <c r="O40" s="365"/>
      <c r="P40" s="365"/>
      <c r="Q40" s="365"/>
      <c r="R40" s="365"/>
      <c r="S40" s="365"/>
      <c r="T40" s="365"/>
      <c r="U40" s="179"/>
      <c r="V40" s="179"/>
      <c r="W40" s="179"/>
      <c r="X40" s="179"/>
      <c r="Y40" s="179"/>
      <c r="Z40" s="179"/>
      <c r="AA40" s="179"/>
      <c r="AB40" s="179"/>
      <c r="AC40" s="179"/>
      <c r="AD40" s="179"/>
    </row>
    <row r="41" spans="5:30" ht="34.200000000000003" x14ac:dyDescent="0.2">
      <c r="F41" s="94" t="str">
        <f>STRAT5_IND1</f>
        <v>Se mejoran las prácticas nutricionales favorables para los niños menores de 5 años, los adolescentes, las mujeres embarazadas y lactantes, y otros grupos vulnerables.</v>
      </c>
      <c r="G41" s="94" t="str">
        <f ca="1">OFFSET(Variables_Lu!$D$10,Basic_Setup!H58,0)</f>
        <v>Nutrition-specific</v>
      </c>
      <c r="H41" s="346">
        <f>'Financial Req'!$I44</f>
        <v>19711493391.666622</v>
      </c>
      <c r="I41" s="347">
        <f>H41-J41</f>
        <v>-3376763404.2313042</v>
      </c>
      <c r="J41" s="345">
        <f>SUM(K41:AD41)</f>
        <v>23088256795.897926</v>
      </c>
      <c r="K41" s="365">
        <f>Government1!$I44</f>
        <v>82640644.600289986</v>
      </c>
      <c r="L41" s="365">
        <f>Government2!$I44</f>
        <v>9481773.0187724996</v>
      </c>
      <c r="M41" s="365">
        <f>Government3!$I44</f>
        <v>24881999.999999996</v>
      </c>
      <c r="N41" s="365">
        <f>Government4!$I44</f>
        <v>2663496.7219499992</v>
      </c>
      <c r="O41" s="365">
        <f>Government5!$I44</f>
        <v>1145873.8088399998</v>
      </c>
      <c r="P41" s="365">
        <f>Government6!$I44</f>
        <v>402706987.03621501</v>
      </c>
      <c r="Q41" s="365">
        <f>Government7!$I44</f>
        <v>50156250.750840001</v>
      </c>
      <c r="R41" s="365">
        <f>Government8!$I44</f>
        <v>2465769.9610199998</v>
      </c>
      <c r="S41" s="365">
        <f>Government9!$I44</f>
        <v>0</v>
      </c>
      <c r="T41" s="365">
        <f>Government10!$I44</f>
        <v>0</v>
      </c>
      <c r="U41" s="179">
        <f>Partner1!$I115</f>
        <v>10800000000</v>
      </c>
      <c r="V41" s="179">
        <f>Partner2!$I115</f>
        <v>0</v>
      </c>
      <c r="W41" s="179">
        <f>Partner3!$I115</f>
        <v>2046319200</v>
      </c>
      <c r="X41" s="179">
        <f>Partner4!$I115</f>
        <v>665794800</v>
      </c>
      <c r="Y41" s="179">
        <f>Partner5!$I115</f>
        <v>9000000000</v>
      </c>
      <c r="Z41" s="179">
        <f>Partner6!$I115</f>
        <v>0</v>
      </c>
      <c r="AA41" s="179">
        <f>Partner7!$I115</f>
        <v>0</v>
      </c>
      <c r="AB41" s="179">
        <f>Partner8!$I115</f>
        <v>0</v>
      </c>
      <c r="AC41" s="179">
        <f>Partner9!$I115</f>
        <v>0</v>
      </c>
      <c r="AD41" s="179">
        <f>Partner10!$I115</f>
        <v>0</v>
      </c>
    </row>
    <row r="42" spans="5:30" ht="22.8" x14ac:dyDescent="0.2">
      <c r="F42" s="94" t="str">
        <f>STRAT5_IND2</f>
        <v>Se promueven dietas saludables y estilos de vida saludables para las personas.</v>
      </c>
      <c r="G42" s="94" t="str">
        <f ca="1">OFFSET(Variables_Lu!$D$10,Basic_Setup!H59,0)</f>
        <v>Nutrition-specific</v>
      </c>
      <c r="H42" s="346">
        <f>'Financial Req'!$I45</f>
        <v>19711493391.666622</v>
      </c>
      <c r="I42" s="347">
        <f t="shared" ref="I42:I45" si="8">H42-J42</f>
        <v>14750730595.768696</v>
      </c>
      <c r="J42" s="345">
        <f t="shared" ref="J42:J45" si="9">SUM(K42:AD42)</f>
        <v>4960762795.8979273</v>
      </c>
      <c r="K42" s="365">
        <f>Government1!$I45</f>
        <v>82640644.600289986</v>
      </c>
      <c r="L42" s="365">
        <f>Government2!$I45</f>
        <v>9481773.0187724996</v>
      </c>
      <c r="M42" s="365">
        <f>Government3!$I45</f>
        <v>24881999.999999996</v>
      </c>
      <c r="N42" s="365">
        <f>Government4!$I45</f>
        <v>2663496.7219499992</v>
      </c>
      <c r="O42" s="365">
        <f>Government5!$I45</f>
        <v>1145873.8088399998</v>
      </c>
      <c r="P42" s="365">
        <f>Government6!$I45</f>
        <v>402706987.03621501</v>
      </c>
      <c r="Q42" s="365">
        <f>Government7!$I45</f>
        <v>50156250.750840001</v>
      </c>
      <c r="R42" s="365">
        <f>Government8!$I45</f>
        <v>2465769.9610199998</v>
      </c>
      <c r="S42" s="365">
        <f>Government9!$I45</f>
        <v>0</v>
      </c>
      <c r="T42" s="365">
        <f>Government10!$I45</f>
        <v>0</v>
      </c>
      <c r="U42" s="179">
        <f>Partner1!$I116</f>
        <v>4320000000</v>
      </c>
      <c r="V42" s="179">
        <f>Partner2!$I116</f>
        <v>0</v>
      </c>
      <c r="W42" s="179">
        <f>Partner3!$I116</f>
        <v>0</v>
      </c>
      <c r="X42" s="179">
        <f>Partner4!$I116</f>
        <v>64620000</v>
      </c>
      <c r="Y42" s="179">
        <f>Partner5!$I116</f>
        <v>0</v>
      </c>
      <c r="Z42" s="179">
        <f>Partner6!$I116</f>
        <v>0</v>
      </c>
      <c r="AA42" s="179">
        <f>Partner7!$I116</f>
        <v>0</v>
      </c>
      <c r="AB42" s="179">
        <f>Partner8!$I116</f>
        <v>0</v>
      </c>
      <c r="AC42" s="179">
        <f>Partner9!$I116</f>
        <v>0</v>
      </c>
      <c r="AD42" s="179">
        <f>Partner10!$I116</f>
        <v>0</v>
      </c>
    </row>
    <row r="43" spans="5:30" ht="22.8" x14ac:dyDescent="0.2">
      <c r="F43" s="94" t="str">
        <f>STRAT5_IND3</f>
        <v>Se promueven las buenas prácticas WASH a nivel comunitario y doméstico</v>
      </c>
      <c r="G43" s="94" t="str">
        <f ca="1">OFFSET(Variables_Lu!$D$10,Basic_Setup!H60,0)</f>
        <v>Nutrition-sensitive</v>
      </c>
      <c r="H43" s="346">
        <f>'Financial Req'!$I46</f>
        <v>19711493391.666622</v>
      </c>
      <c r="I43" s="347">
        <f t="shared" si="8"/>
        <v>12655350595.768696</v>
      </c>
      <c r="J43" s="345">
        <f t="shared" si="9"/>
        <v>7056142795.8979273</v>
      </c>
      <c r="K43" s="365">
        <f>Government1!$I46</f>
        <v>82640644.600289986</v>
      </c>
      <c r="L43" s="365">
        <f>Government2!$I46</f>
        <v>9481773.0187724996</v>
      </c>
      <c r="M43" s="365">
        <f>Government3!$I46</f>
        <v>24881999.999999996</v>
      </c>
      <c r="N43" s="365">
        <f>Government4!$I46</f>
        <v>2663496.7219499992</v>
      </c>
      <c r="O43" s="365">
        <f>Government5!$I46</f>
        <v>1145873.8088399998</v>
      </c>
      <c r="P43" s="365">
        <f>Government6!$I46</f>
        <v>402706987.03621501</v>
      </c>
      <c r="Q43" s="365">
        <f>Government7!$I46</f>
        <v>50156250.750840001</v>
      </c>
      <c r="R43" s="365">
        <f>Government8!$I46</f>
        <v>2465769.9610199998</v>
      </c>
      <c r="S43" s="365">
        <f>Government9!$I46</f>
        <v>0</v>
      </c>
      <c r="T43" s="365">
        <f>Government10!$I46</f>
        <v>0</v>
      </c>
      <c r="U43" s="179">
        <f>Partner1!$I117</f>
        <v>6480000000</v>
      </c>
      <c r="V43" s="179">
        <f>Partner2!$I117</f>
        <v>0</v>
      </c>
      <c r="W43" s="179">
        <f>Partner3!$I117</f>
        <v>0</v>
      </c>
      <c r="X43" s="179">
        <f>Partner4!$I117</f>
        <v>0</v>
      </c>
      <c r="Y43" s="179">
        <f>Partner5!$I117</f>
        <v>0</v>
      </c>
      <c r="Z43" s="179">
        <f>Partner6!$I117</f>
        <v>0</v>
      </c>
      <c r="AA43" s="179">
        <f>Partner7!$I117</f>
        <v>0</v>
      </c>
      <c r="AB43" s="179">
        <f>Partner8!$I117</f>
        <v>0</v>
      </c>
      <c r="AC43" s="179">
        <f>Partner9!$I117</f>
        <v>0</v>
      </c>
      <c r="AD43" s="179">
        <f>Partner10!$I117</f>
        <v>0</v>
      </c>
    </row>
    <row r="44" spans="5:30" ht="12" x14ac:dyDescent="0.2">
      <c r="F44" s="94" t="str">
        <f>STRAT5_IND4</f>
        <v>Objetivo estratégico 5 Indicador 4</v>
      </c>
      <c r="G44" s="94" t="str">
        <f ca="1">OFFSET(Variables_Lu!$D$10,Basic_Setup!H61,0)</f>
        <v>Nutrition-specific</v>
      </c>
      <c r="H44" s="346">
        <f>'Financial Req'!$I47</f>
        <v>0</v>
      </c>
      <c r="I44" s="347">
        <f t="shared" si="8"/>
        <v>0</v>
      </c>
      <c r="J44" s="345">
        <f t="shared" si="9"/>
        <v>0</v>
      </c>
      <c r="K44" s="365">
        <f>Government1!$I47</f>
        <v>0</v>
      </c>
      <c r="L44" s="365">
        <f>Government2!$I47</f>
        <v>0</v>
      </c>
      <c r="M44" s="365">
        <f>Government3!$I47</f>
        <v>0</v>
      </c>
      <c r="N44" s="365">
        <f>Government4!$I47</f>
        <v>0</v>
      </c>
      <c r="O44" s="365">
        <f>Government5!$I47</f>
        <v>0</v>
      </c>
      <c r="P44" s="365">
        <f>Government6!$I47</f>
        <v>0</v>
      </c>
      <c r="Q44" s="365">
        <f>Government7!$I47</f>
        <v>0</v>
      </c>
      <c r="R44" s="365">
        <f>Government8!$I47</f>
        <v>0</v>
      </c>
      <c r="S44" s="365">
        <f>Government9!$I47</f>
        <v>0</v>
      </c>
      <c r="T44" s="365">
        <f>Government10!$I47</f>
        <v>0</v>
      </c>
      <c r="U44" s="179">
        <f>Partner1!$I118</f>
        <v>0</v>
      </c>
      <c r="V44" s="179">
        <f>Partner2!$I118</f>
        <v>0</v>
      </c>
      <c r="W44" s="179">
        <f>Partner3!$I118</f>
        <v>0</v>
      </c>
      <c r="X44" s="179">
        <f>Partner4!$I118</f>
        <v>0</v>
      </c>
      <c r="Y44" s="179">
        <f>Partner5!$I118</f>
        <v>0</v>
      </c>
      <c r="Z44" s="179">
        <f>Partner6!$I118</f>
        <v>0</v>
      </c>
      <c r="AA44" s="179">
        <f>Partner7!$I118</f>
        <v>0</v>
      </c>
      <c r="AB44" s="179">
        <f>Partner8!$I118</f>
        <v>0</v>
      </c>
      <c r="AC44" s="179">
        <f>Partner9!$I118</f>
        <v>0</v>
      </c>
      <c r="AD44" s="179">
        <f>Partner10!$I118</f>
        <v>0</v>
      </c>
    </row>
    <row r="45" spans="5:30" ht="12" x14ac:dyDescent="0.2">
      <c r="F45" s="94" t="str">
        <f>STRAT5_IND5</f>
        <v>Objetivo estratégico 5 Indicador 5</v>
      </c>
      <c r="G45" s="94" t="str">
        <f ca="1">OFFSET(Variables_Lu!$D$10,Basic_Setup!H62,0)</f>
        <v>Nutrition-specific</v>
      </c>
      <c r="H45" s="346">
        <f>'Financial Req'!$I48</f>
        <v>0</v>
      </c>
      <c r="I45" s="347">
        <f t="shared" si="8"/>
        <v>0</v>
      </c>
      <c r="J45" s="345">
        <f t="shared" si="9"/>
        <v>0</v>
      </c>
      <c r="K45" s="365">
        <f>Government1!$I48</f>
        <v>0</v>
      </c>
      <c r="L45" s="365">
        <f>Government2!$I48</f>
        <v>0</v>
      </c>
      <c r="M45" s="365">
        <f>Government3!$I48</f>
        <v>0</v>
      </c>
      <c r="N45" s="365">
        <f>Government4!$I48</f>
        <v>0</v>
      </c>
      <c r="O45" s="365">
        <f>Government5!$I48</f>
        <v>0</v>
      </c>
      <c r="P45" s="365">
        <f>Government6!$I48</f>
        <v>0</v>
      </c>
      <c r="Q45" s="365">
        <f>Government7!$I48</f>
        <v>0</v>
      </c>
      <c r="R45" s="365">
        <f>Government8!$I48</f>
        <v>0</v>
      </c>
      <c r="S45" s="365">
        <f>Government9!$I48</f>
        <v>0</v>
      </c>
      <c r="T45" s="365">
        <f>Government10!$I48</f>
        <v>0</v>
      </c>
      <c r="U45" s="179">
        <f>Partner1!$I119</f>
        <v>0</v>
      </c>
      <c r="V45" s="179">
        <f>Partner2!$I119</f>
        <v>0</v>
      </c>
      <c r="W45" s="179">
        <f>Partner3!$I119</f>
        <v>0</v>
      </c>
      <c r="X45" s="179">
        <f>Partner4!$I119</f>
        <v>0</v>
      </c>
      <c r="Y45" s="179">
        <f>Partner5!$I119</f>
        <v>0</v>
      </c>
      <c r="Z45" s="179">
        <f>Partner6!$I119</f>
        <v>0</v>
      </c>
      <c r="AA45" s="179">
        <f>Partner7!$I119</f>
        <v>0</v>
      </c>
      <c r="AB45" s="179">
        <f>Partner8!$I119</f>
        <v>0</v>
      </c>
      <c r="AC45" s="179">
        <f>Partner9!$I119</f>
        <v>0</v>
      </c>
      <c r="AD45" s="179">
        <f>Partner10!$I119</f>
        <v>0</v>
      </c>
    </row>
    <row r="46" spans="5:30" ht="34.200000000000003" x14ac:dyDescent="0.2">
      <c r="F46" s="332" t="str">
        <f>"Subtotal: "&amp;E40</f>
        <v xml:space="preserve">Subtotal: Objetivo estratégico 5: Promoción de prácticas favorables a una nutrición óptima, de higiene y saneamiento básico. </v>
      </c>
      <c r="G46" s="333"/>
      <c r="H46" s="348">
        <f>'Financial Req'!$I49</f>
        <v>59134480174.999863</v>
      </c>
      <c r="I46" s="349">
        <f>SUM(I41:I45)</f>
        <v>24029317787.306087</v>
      </c>
      <c r="J46" s="350">
        <f>SUM(J41:J45)</f>
        <v>35105162387.693779</v>
      </c>
      <c r="K46" s="366">
        <f>Government1!$I49</f>
        <v>247921933.80086994</v>
      </c>
      <c r="L46" s="366">
        <f>Government2!$I49</f>
        <v>28445319.056317501</v>
      </c>
      <c r="M46" s="366">
        <f>Government3!$I49</f>
        <v>74645999.999999985</v>
      </c>
      <c r="N46" s="366">
        <f>Government4!$I49</f>
        <v>7990490.1658499977</v>
      </c>
      <c r="O46" s="366">
        <f>Government5!$I49</f>
        <v>3437621.4265199993</v>
      </c>
      <c r="P46" s="366">
        <f>Government6!$I49</f>
        <v>1208120961.108645</v>
      </c>
      <c r="Q46" s="366">
        <f>Government7!$I49</f>
        <v>150468752.25251999</v>
      </c>
      <c r="R46" s="366">
        <f>Government8!$I49</f>
        <v>7397309.883059999</v>
      </c>
      <c r="S46" s="366">
        <f>Government9!$I49</f>
        <v>0</v>
      </c>
      <c r="T46" s="366">
        <f>Government10!$I49</f>
        <v>0</v>
      </c>
      <c r="U46" s="331">
        <f>Partner1!$I120</f>
        <v>21600000000</v>
      </c>
      <c r="V46" s="331">
        <f>Partner2!$I120</f>
        <v>0</v>
      </c>
      <c r="W46" s="331">
        <f>Partner3!$I120</f>
        <v>2046319200</v>
      </c>
      <c r="X46" s="331">
        <f>Partner4!$I120</f>
        <v>730414800</v>
      </c>
      <c r="Y46" s="331">
        <f>Partner5!$I120</f>
        <v>9000000000</v>
      </c>
      <c r="Z46" s="331">
        <f>Partner6!$I120</f>
        <v>0</v>
      </c>
      <c r="AA46" s="331">
        <f>Partner7!$I120</f>
        <v>0</v>
      </c>
      <c r="AB46" s="331">
        <f>Partner8!$I120</f>
        <v>0</v>
      </c>
      <c r="AC46" s="331">
        <f>Partner9!$I120</f>
        <v>0</v>
      </c>
      <c r="AD46" s="331">
        <f>Partner10!$I120</f>
        <v>0</v>
      </c>
    </row>
    <row r="47" spans="5:30" ht="12" x14ac:dyDescent="0.2">
      <c r="E47" s="301" t="str">
        <f>Strategy6</f>
        <v>Objetivo estratégico 6: [No está en uso]</v>
      </c>
      <c r="G47" s="94"/>
      <c r="H47" s="346"/>
      <c r="I47" s="347"/>
      <c r="J47" s="351"/>
      <c r="K47" s="365"/>
      <c r="L47" s="365"/>
      <c r="M47" s="365"/>
      <c r="N47" s="365"/>
      <c r="O47" s="365"/>
      <c r="P47" s="365"/>
      <c r="Q47" s="365"/>
      <c r="R47" s="365"/>
      <c r="S47" s="365"/>
      <c r="T47" s="365"/>
      <c r="U47" s="179"/>
      <c r="V47" s="179"/>
      <c r="W47" s="179"/>
      <c r="X47" s="179"/>
      <c r="Y47" s="179"/>
      <c r="Z47" s="179"/>
      <c r="AA47" s="179"/>
      <c r="AB47" s="179"/>
      <c r="AC47" s="179"/>
      <c r="AD47" s="179"/>
    </row>
    <row r="48" spans="5:30" ht="12" x14ac:dyDescent="0.2">
      <c r="F48" s="94" t="str">
        <f>STRAT6_IND1</f>
        <v>Objetivo estratégico 6 Indicador 1</v>
      </c>
      <c r="G48" s="94" t="str">
        <f ca="1">OFFSET(Variables_Lu!$D$10,Basic_Setup!H64,0)</f>
        <v>Nutrition-specific</v>
      </c>
      <c r="H48" s="346">
        <f>'Financial Req'!$I50</f>
        <v>0</v>
      </c>
      <c r="I48" s="347">
        <f>H48-J48</f>
        <v>0</v>
      </c>
      <c r="J48" s="345">
        <f>SUM(K48:AD48)</f>
        <v>0</v>
      </c>
      <c r="K48" s="365">
        <f>Government1!$I50</f>
        <v>0</v>
      </c>
      <c r="L48" s="365">
        <f>Government2!$I50</f>
        <v>0</v>
      </c>
      <c r="M48" s="365">
        <f>Government3!$I50</f>
        <v>0</v>
      </c>
      <c r="N48" s="365">
        <f>Government4!$I50</f>
        <v>0</v>
      </c>
      <c r="O48" s="365">
        <f>Government5!$I50</f>
        <v>0</v>
      </c>
      <c r="P48" s="365">
        <f>Government6!$I50</f>
        <v>0</v>
      </c>
      <c r="Q48" s="365">
        <f>Government7!$I50</f>
        <v>0</v>
      </c>
      <c r="R48" s="365">
        <f>Government8!$I50</f>
        <v>0</v>
      </c>
      <c r="S48" s="365">
        <f>Government9!$I50</f>
        <v>0</v>
      </c>
      <c r="T48" s="365">
        <f>Government10!$I50</f>
        <v>0</v>
      </c>
      <c r="U48" s="179">
        <f>Partner1!$I121</f>
        <v>0</v>
      </c>
      <c r="V48" s="179">
        <f>Partner2!$I121</f>
        <v>0</v>
      </c>
      <c r="W48" s="179">
        <f>Partner3!$I121</f>
        <v>0</v>
      </c>
      <c r="X48" s="179">
        <f>Partner4!$I121</f>
        <v>0</v>
      </c>
      <c r="Y48" s="179">
        <f>Partner5!$I121</f>
        <v>0</v>
      </c>
      <c r="Z48" s="179">
        <f>Partner6!$I121</f>
        <v>0</v>
      </c>
      <c r="AA48" s="179">
        <f>Partner7!$I121</f>
        <v>0</v>
      </c>
      <c r="AB48" s="179">
        <f>Partner8!$I121</f>
        <v>0</v>
      </c>
      <c r="AC48" s="179">
        <f>Partner9!$I121</f>
        <v>0</v>
      </c>
      <c r="AD48" s="179">
        <f>Partner10!$I121</f>
        <v>0</v>
      </c>
    </row>
    <row r="49" spans="5:30" ht="12" x14ac:dyDescent="0.2">
      <c r="F49" s="94" t="str">
        <f>STRAT6_IND2</f>
        <v>Objetivo estratégico 6 Indicador 2</v>
      </c>
      <c r="G49" s="94" t="str">
        <f ca="1">OFFSET(Variables_Lu!$D$10,Basic_Setup!H65,0)</f>
        <v>Nutrition-specific</v>
      </c>
      <c r="H49" s="346">
        <f>'Financial Req'!$I51</f>
        <v>0</v>
      </c>
      <c r="I49" s="347">
        <f t="shared" ref="I49:I52" si="10">H49-J49</f>
        <v>0</v>
      </c>
      <c r="J49" s="345">
        <f t="shared" ref="J49:J52" si="11">SUM(K49:AD49)</f>
        <v>0</v>
      </c>
      <c r="K49" s="365">
        <f>Government1!$I51</f>
        <v>0</v>
      </c>
      <c r="L49" s="365">
        <f>Government2!$I51</f>
        <v>0</v>
      </c>
      <c r="M49" s="365">
        <f>Government3!$I51</f>
        <v>0</v>
      </c>
      <c r="N49" s="365">
        <f>Government4!$I51</f>
        <v>0</v>
      </c>
      <c r="O49" s="365">
        <f>Government5!$I51</f>
        <v>0</v>
      </c>
      <c r="P49" s="365">
        <f>Government6!$I51</f>
        <v>0</v>
      </c>
      <c r="Q49" s="365">
        <f>Government7!$I51</f>
        <v>0</v>
      </c>
      <c r="R49" s="365">
        <f>Government8!$I51</f>
        <v>0</v>
      </c>
      <c r="S49" s="365">
        <f>Government9!$I51</f>
        <v>0</v>
      </c>
      <c r="T49" s="365">
        <f>Government10!$I51</f>
        <v>0</v>
      </c>
      <c r="U49" s="179">
        <f>Partner1!$I122</f>
        <v>0</v>
      </c>
      <c r="V49" s="179">
        <f>Partner2!$I122</f>
        <v>0</v>
      </c>
      <c r="W49" s="179">
        <f>Partner3!$I122</f>
        <v>0</v>
      </c>
      <c r="X49" s="179">
        <f>Partner4!$I122</f>
        <v>0</v>
      </c>
      <c r="Y49" s="179">
        <f>Partner5!$I122</f>
        <v>0</v>
      </c>
      <c r="Z49" s="179">
        <f>Partner6!$I122</f>
        <v>0</v>
      </c>
      <c r="AA49" s="179">
        <f>Partner7!$I122</f>
        <v>0</v>
      </c>
      <c r="AB49" s="179">
        <f>Partner8!$I122</f>
        <v>0</v>
      </c>
      <c r="AC49" s="179">
        <f>Partner9!$I122</f>
        <v>0</v>
      </c>
      <c r="AD49" s="179">
        <f>Partner10!$I122</f>
        <v>0</v>
      </c>
    </row>
    <row r="50" spans="5:30" ht="12" x14ac:dyDescent="0.2">
      <c r="F50" s="94" t="str">
        <f>STRAT6_IND3</f>
        <v>Objetivo estratégico 6 Indicador 3</v>
      </c>
      <c r="G50" s="94" t="str">
        <f ca="1">OFFSET(Variables_Lu!$D$10,Basic_Setup!H66,0)</f>
        <v>Nutrition-specific</v>
      </c>
      <c r="H50" s="346">
        <f>'Financial Req'!$I52</f>
        <v>0</v>
      </c>
      <c r="I50" s="347">
        <f t="shared" si="10"/>
        <v>0</v>
      </c>
      <c r="J50" s="345">
        <f t="shared" si="11"/>
        <v>0</v>
      </c>
      <c r="K50" s="365">
        <f>Government1!$I52</f>
        <v>0</v>
      </c>
      <c r="L50" s="365">
        <f>Government2!$I52</f>
        <v>0</v>
      </c>
      <c r="M50" s="365">
        <f>Government3!$I52</f>
        <v>0</v>
      </c>
      <c r="N50" s="365">
        <f>Government4!$I52</f>
        <v>0</v>
      </c>
      <c r="O50" s="365">
        <f>Government5!$I52</f>
        <v>0</v>
      </c>
      <c r="P50" s="365">
        <f>Government6!$I52</f>
        <v>0</v>
      </c>
      <c r="Q50" s="365">
        <f>Government7!$I52</f>
        <v>0</v>
      </c>
      <c r="R50" s="365">
        <f>Government8!$I52</f>
        <v>0</v>
      </c>
      <c r="S50" s="365">
        <f>Government9!$I52</f>
        <v>0</v>
      </c>
      <c r="T50" s="365">
        <f>Government10!$I52</f>
        <v>0</v>
      </c>
      <c r="U50" s="179">
        <f>Partner1!$I123</f>
        <v>0</v>
      </c>
      <c r="V50" s="179">
        <f>Partner2!$I123</f>
        <v>0</v>
      </c>
      <c r="W50" s="179">
        <f>Partner3!$I123</f>
        <v>0</v>
      </c>
      <c r="X50" s="179">
        <f>Partner4!$I123</f>
        <v>0</v>
      </c>
      <c r="Y50" s="179">
        <f>Partner5!$I123</f>
        <v>0</v>
      </c>
      <c r="Z50" s="179">
        <f>Partner6!$I123</f>
        <v>0</v>
      </c>
      <c r="AA50" s="179">
        <f>Partner7!$I123</f>
        <v>0</v>
      </c>
      <c r="AB50" s="179">
        <f>Partner8!$I123</f>
        <v>0</v>
      </c>
      <c r="AC50" s="179">
        <f>Partner9!$I123</f>
        <v>0</v>
      </c>
      <c r="AD50" s="179">
        <f>Partner10!$I123</f>
        <v>0</v>
      </c>
    </row>
    <row r="51" spans="5:30" ht="12" x14ac:dyDescent="0.2">
      <c r="F51" s="94" t="str">
        <f>STRAT6_IND4</f>
        <v>Objetivo estratégico 6 Indicador 4</v>
      </c>
      <c r="G51" s="94" t="str">
        <f ca="1">OFFSET(Variables_Lu!$D$10,Basic_Setup!H67,0)</f>
        <v>Nutrition-specific</v>
      </c>
      <c r="H51" s="346">
        <f>'Financial Req'!$I53</f>
        <v>0</v>
      </c>
      <c r="I51" s="347">
        <f t="shared" si="10"/>
        <v>0</v>
      </c>
      <c r="J51" s="345">
        <f t="shared" si="11"/>
        <v>0</v>
      </c>
      <c r="K51" s="365">
        <f>Government1!$I53</f>
        <v>0</v>
      </c>
      <c r="L51" s="365">
        <f>Government2!$I53</f>
        <v>0</v>
      </c>
      <c r="M51" s="365">
        <f>Government3!$I53</f>
        <v>0</v>
      </c>
      <c r="N51" s="365">
        <f>Government4!$I53</f>
        <v>0</v>
      </c>
      <c r="O51" s="365">
        <f>Government5!$I53</f>
        <v>0</v>
      </c>
      <c r="P51" s="365">
        <f>Government6!$I53</f>
        <v>0</v>
      </c>
      <c r="Q51" s="365">
        <f>Government7!$I53</f>
        <v>0</v>
      </c>
      <c r="R51" s="365">
        <f>Government8!$I53</f>
        <v>0</v>
      </c>
      <c r="S51" s="365">
        <f>Government9!$I53</f>
        <v>0</v>
      </c>
      <c r="T51" s="365">
        <f>Government10!$I53</f>
        <v>0</v>
      </c>
      <c r="U51" s="179">
        <f>Partner1!$I124</f>
        <v>0</v>
      </c>
      <c r="V51" s="179">
        <f>Partner2!$I124</f>
        <v>0</v>
      </c>
      <c r="W51" s="179">
        <f>Partner3!$I124</f>
        <v>0</v>
      </c>
      <c r="X51" s="179">
        <f>Partner4!$I124</f>
        <v>0</v>
      </c>
      <c r="Y51" s="179">
        <f>Partner5!$I124</f>
        <v>0</v>
      </c>
      <c r="Z51" s="179">
        <f>Partner6!$I124</f>
        <v>0</v>
      </c>
      <c r="AA51" s="179">
        <f>Partner7!$I124</f>
        <v>0</v>
      </c>
      <c r="AB51" s="179">
        <f>Partner8!$I124</f>
        <v>0</v>
      </c>
      <c r="AC51" s="179">
        <f>Partner9!$I124</f>
        <v>0</v>
      </c>
      <c r="AD51" s="179">
        <f>Partner10!$I124</f>
        <v>0</v>
      </c>
    </row>
    <row r="52" spans="5:30" ht="12" x14ac:dyDescent="0.2">
      <c r="F52" s="94" t="str">
        <f>STRAT6_IND5</f>
        <v>Objetivo estratégico 6 Indicador 5</v>
      </c>
      <c r="G52" s="94" t="str">
        <f ca="1">OFFSET(Variables_Lu!$D$10,Basic_Setup!H68,0)</f>
        <v>Nutrition-specific</v>
      </c>
      <c r="H52" s="346">
        <f>'Financial Req'!$I54</f>
        <v>0</v>
      </c>
      <c r="I52" s="347">
        <f t="shared" si="10"/>
        <v>0</v>
      </c>
      <c r="J52" s="345">
        <f t="shared" si="11"/>
        <v>0</v>
      </c>
      <c r="K52" s="365">
        <f>Government1!$I54</f>
        <v>0</v>
      </c>
      <c r="L52" s="365">
        <f>Government2!$I54</f>
        <v>0</v>
      </c>
      <c r="M52" s="365">
        <f>Government3!$I54</f>
        <v>0</v>
      </c>
      <c r="N52" s="365">
        <f>Government4!$I54</f>
        <v>0</v>
      </c>
      <c r="O52" s="365">
        <f>Government5!$I54</f>
        <v>0</v>
      </c>
      <c r="P52" s="365">
        <f>Government6!$I54</f>
        <v>0</v>
      </c>
      <c r="Q52" s="365">
        <f>Government7!$I54</f>
        <v>0</v>
      </c>
      <c r="R52" s="365">
        <f>Government8!$I54</f>
        <v>0</v>
      </c>
      <c r="S52" s="365">
        <f>Government9!$I54</f>
        <v>0</v>
      </c>
      <c r="T52" s="365">
        <f>Government10!$I54</f>
        <v>0</v>
      </c>
      <c r="U52" s="179">
        <f>Partner1!$I125</f>
        <v>0</v>
      </c>
      <c r="V52" s="179">
        <f>Partner2!$I125</f>
        <v>0</v>
      </c>
      <c r="W52" s="179">
        <f>Partner3!$I125</f>
        <v>0</v>
      </c>
      <c r="X52" s="179">
        <f>Partner4!$I125</f>
        <v>0</v>
      </c>
      <c r="Y52" s="179">
        <f>Partner5!$I125</f>
        <v>0</v>
      </c>
      <c r="Z52" s="179">
        <f>Partner6!$I125</f>
        <v>0</v>
      </c>
      <c r="AA52" s="179">
        <f>Partner7!$I125</f>
        <v>0</v>
      </c>
      <c r="AB52" s="179">
        <f>Partner8!$I125</f>
        <v>0</v>
      </c>
      <c r="AC52" s="179">
        <f>Partner9!$I125</f>
        <v>0</v>
      </c>
      <c r="AD52" s="179">
        <f>Partner10!$I125</f>
        <v>0</v>
      </c>
    </row>
    <row r="53" spans="5:30" x14ac:dyDescent="0.2">
      <c r="F53" s="332" t="str">
        <f>"Subtotal: "&amp;E47</f>
        <v>Subtotal: Objetivo estratégico 6: [No está en uso]</v>
      </c>
      <c r="G53" s="333"/>
      <c r="H53" s="348">
        <f>'Financial Req'!$I55</f>
        <v>0</v>
      </c>
      <c r="I53" s="349">
        <f>SUM(I48:I52)</f>
        <v>0</v>
      </c>
      <c r="J53" s="350">
        <f>SUM(J48:J52)</f>
        <v>0</v>
      </c>
      <c r="K53" s="366">
        <f>Government1!$I55</f>
        <v>0</v>
      </c>
      <c r="L53" s="366">
        <f>Government2!$I55</f>
        <v>0</v>
      </c>
      <c r="M53" s="366">
        <f>Government3!$I55</f>
        <v>0</v>
      </c>
      <c r="N53" s="366">
        <f>Government4!$I55</f>
        <v>0</v>
      </c>
      <c r="O53" s="366">
        <f>Government5!$I55</f>
        <v>0</v>
      </c>
      <c r="P53" s="366">
        <f>Government6!$I55</f>
        <v>0</v>
      </c>
      <c r="Q53" s="366">
        <f>Government7!$I55</f>
        <v>0</v>
      </c>
      <c r="R53" s="366">
        <f>Government8!$I55</f>
        <v>0</v>
      </c>
      <c r="S53" s="366">
        <f>Government9!$I55</f>
        <v>0</v>
      </c>
      <c r="T53" s="366">
        <f>Government10!$I55</f>
        <v>0</v>
      </c>
      <c r="U53" s="331">
        <f>Partner1!$I126</f>
        <v>0</v>
      </c>
      <c r="V53" s="331">
        <f>Partner2!$I126</f>
        <v>0</v>
      </c>
      <c r="W53" s="331">
        <f>Partner3!$I126</f>
        <v>0</v>
      </c>
      <c r="X53" s="331">
        <f>Partner4!$I126</f>
        <v>0</v>
      </c>
      <c r="Y53" s="331">
        <f>Partner5!$I126</f>
        <v>0</v>
      </c>
      <c r="Z53" s="331">
        <f>Partner6!$I126</f>
        <v>0</v>
      </c>
      <c r="AA53" s="331">
        <f>Partner7!$I126</f>
        <v>0</v>
      </c>
      <c r="AB53" s="331">
        <f>Partner8!$I126</f>
        <v>0</v>
      </c>
      <c r="AC53" s="331">
        <f>Partner9!$I126</f>
        <v>0</v>
      </c>
      <c r="AD53" s="331">
        <f>Partner10!$I126</f>
        <v>0</v>
      </c>
    </row>
    <row r="54" spans="5:30" ht="12" x14ac:dyDescent="0.2">
      <c r="E54" s="301" t="str">
        <f>Strategy7</f>
        <v>Objetivo estratégico 7: [No está en uso]</v>
      </c>
      <c r="G54" s="94"/>
      <c r="H54" s="346"/>
      <c r="I54" s="347"/>
      <c r="J54" s="351"/>
      <c r="K54" s="365"/>
      <c r="L54" s="365"/>
      <c r="M54" s="365"/>
      <c r="N54" s="365"/>
      <c r="O54" s="365"/>
      <c r="P54" s="365"/>
      <c r="Q54" s="365"/>
      <c r="R54" s="365"/>
      <c r="S54" s="365"/>
      <c r="T54" s="365"/>
      <c r="U54" s="179"/>
      <c r="V54" s="179"/>
      <c r="W54" s="179"/>
      <c r="X54" s="179"/>
      <c r="Y54" s="179"/>
      <c r="Z54" s="179"/>
      <c r="AA54" s="179"/>
      <c r="AB54" s="179"/>
      <c r="AC54" s="179"/>
      <c r="AD54" s="179"/>
    </row>
    <row r="55" spans="5:30" ht="12" x14ac:dyDescent="0.2">
      <c r="F55" s="94" t="str">
        <f>STRAT7_IND1</f>
        <v>Objetivo estratégico 7 Indicador 1</v>
      </c>
      <c r="G55" s="94" t="str">
        <f ca="1">OFFSET(Variables_Lu!$D$10,Basic_Setup!H70,0)</f>
        <v>Nutrition-specific</v>
      </c>
      <c r="H55" s="346">
        <f>'Financial Req'!$I56</f>
        <v>0</v>
      </c>
      <c r="I55" s="347">
        <f>H55-J55</f>
        <v>0</v>
      </c>
      <c r="J55" s="345">
        <f>SUM(K55:AD55)</f>
        <v>0</v>
      </c>
      <c r="K55" s="365">
        <f>Government1!$I56</f>
        <v>0</v>
      </c>
      <c r="L55" s="365">
        <f>Government2!$I56</f>
        <v>0</v>
      </c>
      <c r="M55" s="365">
        <f>Government3!$I56</f>
        <v>0</v>
      </c>
      <c r="N55" s="365">
        <f>Government4!$I56</f>
        <v>0</v>
      </c>
      <c r="O55" s="365">
        <f>Government5!$I56</f>
        <v>0</v>
      </c>
      <c r="P55" s="365">
        <f>Government6!$I56</f>
        <v>0</v>
      </c>
      <c r="Q55" s="365">
        <f>Government7!$I56</f>
        <v>0</v>
      </c>
      <c r="R55" s="365">
        <f>Government8!$I56</f>
        <v>0</v>
      </c>
      <c r="S55" s="365">
        <f>Government9!$I56</f>
        <v>0</v>
      </c>
      <c r="T55" s="365">
        <f>Government10!$I56</f>
        <v>0</v>
      </c>
      <c r="U55" s="179">
        <f>Partner1!$I127</f>
        <v>0</v>
      </c>
      <c r="V55" s="179">
        <f>Partner2!$I127</f>
        <v>0</v>
      </c>
      <c r="W55" s="179">
        <f>Partner3!$I127</f>
        <v>0</v>
      </c>
      <c r="X55" s="179">
        <f>Partner4!$I127</f>
        <v>0</v>
      </c>
      <c r="Y55" s="179">
        <f>Partner5!$I127</f>
        <v>0</v>
      </c>
      <c r="Z55" s="179">
        <f>Partner6!$I127</f>
        <v>0</v>
      </c>
      <c r="AA55" s="179">
        <f>Partner7!$I127</f>
        <v>0</v>
      </c>
      <c r="AB55" s="179">
        <f>Partner8!$I127</f>
        <v>0</v>
      </c>
      <c r="AC55" s="179">
        <f>Partner9!$I127</f>
        <v>0</v>
      </c>
      <c r="AD55" s="179">
        <f>Partner10!$I127</f>
        <v>0</v>
      </c>
    </row>
    <row r="56" spans="5:30" ht="12" x14ac:dyDescent="0.2">
      <c r="F56" s="94" t="str">
        <f>STRAT7_IND2</f>
        <v>Objetivo estratégico 7 Indicador 2</v>
      </c>
      <c r="G56" s="94" t="str">
        <f ca="1">OFFSET(Variables_Lu!$D$10,Basic_Setup!H71,0)</f>
        <v>Nutrition-specific</v>
      </c>
      <c r="H56" s="346">
        <f>'Financial Req'!$I57</f>
        <v>0</v>
      </c>
      <c r="I56" s="347">
        <f t="shared" ref="I56:I59" si="12">H56-J56</f>
        <v>0</v>
      </c>
      <c r="J56" s="345">
        <f t="shared" ref="J56:J59" si="13">SUM(K56:AD56)</f>
        <v>0</v>
      </c>
      <c r="K56" s="365">
        <f>Government1!$I57</f>
        <v>0</v>
      </c>
      <c r="L56" s="365">
        <f>Government2!$I57</f>
        <v>0</v>
      </c>
      <c r="M56" s="365">
        <f>Government3!$I57</f>
        <v>0</v>
      </c>
      <c r="N56" s="365">
        <f>Government4!$I57</f>
        <v>0</v>
      </c>
      <c r="O56" s="365">
        <f>Government5!$I57</f>
        <v>0</v>
      </c>
      <c r="P56" s="365">
        <f>Government6!$I57</f>
        <v>0</v>
      </c>
      <c r="Q56" s="365">
        <f>Government7!$I57</f>
        <v>0</v>
      </c>
      <c r="R56" s="365">
        <f>Government8!$I57</f>
        <v>0</v>
      </c>
      <c r="S56" s="365">
        <f>Government9!$I57</f>
        <v>0</v>
      </c>
      <c r="T56" s="365">
        <f>Government10!$I57</f>
        <v>0</v>
      </c>
      <c r="U56" s="179">
        <f>Partner1!$I128</f>
        <v>0</v>
      </c>
      <c r="V56" s="179">
        <f>Partner2!$I128</f>
        <v>0</v>
      </c>
      <c r="W56" s="179">
        <f>Partner3!$I128</f>
        <v>0</v>
      </c>
      <c r="X56" s="179">
        <f>Partner4!$I128</f>
        <v>0</v>
      </c>
      <c r="Y56" s="179">
        <f>Partner5!$I128</f>
        <v>0</v>
      </c>
      <c r="Z56" s="179">
        <f>Partner6!$I128</f>
        <v>0</v>
      </c>
      <c r="AA56" s="179">
        <f>Partner7!$I128</f>
        <v>0</v>
      </c>
      <c r="AB56" s="179">
        <f>Partner8!$I128</f>
        <v>0</v>
      </c>
      <c r="AC56" s="179">
        <f>Partner9!$I128</f>
        <v>0</v>
      </c>
      <c r="AD56" s="179">
        <f>Partner10!$I128</f>
        <v>0</v>
      </c>
    </row>
    <row r="57" spans="5:30" ht="12" x14ac:dyDescent="0.2">
      <c r="F57" s="94" t="str">
        <f>STRAT7_IND3</f>
        <v>Objetivo estratégico 7 Indicador 3</v>
      </c>
      <c r="G57" s="94" t="str">
        <f ca="1">OFFSET(Variables_Lu!$D$10,Basic_Setup!H72,0)</f>
        <v>Nutrition-specific</v>
      </c>
      <c r="H57" s="346">
        <f>'Financial Req'!$I58</f>
        <v>0</v>
      </c>
      <c r="I57" s="347">
        <f t="shared" si="12"/>
        <v>0</v>
      </c>
      <c r="J57" s="345">
        <f t="shared" si="13"/>
        <v>0</v>
      </c>
      <c r="K57" s="365">
        <f>Government1!$I58</f>
        <v>0</v>
      </c>
      <c r="L57" s="365">
        <f>Government2!$I58</f>
        <v>0</v>
      </c>
      <c r="M57" s="365">
        <f>Government3!$I58</f>
        <v>0</v>
      </c>
      <c r="N57" s="365">
        <f>Government4!$I58</f>
        <v>0</v>
      </c>
      <c r="O57" s="365">
        <f>Government5!$I58</f>
        <v>0</v>
      </c>
      <c r="P57" s="365">
        <f>Government6!$I58</f>
        <v>0</v>
      </c>
      <c r="Q57" s="365">
        <f>Government7!$I58</f>
        <v>0</v>
      </c>
      <c r="R57" s="365">
        <f>Government8!$I58</f>
        <v>0</v>
      </c>
      <c r="S57" s="365">
        <f>Government9!$I58</f>
        <v>0</v>
      </c>
      <c r="T57" s="365">
        <f>Government10!$I58</f>
        <v>0</v>
      </c>
      <c r="U57" s="179">
        <f>Partner1!$I129</f>
        <v>0</v>
      </c>
      <c r="V57" s="179">
        <f>Partner2!$I129</f>
        <v>0</v>
      </c>
      <c r="W57" s="179">
        <f>Partner3!$I129</f>
        <v>0</v>
      </c>
      <c r="X57" s="179">
        <f>Partner4!$I129</f>
        <v>0</v>
      </c>
      <c r="Y57" s="179">
        <f>Partner5!$I129</f>
        <v>0</v>
      </c>
      <c r="Z57" s="179">
        <f>Partner6!$I129</f>
        <v>0</v>
      </c>
      <c r="AA57" s="179">
        <f>Partner7!$I129</f>
        <v>0</v>
      </c>
      <c r="AB57" s="179">
        <f>Partner8!$I129</f>
        <v>0</v>
      </c>
      <c r="AC57" s="179">
        <f>Partner9!$I129</f>
        <v>0</v>
      </c>
      <c r="AD57" s="179">
        <f>Partner10!$I129</f>
        <v>0</v>
      </c>
    </row>
    <row r="58" spans="5:30" ht="12" x14ac:dyDescent="0.2">
      <c r="F58" s="94" t="str">
        <f>STRAT7_IND4</f>
        <v>Objetivo estratégico 7 Indicador 4</v>
      </c>
      <c r="G58" s="94" t="str">
        <f ca="1">OFFSET(Variables_Lu!$D$10,Basic_Setup!H73,0)</f>
        <v>Nutrition-specific</v>
      </c>
      <c r="H58" s="346">
        <f>'Financial Req'!$I59</f>
        <v>0</v>
      </c>
      <c r="I58" s="347">
        <f t="shared" si="12"/>
        <v>0</v>
      </c>
      <c r="J58" s="345">
        <f t="shared" si="13"/>
        <v>0</v>
      </c>
      <c r="K58" s="365">
        <f>Government1!$I59</f>
        <v>0</v>
      </c>
      <c r="L58" s="365">
        <f>Government2!$I59</f>
        <v>0</v>
      </c>
      <c r="M58" s="365">
        <f>Government3!$I59</f>
        <v>0</v>
      </c>
      <c r="N58" s="365">
        <f>Government4!$I59</f>
        <v>0</v>
      </c>
      <c r="O58" s="365">
        <f>Government5!$I59</f>
        <v>0</v>
      </c>
      <c r="P58" s="365">
        <f>Government6!$I59</f>
        <v>0</v>
      </c>
      <c r="Q58" s="365">
        <f>Government7!$I59</f>
        <v>0</v>
      </c>
      <c r="R58" s="365">
        <f>Government8!$I59</f>
        <v>0</v>
      </c>
      <c r="S58" s="365">
        <f>Government9!$I59</f>
        <v>0</v>
      </c>
      <c r="T58" s="365">
        <f>Government10!$I59</f>
        <v>0</v>
      </c>
      <c r="U58" s="179">
        <f>Partner1!$I130</f>
        <v>0</v>
      </c>
      <c r="V58" s="179">
        <f>Partner2!$I130</f>
        <v>0</v>
      </c>
      <c r="W58" s="179">
        <f>Partner3!$I130</f>
        <v>0</v>
      </c>
      <c r="X58" s="179">
        <f>Partner4!$I130</f>
        <v>0</v>
      </c>
      <c r="Y58" s="179">
        <f>Partner5!$I130</f>
        <v>0</v>
      </c>
      <c r="Z58" s="179">
        <f>Partner6!$I130</f>
        <v>0</v>
      </c>
      <c r="AA58" s="179">
        <f>Partner7!$I130</f>
        <v>0</v>
      </c>
      <c r="AB58" s="179">
        <f>Partner8!$I130</f>
        <v>0</v>
      </c>
      <c r="AC58" s="179">
        <f>Partner9!$I130</f>
        <v>0</v>
      </c>
      <c r="AD58" s="179">
        <f>Partner10!$I130</f>
        <v>0</v>
      </c>
    </row>
    <row r="59" spans="5:30" ht="12" x14ac:dyDescent="0.2">
      <c r="F59" s="94" t="str">
        <f>STRAT7_IND5</f>
        <v>Objetivo estratégico 7 Indicador 5</v>
      </c>
      <c r="G59" s="94" t="str">
        <f ca="1">OFFSET(Variables_Lu!$D$10,Basic_Setup!H74,0)</f>
        <v>Nutrition-specific</v>
      </c>
      <c r="H59" s="346">
        <f>'Financial Req'!$I60</f>
        <v>0</v>
      </c>
      <c r="I59" s="347">
        <f t="shared" si="12"/>
        <v>0</v>
      </c>
      <c r="J59" s="345">
        <f t="shared" si="13"/>
        <v>0</v>
      </c>
      <c r="K59" s="365">
        <f>Government1!$I60</f>
        <v>0</v>
      </c>
      <c r="L59" s="365">
        <f>Government2!$I60</f>
        <v>0</v>
      </c>
      <c r="M59" s="365">
        <f>Government3!$I60</f>
        <v>0</v>
      </c>
      <c r="N59" s="365">
        <f>Government4!$I60</f>
        <v>0</v>
      </c>
      <c r="O59" s="365">
        <f>Government5!$I60</f>
        <v>0</v>
      </c>
      <c r="P59" s="365">
        <f>Government6!$I60</f>
        <v>0</v>
      </c>
      <c r="Q59" s="365">
        <f>Government7!$I60</f>
        <v>0</v>
      </c>
      <c r="R59" s="365">
        <f>Government8!$I60</f>
        <v>0</v>
      </c>
      <c r="S59" s="365">
        <f>Government9!$I60</f>
        <v>0</v>
      </c>
      <c r="T59" s="365">
        <f>Government10!$I60</f>
        <v>0</v>
      </c>
      <c r="U59" s="179">
        <f>Partner1!$I131</f>
        <v>0</v>
      </c>
      <c r="V59" s="179">
        <f>Partner2!$I131</f>
        <v>0</v>
      </c>
      <c r="W59" s="179">
        <f>Partner3!$I131</f>
        <v>0</v>
      </c>
      <c r="X59" s="179">
        <f>Partner4!$I131</f>
        <v>0</v>
      </c>
      <c r="Y59" s="179">
        <f>Partner5!$I131</f>
        <v>0</v>
      </c>
      <c r="Z59" s="179">
        <f>Partner6!$I131</f>
        <v>0</v>
      </c>
      <c r="AA59" s="179">
        <f>Partner7!$I131</f>
        <v>0</v>
      </c>
      <c r="AB59" s="179">
        <f>Partner8!$I131</f>
        <v>0</v>
      </c>
      <c r="AC59" s="179">
        <f>Partner9!$I131</f>
        <v>0</v>
      </c>
      <c r="AD59" s="179">
        <f>Partner10!$I131</f>
        <v>0</v>
      </c>
    </row>
    <row r="60" spans="5:30" x14ac:dyDescent="0.2">
      <c r="F60" s="332" t="str">
        <f>"Subtotal: "&amp;E54</f>
        <v>Subtotal: Objetivo estratégico 7: [No está en uso]</v>
      </c>
      <c r="G60" s="333"/>
      <c r="H60" s="348">
        <f>'Financial Req'!$I61</f>
        <v>0</v>
      </c>
      <c r="I60" s="349">
        <f>SUM(I55:I59)</f>
        <v>0</v>
      </c>
      <c r="J60" s="350">
        <f>SUM(J55:J59)</f>
        <v>0</v>
      </c>
      <c r="K60" s="366">
        <f>Government1!$I61</f>
        <v>0</v>
      </c>
      <c r="L60" s="366">
        <f>Government2!$I61</f>
        <v>0</v>
      </c>
      <c r="M60" s="366">
        <f>Government3!$I61</f>
        <v>0</v>
      </c>
      <c r="N60" s="366">
        <f>Government4!$I61</f>
        <v>0</v>
      </c>
      <c r="O60" s="366">
        <f>Government5!$I61</f>
        <v>0</v>
      </c>
      <c r="P60" s="366">
        <f>Government6!$I61</f>
        <v>0</v>
      </c>
      <c r="Q60" s="366">
        <f>Government7!$I61</f>
        <v>0</v>
      </c>
      <c r="R60" s="366">
        <f>Government8!$I61</f>
        <v>0</v>
      </c>
      <c r="S60" s="366">
        <f>Government9!$I61</f>
        <v>0</v>
      </c>
      <c r="T60" s="366">
        <f>Government10!$I61</f>
        <v>0</v>
      </c>
      <c r="U60" s="331">
        <f>Partner1!$I132</f>
        <v>0</v>
      </c>
      <c r="V60" s="331">
        <f>Partner2!$I132</f>
        <v>0</v>
      </c>
      <c r="W60" s="331">
        <f>Partner3!$I132</f>
        <v>0</v>
      </c>
      <c r="X60" s="331">
        <f>Partner4!$I132</f>
        <v>0</v>
      </c>
      <c r="Y60" s="331">
        <f>Partner5!$I132</f>
        <v>0</v>
      </c>
      <c r="Z60" s="331">
        <f>Partner6!$I132</f>
        <v>0</v>
      </c>
      <c r="AA60" s="331">
        <f>Partner7!$I132</f>
        <v>0</v>
      </c>
      <c r="AB60" s="331">
        <f>Partner8!$I132</f>
        <v>0</v>
      </c>
      <c r="AC60" s="331">
        <f>Partner9!$I132</f>
        <v>0</v>
      </c>
      <c r="AD60" s="331">
        <f>Partner10!$I132</f>
        <v>0</v>
      </c>
    </row>
    <row r="61" spans="5:30" ht="12" x14ac:dyDescent="0.2">
      <c r="E61" s="301" t="str">
        <f>Strategy8</f>
        <v>Objetivo estratégico 8: [No está en uso]</v>
      </c>
      <c r="G61" s="94"/>
      <c r="H61" s="346"/>
      <c r="I61" s="347"/>
      <c r="J61" s="351"/>
      <c r="K61" s="365"/>
      <c r="L61" s="365"/>
      <c r="M61" s="365"/>
      <c r="N61" s="365"/>
      <c r="O61" s="365"/>
      <c r="P61" s="365"/>
      <c r="Q61" s="365"/>
      <c r="R61" s="365"/>
      <c r="S61" s="365"/>
      <c r="T61" s="365"/>
      <c r="U61" s="179"/>
      <c r="V61" s="179"/>
      <c r="W61" s="179"/>
      <c r="X61" s="179"/>
      <c r="Y61" s="179"/>
      <c r="Z61" s="179"/>
      <c r="AA61" s="179"/>
      <c r="AB61" s="179"/>
      <c r="AC61" s="179"/>
      <c r="AD61" s="179"/>
    </row>
    <row r="62" spans="5:30" ht="12" x14ac:dyDescent="0.2">
      <c r="F62" s="94" t="str">
        <f>STRAT8_IND1</f>
        <v>Objetivo estratégico 8 Indicador 1</v>
      </c>
      <c r="G62" s="94" t="str">
        <f ca="1">OFFSET(Variables_Lu!$D$10,Basic_Setup!H76,0)</f>
        <v>Nutrition-specific</v>
      </c>
      <c r="H62" s="346">
        <f>'Financial Req'!$I62</f>
        <v>0</v>
      </c>
      <c r="I62" s="347">
        <f>H62-J62</f>
        <v>0</v>
      </c>
      <c r="J62" s="345">
        <f>SUM(K62:AD62)</f>
        <v>0</v>
      </c>
      <c r="K62" s="365">
        <f>Government1!$I62</f>
        <v>0</v>
      </c>
      <c r="L62" s="365">
        <f>Government2!$I62</f>
        <v>0</v>
      </c>
      <c r="M62" s="365">
        <f>Government3!$I62</f>
        <v>0</v>
      </c>
      <c r="N62" s="365">
        <f>Government4!$I62</f>
        <v>0</v>
      </c>
      <c r="O62" s="365">
        <f>Government5!$I62</f>
        <v>0</v>
      </c>
      <c r="P62" s="365">
        <f>Government6!$I62</f>
        <v>0</v>
      </c>
      <c r="Q62" s="365">
        <f>Government7!$I62</f>
        <v>0</v>
      </c>
      <c r="R62" s="365">
        <f>Government8!$I62</f>
        <v>0</v>
      </c>
      <c r="S62" s="365">
        <f>Government9!$I62</f>
        <v>0</v>
      </c>
      <c r="T62" s="365">
        <f>Government10!$I62</f>
        <v>0</v>
      </c>
      <c r="U62" s="179">
        <f>Partner1!$I133</f>
        <v>0</v>
      </c>
      <c r="V62" s="179">
        <f>Partner2!$I133</f>
        <v>0</v>
      </c>
      <c r="W62" s="179">
        <f>Partner3!$I133</f>
        <v>0</v>
      </c>
      <c r="X62" s="179">
        <f>Partner4!$I133</f>
        <v>0</v>
      </c>
      <c r="Y62" s="179">
        <f>Partner5!$I133</f>
        <v>0</v>
      </c>
      <c r="Z62" s="179">
        <f>Partner6!$I133</f>
        <v>0</v>
      </c>
      <c r="AA62" s="179">
        <f>Partner7!$I133</f>
        <v>0</v>
      </c>
      <c r="AB62" s="179">
        <f>Partner8!$I133</f>
        <v>0</v>
      </c>
      <c r="AC62" s="179">
        <f>Partner9!$I133</f>
        <v>0</v>
      </c>
      <c r="AD62" s="179">
        <f>Partner10!$I133</f>
        <v>0</v>
      </c>
    </row>
    <row r="63" spans="5:30" ht="12" x14ac:dyDescent="0.2">
      <c r="F63" s="94" t="str">
        <f>STRAT8_IND2</f>
        <v>Objetivo estratégico 8 Indicador 2</v>
      </c>
      <c r="G63" s="94" t="str">
        <f ca="1">OFFSET(Variables_Lu!$D$10,Basic_Setup!H77,0)</f>
        <v>Nutrition-specific</v>
      </c>
      <c r="H63" s="346">
        <f>'Financial Req'!$I63</f>
        <v>0</v>
      </c>
      <c r="I63" s="347">
        <f t="shared" ref="I63:I66" si="14">H63-J63</f>
        <v>0</v>
      </c>
      <c r="J63" s="345">
        <f t="shared" ref="J63:J66" si="15">SUM(K63:AD63)</f>
        <v>0</v>
      </c>
      <c r="K63" s="365">
        <f>Government1!$I63</f>
        <v>0</v>
      </c>
      <c r="L63" s="365">
        <f>Government2!$I63</f>
        <v>0</v>
      </c>
      <c r="M63" s="365">
        <f>Government3!$I63</f>
        <v>0</v>
      </c>
      <c r="N63" s="365">
        <f>Government4!$I63</f>
        <v>0</v>
      </c>
      <c r="O63" s="365">
        <f>Government5!$I63</f>
        <v>0</v>
      </c>
      <c r="P63" s="365">
        <f>Government6!$I63</f>
        <v>0</v>
      </c>
      <c r="Q63" s="365">
        <f>Government7!$I63</f>
        <v>0</v>
      </c>
      <c r="R63" s="365">
        <f>Government8!$I63</f>
        <v>0</v>
      </c>
      <c r="S63" s="365">
        <f>Government9!$I63</f>
        <v>0</v>
      </c>
      <c r="T63" s="365">
        <f>Government10!$I63</f>
        <v>0</v>
      </c>
      <c r="U63" s="179">
        <f>Partner1!$I134</f>
        <v>0</v>
      </c>
      <c r="V63" s="179">
        <f>Partner2!$I134</f>
        <v>0</v>
      </c>
      <c r="W63" s="179">
        <f>Partner3!$I134</f>
        <v>0</v>
      </c>
      <c r="X63" s="179">
        <f>Partner4!$I134</f>
        <v>0</v>
      </c>
      <c r="Y63" s="179">
        <f>Partner5!$I134</f>
        <v>0</v>
      </c>
      <c r="Z63" s="179">
        <f>Partner6!$I134</f>
        <v>0</v>
      </c>
      <c r="AA63" s="179">
        <f>Partner7!$I134</f>
        <v>0</v>
      </c>
      <c r="AB63" s="179">
        <f>Partner8!$I134</f>
        <v>0</v>
      </c>
      <c r="AC63" s="179">
        <f>Partner9!$I134</f>
        <v>0</v>
      </c>
      <c r="AD63" s="179">
        <f>Partner10!$I134</f>
        <v>0</v>
      </c>
    </row>
    <row r="64" spans="5:30" ht="12" x14ac:dyDescent="0.2">
      <c r="F64" s="94" t="str">
        <f>STRAT8_IND3</f>
        <v>Objetivo estratégico 8 Indicador 3</v>
      </c>
      <c r="G64" s="94" t="str">
        <f ca="1">OFFSET(Variables_Lu!$D$10,Basic_Setup!H78,0)</f>
        <v>Nutrition-specific</v>
      </c>
      <c r="H64" s="346">
        <f>'Financial Req'!$I64</f>
        <v>0</v>
      </c>
      <c r="I64" s="347">
        <f t="shared" si="14"/>
        <v>0</v>
      </c>
      <c r="J64" s="345">
        <f t="shared" si="15"/>
        <v>0</v>
      </c>
      <c r="K64" s="365">
        <f>Government1!$I64</f>
        <v>0</v>
      </c>
      <c r="L64" s="365">
        <f>Government2!$I64</f>
        <v>0</v>
      </c>
      <c r="M64" s="365">
        <f>Government3!$I64</f>
        <v>0</v>
      </c>
      <c r="N64" s="365">
        <f>Government4!$I64</f>
        <v>0</v>
      </c>
      <c r="O64" s="365">
        <f>Government5!$I64</f>
        <v>0</v>
      </c>
      <c r="P64" s="365">
        <f>Government6!$I64</f>
        <v>0</v>
      </c>
      <c r="Q64" s="365">
        <f>Government7!$I64</f>
        <v>0</v>
      </c>
      <c r="R64" s="365">
        <f>Government8!$I64</f>
        <v>0</v>
      </c>
      <c r="S64" s="365">
        <f>Government9!$I64</f>
        <v>0</v>
      </c>
      <c r="T64" s="365">
        <f>Government10!$I64</f>
        <v>0</v>
      </c>
      <c r="U64" s="179">
        <f>Partner1!$I135</f>
        <v>0</v>
      </c>
      <c r="V64" s="179">
        <f>Partner2!$I135</f>
        <v>0</v>
      </c>
      <c r="W64" s="179">
        <f>Partner3!$I135</f>
        <v>0</v>
      </c>
      <c r="X64" s="179">
        <f>Partner4!$I135</f>
        <v>0</v>
      </c>
      <c r="Y64" s="179">
        <f>Partner5!$I135</f>
        <v>0</v>
      </c>
      <c r="Z64" s="179">
        <f>Partner6!$I135</f>
        <v>0</v>
      </c>
      <c r="AA64" s="179">
        <f>Partner7!$I135</f>
        <v>0</v>
      </c>
      <c r="AB64" s="179">
        <f>Partner8!$I135</f>
        <v>0</v>
      </c>
      <c r="AC64" s="179">
        <f>Partner9!$I135</f>
        <v>0</v>
      </c>
      <c r="AD64" s="179">
        <f>Partner10!$I135</f>
        <v>0</v>
      </c>
    </row>
    <row r="65" spans="5:30" ht="12" x14ac:dyDescent="0.2">
      <c r="F65" s="94" t="str">
        <f>STRAT8_IND4</f>
        <v>Objetivo estratégico 8 Indicador 4</v>
      </c>
      <c r="G65" s="94" t="str">
        <f ca="1">OFFSET(Variables_Lu!$D$10,Basic_Setup!H79,0)</f>
        <v>Nutrition-specific</v>
      </c>
      <c r="H65" s="346">
        <f>'Financial Req'!$I65</f>
        <v>0</v>
      </c>
      <c r="I65" s="347">
        <f t="shared" si="14"/>
        <v>0</v>
      </c>
      <c r="J65" s="345">
        <f t="shared" si="15"/>
        <v>0</v>
      </c>
      <c r="K65" s="365">
        <f>Government1!$I65</f>
        <v>0</v>
      </c>
      <c r="L65" s="365">
        <f>Government2!$I65</f>
        <v>0</v>
      </c>
      <c r="M65" s="365">
        <f>Government3!$I65</f>
        <v>0</v>
      </c>
      <c r="N65" s="365">
        <f>Government4!$I65</f>
        <v>0</v>
      </c>
      <c r="O65" s="365">
        <f>Government5!$I65</f>
        <v>0</v>
      </c>
      <c r="P65" s="365">
        <f>Government6!$I65</f>
        <v>0</v>
      </c>
      <c r="Q65" s="365">
        <f>Government7!$I65</f>
        <v>0</v>
      </c>
      <c r="R65" s="365">
        <f>Government8!$I65</f>
        <v>0</v>
      </c>
      <c r="S65" s="365">
        <f>Government9!$I65</f>
        <v>0</v>
      </c>
      <c r="T65" s="365">
        <f>Government10!$I65</f>
        <v>0</v>
      </c>
      <c r="U65" s="179">
        <f>Partner1!$I136</f>
        <v>0</v>
      </c>
      <c r="V65" s="179">
        <f>Partner2!$I136</f>
        <v>0</v>
      </c>
      <c r="W65" s="179">
        <f>Partner3!$I136</f>
        <v>0</v>
      </c>
      <c r="X65" s="179">
        <f>Partner4!$I136</f>
        <v>0</v>
      </c>
      <c r="Y65" s="179">
        <f>Partner5!$I136</f>
        <v>0</v>
      </c>
      <c r="Z65" s="179">
        <f>Partner6!$I136</f>
        <v>0</v>
      </c>
      <c r="AA65" s="179">
        <f>Partner7!$I136</f>
        <v>0</v>
      </c>
      <c r="AB65" s="179">
        <f>Partner8!$I136</f>
        <v>0</v>
      </c>
      <c r="AC65" s="179">
        <f>Partner9!$I136</f>
        <v>0</v>
      </c>
      <c r="AD65" s="179">
        <f>Partner10!$I136</f>
        <v>0</v>
      </c>
    </row>
    <row r="66" spans="5:30" ht="12" x14ac:dyDescent="0.2">
      <c r="F66" s="94" t="str">
        <f>STRAT8_IND5</f>
        <v>Objetivo estratégico 8 Indicador 5</v>
      </c>
      <c r="G66" s="94" t="str">
        <f ca="1">OFFSET(Variables_Lu!$D$10,Basic_Setup!H80,0)</f>
        <v>Nutrition-specific</v>
      </c>
      <c r="H66" s="346">
        <f>'Financial Req'!$I66</f>
        <v>0</v>
      </c>
      <c r="I66" s="347">
        <f t="shared" si="14"/>
        <v>0</v>
      </c>
      <c r="J66" s="345">
        <f t="shared" si="15"/>
        <v>0</v>
      </c>
      <c r="K66" s="365">
        <f>Government1!$I66</f>
        <v>0</v>
      </c>
      <c r="L66" s="365">
        <f>Government2!$I66</f>
        <v>0</v>
      </c>
      <c r="M66" s="365">
        <f>Government3!$I66</f>
        <v>0</v>
      </c>
      <c r="N66" s="365">
        <f>Government4!$I66</f>
        <v>0</v>
      </c>
      <c r="O66" s="365">
        <f>Government5!$I66</f>
        <v>0</v>
      </c>
      <c r="P66" s="365">
        <f>Government6!$I66</f>
        <v>0</v>
      </c>
      <c r="Q66" s="365">
        <f>Government7!$I66</f>
        <v>0</v>
      </c>
      <c r="R66" s="365">
        <f>Government8!$I66</f>
        <v>0</v>
      </c>
      <c r="S66" s="365">
        <f>Government9!$I66</f>
        <v>0</v>
      </c>
      <c r="T66" s="365">
        <f>Government10!$I66</f>
        <v>0</v>
      </c>
      <c r="U66" s="179">
        <f>Partner1!$I137</f>
        <v>0</v>
      </c>
      <c r="V66" s="179">
        <f>Partner2!$I137</f>
        <v>0</v>
      </c>
      <c r="W66" s="179">
        <f>Partner3!$I137</f>
        <v>0</v>
      </c>
      <c r="X66" s="179">
        <f>Partner4!$I137</f>
        <v>0</v>
      </c>
      <c r="Y66" s="179">
        <f>Partner5!$I137</f>
        <v>0</v>
      </c>
      <c r="Z66" s="179">
        <f>Partner6!$I137</f>
        <v>0</v>
      </c>
      <c r="AA66" s="179">
        <f>Partner7!$I137</f>
        <v>0</v>
      </c>
      <c r="AB66" s="179">
        <f>Partner8!$I137</f>
        <v>0</v>
      </c>
      <c r="AC66" s="179">
        <f>Partner9!$I137</f>
        <v>0</v>
      </c>
      <c r="AD66" s="179">
        <f>Partner10!$I137</f>
        <v>0</v>
      </c>
    </row>
    <row r="67" spans="5:30" x14ac:dyDescent="0.2">
      <c r="F67" s="332" t="str">
        <f>"Subtotal: "&amp;E61</f>
        <v>Subtotal: Objetivo estratégico 8: [No está en uso]</v>
      </c>
      <c r="G67" s="333"/>
      <c r="H67" s="348">
        <f>'Financial Req'!$I67</f>
        <v>0</v>
      </c>
      <c r="I67" s="349">
        <f>SUM(I62:I66)</f>
        <v>0</v>
      </c>
      <c r="J67" s="350">
        <f>SUM(J62:J66)</f>
        <v>0</v>
      </c>
      <c r="K67" s="366">
        <f>Government1!$I67</f>
        <v>0</v>
      </c>
      <c r="L67" s="366">
        <f>Government2!$I67</f>
        <v>0</v>
      </c>
      <c r="M67" s="366">
        <f>Government3!$I67</f>
        <v>0</v>
      </c>
      <c r="N67" s="366">
        <f>Government4!$I67</f>
        <v>0</v>
      </c>
      <c r="O67" s="366">
        <f>Government5!$I67</f>
        <v>0</v>
      </c>
      <c r="P67" s="366">
        <f>Government6!$I67</f>
        <v>0</v>
      </c>
      <c r="Q67" s="366">
        <f>Government7!$I67</f>
        <v>0</v>
      </c>
      <c r="R67" s="366">
        <f>Government8!$I67</f>
        <v>0</v>
      </c>
      <c r="S67" s="366">
        <f>Government9!$I67</f>
        <v>0</v>
      </c>
      <c r="T67" s="366">
        <f>Government10!$I67</f>
        <v>0</v>
      </c>
      <c r="U67" s="331">
        <f>Partner1!$I138</f>
        <v>0</v>
      </c>
      <c r="V67" s="331">
        <f>Partner2!$I138</f>
        <v>0</v>
      </c>
      <c r="W67" s="331">
        <f>Partner3!$I138</f>
        <v>0</v>
      </c>
      <c r="X67" s="331">
        <f>Partner4!$I138</f>
        <v>0</v>
      </c>
      <c r="Y67" s="331">
        <f>Partner5!$I138</f>
        <v>0</v>
      </c>
      <c r="Z67" s="331">
        <f>Partner6!$I138</f>
        <v>0</v>
      </c>
      <c r="AA67" s="331">
        <f>Partner7!$I138</f>
        <v>0</v>
      </c>
      <c r="AB67" s="331">
        <f>Partner8!$I138</f>
        <v>0</v>
      </c>
      <c r="AC67" s="331">
        <f>Partner9!$I138</f>
        <v>0</v>
      </c>
      <c r="AD67" s="331">
        <f>Partner10!$I138</f>
        <v>0</v>
      </c>
    </row>
    <row r="68" spans="5:30" ht="12" x14ac:dyDescent="0.2">
      <c r="E68" s="301" t="str">
        <f>Strategy9</f>
        <v>Objetivo estratégico 9: [No está en uso]</v>
      </c>
      <c r="G68" s="94"/>
      <c r="H68" s="346"/>
      <c r="I68" s="347"/>
      <c r="J68" s="351"/>
      <c r="K68" s="365"/>
      <c r="L68" s="365"/>
      <c r="M68" s="365"/>
      <c r="N68" s="365"/>
      <c r="O68" s="365"/>
      <c r="P68" s="365"/>
      <c r="Q68" s="365"/>
      <c r="R68" s="365"/>
      <c r="S68" s="365"/>
      <c r="T68" s="365"/>
      <c r="U68" s="179"/>
      <c r="V68" s="179"/>
      <c r="W68" s="179"/>
      <c r="X68" s="179"/>
      <c r="Y68" s="179"/>
      <c r="Z68" s="179"/>
      <c r="AA68" s="179"/>
      <c r="AB68" s="179"/>
      <c r="AC68" s="179"/>
      <c r="AD68" s="179"/>
    </row>
    <row r="69" spans="5:30" ht="12" x14ac:dyDescent="0.2">
      <c r="F69" s="94" t="str">
        <f>STRAT9_IND1</f>
        <v>Objetivo estratégico 9 Indicador 1</v>
      </c>
      <c r="G69" s="94" t="str">
        <f ca="1">OFFSET(Variables_Lu!$D$10,Basic_Setup!H82,0)</f>
        <v>Nutrition-specific</v>
      </c>
      <c r="H69" s="346">
        <f>'Financial Req'!$I68</f>
        <v>0</v>
      </c>
      <c r="I69" s="347">
        <f>H69-J69</f>
        <v>0</v>
      </c>
      <c r="J69" s="345">
        <f>SUM(K69:AD69)</f>
        <v>0</v>
      </c>
      <c r="K69" s="365">
        <f>Government1!$I68</f>
        <v>0</v>
      </c>
      <c r="L69" s="365">
        <f>Government2!$I68</f>
        <v>0</v>
      </c>
      <c r="M69" s="365">
        <f>Government3!$I68</f>
        <v>0</v>
      </c>
      <c r="N69" s="365">
        <f>Government4!$I68</f>
        <v>0</v>
      </c>
      <c r="O69" s="365">
        <f>Government5!$I68</f>
        <v>0</v>
      </c>
      <c r="P69" s="365">
        <f>Government6!$I68</f>
        <v>0</v>
      </c>
      <c r="Q69" s="365">
        <f>Government7!$I68</f>
        <v>0</v>
      </c>
      <c r="R69" s="365">
        <f>Government8!$I68</f>
        <v>0</v>
      </c>
      <c r="S69" s="365">
        <f>Government9!$I68</f>
        <v>0</v>
      </c>
      <c r="T69" s="365">
        <f>Government10!$I68</f>
        <v>0</v>
      </c>
      <c r="U69" s="179">
        <f>Partner1!$I139</f>
        <v>0</v>
      </c>
      <c r="V69" s="179">
        <f>Partner2!$I139</f>
        <v>0</v>
      </c>
      <c r="W69" s="179">
        <f>Partner3!$I139</f>
        <v>0</v>
      </c>
      <c r="X69" s="179">
        <f>Partner4!$I139</f>
        <v>0</v>
      </c>
      <c r="Y69" s="179">
        <f>Partner5!$I139</f>
        <v>0</v>
      </c>
      <c r="Z69" s="179">
        <f>Partner6!$I139</f>
        <v>0</v>
      </c>
      <c r="AA69" s="179">
        <f>Partner7!$I139</f>
        <v>0</v>
      </c>
      <c r="AB69" s="179">
        <f>Partner8!$I139</f>
        <v>0</v>
      </c>
      <c r="AC69" s="179">
        <f>Partner9!$I139</f>
        <v>0</v>
      </c>
      <c r="AD69" s="179">
        <f>Partner10!$I139</f>
        <v>0</v>
      </c>
    </row>
    <row r="70" spans="5:30" ht="12" x14ac:dyDescent="0.2">
      <c r="F70" s="94" t="str">
        <f>STRAT9_IND2</f>
        <v>Objetivo estratégico 9 Indicador 2</v>
      </c>
      <c r="G70" s="94" t="str">
        <f ca="1">OFFSET(Variables_Lu!$D$10,Basic_Setup!H83,0)</f>
        <v>Nutrition-specific</v>
      </c>
      <c r="H70" s="346">
        <f>'Financial Req'!$I69</f>
        <v>0</v>
      </c>
      <c r="I70" s="347">
        <f t="shared" ref="I70:I73" si="16">H70-J70</f>
        <v>0</v>
      </c>
      <c r="J70" s="345">
        <f t="shared" ref="J70:J73" si="17">SUM(K70:AD70)</f>
        <v>0</v>
      </c>
      <c r="K70" s="365">
        <f>Government1!$I69</f>
        <v>0</v>
      </c>
      <c r="L70" s="365">
        <f>Government2!$I69</f>
        <v>0</v>
      </c>
      <c r="M70" s="365">
        <f>Government3!$I69</f>
        <v>0</v>
      </c>
      <c r="N70" s="365">
        <f>Government4!$I69</f>
        <v>0</v>
      </c>
      <c r="O70" s="365">
        <f>Government5!$I69</f>
        <v>0</v>
      </c>
      <c r="P70" s="365">
        <f>Government6!$I69</f>
        <v>0</v>
      </c>
      <c r="Q70" s="365">
        <f>Government7!$I69</f>
        <v>0</v>
      </c>
      <c r="R70" s="365">
        <f>Government8!$I69</f>
        <v>0</v>
      </c>
      <c r="S70" s="365">
        <f>Government9!$I69</f>
        <v>0</v>
      </c>
      <c r="T70" s="365">
        <f>Government10!$I69</f>
        <v>0</v>
      </c>
      <c r="U70" s="179">
        <f>Partner1!$I140</f>
        <v>0</v>
      </c>
      <c r="V70" s="179">
        <f>Partner2!$I140</f>
        <v>0</v>
      </c>
      <c r="W70" s="179">
        <f>Partner3!$I140</f>
        <v>0</v>
      </c>
      <c r="X70" s="179">
        <f>Partner4!$I140</f>
        <v>0</v>
      </c>
      <c r="Y70" s="179">
        <f>Partner5!$I140</f>
        <v>0</v>
      </c>
      <c r="Z70" s="179">
        <f>Partner6!$I140</f>
        <v>0</v>
      </c>
      <c r="AA70" s="179">
        <f>Partner7!$I140</f>
        <v>0</v>
      </c>
      <c r="AB70" s="179">
        <f>Partner8!$I140</f>
        <v>0</v>
      </c>
      <c r="AC70" s="179">
        <f>Partner9!$I140</f>
        <v>0</v>
      </c>
      <c r="AD70" s="179">
        <f>Partner10!$I140</f>
        <v>0</v>
      </c>
    </row>
    <row r="71" spans="5:30" ht="12" x14ac:dyDescent="0.2">
      <c r="F71" s="94" t="str">
        <f>STRAT9_IND3</f>
        <v>Objetivo estratégico 9 Indicador 3</v>
      </c>
      <c r="G71" s="94" t="str">
        <f ca="1">OFFSET(Variables_Lu!$D$10,Basic_Setup!H84,0)</f>
        <v>Nutrition-specific</v>
      </c>
      <c r="H71" s="346">
        <f>'Financial Req'!$I70</f>
        <v>0</v>
      </c>
      <c r="I71" s="347">
        <f t="shared" si="16"/>
        <v>0</v>
      </c>
      <c r="J71" s="345">
        <f t="shared" si="17"/>
        <v>0</v>
      </c>
      <c r="K71" s="365">
        <f>Government1!$I70</f>
        <v>0</v>
      </c>
      <c r="L71" s="365">
        <f>Government2!$I70</f>
        <v>0</v>
      </c>
      <c r="M71" s="365">
        <f>Government3!$I70</f>
        <v>0</v>
      </c>
      <c r="N71" s="365">
        <f>Government4!$I70</f>
        <v>0</v>
      </c>
      <c r="O71" s="365">
        <f>Government5!$I70</f>
        <v>0</v>
      </c>
      <c r="P71" s="365">
        <f>Government6!$I70</f>
        <v>0</v>
      </c>
      <c r="Q71" s="365">
        <f>Government7!$I70</f>
        <v>0</v>
      </c>
      <c r="R71" s="365">
        <f>Government8!$I70</f>
        <v>0</v>
      </c>
      <c r="S71" s="365">
        <f>Government9!$I70</f>
        <v>0</v>
      </c>
      <c r="T71" s="365">
        <f>Government10!$I70</f>
        <v>0</v>
      </c>
      <c r="U71" s="179">
        <f>Partner1!$I141</f>
        <v>0</v>
      </c>
      <c r="V71" s="179">
        <f>Partner2!$I141</f>
        <v>0</v>
      </c>
      <c r="W71" s="179">
        <f>Partner3!$I141</f>
        <v>0</v>
      </c>
      <c r="X71" s="179">
        <f>Partner4!$I141</f>
        <v>0</v>
      </c>
      <c r="Y71" s="179">
        <f>Partner5!$I141</f>
        <v>0</v>
      </c>
      <c r="Z71" s="179">
        <f>Partner6!$I141</f>
        <v>0</v>
      </c>
      <c r="AA71" s="179">
        <f>Partner7!$I141</f>
        <v>0</v>
      </c>
      <c r="AB71" s="179">
        <f>Partner8!$I141</f>
        <v>0</v>
      </c>
      <c r="AC71" s="179">
        <f>Partner9!$I141</f>
        <v>0</v>
      </c>
      <c r="AD71" s="179">
        <f>Partner10!$I141</f>
        <v>0</v>
      </c>
    </row>
    <row r="72" spans="5:30" ht="12" x14ac:dyDescent="0.2">
      <c r="F72" s="94" t="str">
        <f>STRAT9_IND4</f>
        <v>Objetivo estratégico 9 Indicador 4</v>
      </c>
      <c r="G72" s="94" t="str">
        <f ca="1">OFFSET(Variables_Lu!$D$10,Basic_Setup!H85,0)</f>
        <v>Nutrition-specific</v>
      </c>
      <c r="H72" s="346">
        <f>'Financial Req'!$I71</f>
        <v>0</v>
      </c>
      <c r="I72" s="347">
        <f t="shared" si="16"/>
        <v>0</v>
      </c>
      <c r="J72" s="345">
        <f t="shared" si="17"/>
        <v>0</v>
      </c>
      <c r="K72" s="365">
        <f>Government1!$I71</f>
        <v>0</v>
      </c>
      <c r="L72" s="365">
        <f>Government2!$I71</f>
        <v>0</v>
      </c>
      <c r="M72" s="365">
        <f>Government3!$I71</f>
        <v>0</v>
      </c>
      <c r="N72" s="365">
        <f>Government4!$I71</f>
        <v>0</v>
      </c>
      <c r="O72" s="365">
        <f>Government5!$I71</f>
        <v>0</v>
      </c>
      <c r="P72" s="365">
        <f>Government6!$I71</f>
        <v>0</v>
      </c>
      <c r="Q72" s="365">
        <f>Government7!$I71</f>
        <v>0</v>
      </c>
      <c r="R72" s="365">
        <f>Government8!$I71</f>
        <v>0</v>
      </c>
      <c r="S72" s="365">
        <f>Government9!$I71</f>
        <v>0</v>
      </c>
      <c r="T72" s="365">
        <f>Government10!$I71</f>
        <v>0</v>
      </c>
      <c r="U72" s="179">
        <f>Partner1!$I142</f>
        <v>0</v>
      </c>
      <c r="V72" s="179">
        <f>Partner2!$I142</f>
        <v>0</v>
      </c>
      <c r="W72" s="179">
        <f>Partner3!$I142</f>
        <v>0</v>
      </c>
      <c r="X72" s="179">
        <f>Partner4!$I142</f>
        <v>0</v>
      </c>
      <c r="Y72" s="179">
        <f>Partner5!$I142</f>
        <v>0</v>
      </c>
      <c r="Z72" s="179">
        <f>Partner6!$I142</f>
        <v>0</v>
      </c>
      <c r="AA72" s="179">
        <f>Partner7!$I142</f>
        <v>0</v>
      </c>
      <c r="AB72" s="179">
        <f>Partner8!$I142</f>
        <v>0</v>
      </c>
      <c r="AC72" s="179">
        <f>Partner9!$I142</f>
        <v>0</v>
      </c>
      <c r="AD72" s="179">
        <f>Partner10!$I142</f>
        <v>0</v>
      </c>
    </row>
    <row r="73" spans="5:30" ht="12" x14ac:dyDescent="0.2">
      <c r="F73" s="94" t="str">
        <f>STRAT9_IND5</f>
        <v>Objetivo estratégico 9 Indicador 5</v>
      </c>
      <c r="G73" s="94" t="str">
        <f ca="1">OFFSET(Variables_Lu!$D$10,Basic_Setup!H86,0)</f>
        <v>Nutrition-specific</v>
      </c>
      <c r="H73" s="346">
        <f>'Financial Req'!$I72</f>
        <v>0</v>
      </c>
      <c r="I73" s="347">
        <f t="shared" si="16"/>
        <v>0</v>
      </c>
      <c r="J73" s="345">
        <f t="shared" si="17"/>
        <v>0</v>
      </c>
      <c r="K73" s="365">
        <f>Government1!$I72</f>
        <v>0</v>
      </c>
      <c r="L73" s="365">
        <f>Government2!$I72</f>
        <v>0</v>
      </c>
      <c r="M73" s="365">
        <f>Government3!$I72</f>
        <v>0</v>
      </c>
      <c r="N73" s="365">
        <f>Government4!$I72</f>
        <v>0</v>
      </c>
      <c r="O73" s="365">
        <f>Government5!$I72</f>
        <v>0</v>
      </c>
      <c r="P73" s="365">
        <f>Government6!$I72</f>
        <v>0</v>
      </c>
      <c r="Q73" s="365">
        <f>Government7!$I72</f>
        <v>0</v>
      </c>
      <c r="R73" s="365">
        <f>Government8!$I72</f>
        <v>0</v>
      </c>
      <c r="S73" s="365">
        <f>Government9!$I72</f>
        <v>0</v>
      </c>
      <c r="T73" s="365">
        <f>Government10!$I72</f>
        <v>0</v>
      </c>
      <c r="U73" s="179">
        <f>Partner1!$I143</f>
        <v>0</v>
      </c>
      <c r="V73" s="179">
        <f>Partner2!$I143</f>
        <v>0</v>
      </c>
      <c r="W73" s="179">
        <f>Partner3!$I143</f>
        <v>0</v>
      </c>
      <c r="X73" s="179">
        <f>Partner4!$I143</f>
        <v>0</v>
      </c>
      <c r="Y73" s="179">
        <f>Partner5!$I143</f>
        <v>0</v>
      </c>
      <c r="Z73" s="179">
        <f>Partner6!$I143</f>
        <v>0</v>
      </c>
      <c r="AA73" s="179">
        <f>Partner7!$I143</f>
        <v>0</v>
      </c>
      <c r="AB73" s="179">
        <f>Partner8!$I143</f>
        <v>0</v>
      </c>
      <c r="AC73" s="179">
        <f>Partner9!$I143</f>
        <v>0</v>
      </c>
      <c r="AD73" s="179">
        <f>Partner10!$I143</f>
        <v>0</v>
      </c>
    </row>
    <row r="74" spans="5:30" x14ac:dyDescent="0.2">
      <c r="F74" s="332" t="str">
        <f>"Subtotal: "&amp;E68</f>
        <v>Subtotal: Objetivo estratégico 9: [No está en uso]</v>
      </c>
      <c r="G74" s="333"/>
      <c r="H74" s="348">
        <f>'Financial Req'!$I73</f>
        <v>0</v>
      </c>
      <c r="I74" s="349">
        <f>SUM(I69:I73)</f>
        <v>0</v>
      </c>
      <c r="J74" s="350">
        <f>SUM(J69:J73)</f>
        <v>0</v>
      </c>
      <c r="K74" s="366">
        <f>Government1!$I73</f>
        <v>0</v>
      </c>
      <c r="L74" s="366">
        <f>Government2!$I73</f>
        <v>0</v>
      </c>
      <c r="M74" s="366">
        <f>Government3!$I73</f>
        <v>0</v>
      </c>
      <c r="N74" s="366">
        <f>Government4!$I73</f>
        <v>0</v>
      </c>
      <c r="O74" s="366">
        <f>Government5!$I73</f>
        <v>0</v>
      </c>
      <c r="P74" s="366">
        <f>Government6!$I73</f>
        <v>0</v>
      </c>
      <c r="Q74" s="366">
        <f>Government7!$I73</f>
        <v>0</v>
      </c>
      <c r="R74" s="366">
        <f>Government8!$I73</f>
        <v>0</v>
      </c>
      <c r="S74" s="366">
        <f>Government9!$I73</f>
        <v>0</v>
      </c>
      <c r="T74" s="366">
        <f>Government10!$I73</f>
        <v>0</v>
      </c>
      <c r="U74" s="331">
        <f>Partner1!$I144</f>
        <v>0</v>
      </c>
      <c r="V74" s="331">
        <f>Partner2!$I144</f>
        <v>0</v>
      </c>
      <c r="W74" s="331">
        <f>Partner3!$I144</f>
        <v>0</v>
      </c>
      <c r="X74" s="331">
        <f>Partner4!$I144</f>
        <v>0</v>
      </c>
      <c r="Y74" s="331">
        <f>Partner5!$I144</f>
        <v>0</v>
      </c>
      <c r="Z74" s="331">
        <f>Partner6!$I144</f>
        <v>0</v>
      </c>
      <c r="AA74" s="331">
        <f>Partner7!$I144</f>
        <v>0</v>
      </c>
      <c r="AB74" s="331">
        <f>Partner8!$I144</f>
        <v>0</v>
      </c>
      <c r="AC74" s="331">
        <f>Partner9!$I144</f>
        <v>0</v>
      </c>
      <c r="AD74" s="331">
        <f>Partner10!$I144</f>
        <v>0</v>
      </c>
    </row>
    <row r="75" spans="5:30" ht="12" x14ac:dyDescent="0.2">
      <c r="E75" s="301" t="str">
        <f>Strategy10</f>
        <v>Objetivo estratégico 10: [No está en uso]</v>
      </c>
      <c r="G75" s="94"/>
      <c r="H75" s="346"/>
      <c r="I75" s="347"/>
      <c r="J75" s="351"/>
      <c r="K75" s="365"/>
      <c r="L75" s="365"/>
      <c r="M75" s="365"/>
      <c r="N75" s="365"/>
      <c r="O75" s="365"/>
      <c r="P75" s="365"/>
      <c r="Q75" s="365"/>
      <c r="R75" s="365"/>
      <c r="S75" s="365"/>
      <c r="T75" s="365"/>
      <c r="U75" s="179"/>
      <c r="V75" s="179"/>
      <c r="W75" s="179"/>
      <c r="X75" s="179"/>
      <c r="Y75" s="179"/>
      <c r="Z75" s="179"/>
      <c r="AA75" s="179"/>
      <c r="AB75" s="179"/>
      <c r="AC75" s="179"/>
      <c r="AD75" s="179"/>
    </row>
    <row r="76" spans="5:30" ht="12" x14ac:dyDescent="0.2">
      <c r="F76" s="94" t="str">
        <f>STRAT10_IND1</f>
        <v>Objetivo estratégico 10 Indicador 1</v>
      </c>
      <c r="G76" s="94" t="str">
        <f ca="1">OFFSET(Variables_Lu!$D$10,Basic_Setup!H88,0)</f>
        <v>Nutrition-specific</v>
      </c>
      <c r="H76" s="346">
        <f>'Financial Req'!$I74</f>
        <v>0</v>
      </c>
      <c r="I76" s="347">
        <f>H76-J76</f>
        <v>0</v>
      </c>
      <c r="J76" s="345">
        <f>SUM(K76:AD76)</f>
        <v>0</v>
      </c>
      <c r="K76" s="365">
        <f>Government1!$I74</f>
        <v>0</v>
      </c>
      <c r="L76" s="365">
        <f>Government2!$I74</f>
        <v>0</v>
      </c>
      <c r="M76" s="365">
        <f>Government3!$I74</f>
        <v>0</v>
      </c>
      <c r="N76" s="365">
        <f>Government4!$I74</f>
        <v>0</v>
      </c>
      <c r="O76" s="365">
        <f>Government5!$I74</f>
        <v>0</v>
      </c>
      <c r="P76" s="365">
        <f>Government6!$I74</f>
        <v>0</v>
      </c>
      <c r="Q76" s="365">
        <f>Government7!$I74</f>
        <v>0</v>
      </c>
      <c r="R76" s="365">
        <f>Government8!$I74</f>
        <v>0</v>
      </c>
      <c r="S76" s="365">
        <f>Government9!$I74</f>
        <v>0</v>
      </c>
      <c r="T76" s="365">
        <f>Government10!$I74</f>
        <v>0</v>
      </c>
      <c r="U76" s="179">
        <f>Partner1!$I145</f>
        <v>0</v>
      </c>
      <c r="V76" s="179">
        <f>Partner2!$I145</f>
        <v>0</v>
      </c>
      <c r="W76" s="179">
        <f>Partner3!$I145</f>
        <v>0</v>
      </c>
      <c r="X76" s="179">
        <f>Partner4!$I145</f>
        <v>0</v>
      </c>
      <c r="Y76" s="179">
        <f>Partner5!$I145</f>
        <v>0</v>
      </c>
      <c r="Z76" s="179">
        <f>Partner6!$I145</f>
        <v>0</v>
      </c>
      <c r="AA76" s="179">
        <f>Partner7!$I145</f>
        <v>0</v>
      </c>
      <c r="AB76" s="179">
        <f>Partner8!$I145</f>
        <v>0</v>
      </c>
      <c r="AC76" s="179">
        <f>Partner9!$I145</f>
        <v>0</v>
      </c>
      <c r="AD76" s="179">
        <f>Partner10!$I145</f>
        <v>0</v>
      </c>
    </row>
    <row r="77" spans="5:30" ht="12" x14ac:dyDescent="0.2">
      <c r="F77" s="94" t="str">
        <f>STRAT10_IND2</f>
        <v>Objetivo estratégico 10 Indicador 2</v>
      </c>
      <c r="G77" s="94" t="str">
        <f ca="1">OFFSET(Variables_Lu!$D$10,Basic_Setup!H89,0)</f>
        <v>Nutrition-specific</v>
      </c>
      <c r="H77" s="346">
        <f>'Financial Req'!$I75</f>
        <v>0</v>
      </c>
      <c r="I77" s="347">
        <f t="shared" ref="I77:I80" si="18">H77-J77</f>
        <v>0</v>
      </c>
      <c r="J77" s="345">
        <f t="shared" ref="J77:J80" si="19">SUM(K77:AD77)</f>
        <v>0</v>
      </c>
      <c r="K77" s="365">
        <f>Government1!$I75</f>
        <v>0</v>
      </c>
      <c r="L77" s="365">
        <f>Government2!$I75</f>
        <v>0</v>
      </c>
      <c r="M77" s="365">
        <f>Government3!$I75</f>
        <v>0</v>
      </c>
      <c r="N77" s="365">
        <f>Government4!$I75</f>
        <v>0</v>
      </c>
      <c r="O77" s="365">
        <f>Government5!$I75</f>
        <v>0</v>
      </c>
      <c r="P77" s="365">
        <f>Government6!$I75</f>
        <v>0</v>
      </c>
      <c r="Q77" s="365">
        <f>Government7!$I75</f>
        <v>0</v>
      </c>
      <c r="R77" s="365">
        <f>Government8!$I75</f>
        <v>0</v>
      </c>
      <c r="S77" s="365">
        <f>Government9!$I75</f>
        <v>0</v>
      </c>
      <c r="T77" s="365">
        <f>Government10!$I75</f>
        <v>0</v>
      </c>
      <c r="U77" s="179">
        <f>Partner1!$I146</f>
        <v>0</v>
      </c>
      <c r="V77" s="179">
        <f>Partner2!$I146</f>
        <v>0</v>
      </c>
      <c r="W77" s="179">
        <f>Partner3!$I146</f>
        <v>0</v>
      </c>
      <c r="X77" s="179">
        <f>Partner4!$I146</f>
        <v>0</v>
      </c>
      <c r="Y77" s="179">
        <f>Partner5!$I146</f>
        <v>0</v>
      </c>
      <c r="Z77" s="179">
        <f>Partner6!$I146</f>
        <v>0</v>
      </c>
      <c r="AA77" s="179">
        <f>Partner7!$I146</f>
        <v>0</v>
      </c>
      <c r="AB77" s="179">
        <f>Partner8!$I146</f>
        <v>0</v>
      </c>
      <c r="AC77" s="179">
        <f>Partner9!$I146</f>
        <v>0</v>
      </c>
      <c r="AD77" s="179">
        <f>Partner10!$I146</f>
        <v>0</v>
      </c>
    </row>
    <row r="78" spans="5:30" ht="12" x14ac:dyDescent="0.2">
      <c r="F78" s="94" t="str">
        <f>STRAT10_IND3</f>
        <v>Objetivo estratégico 10 Indicador 3</v>
      </c>
      <c r="G78" s="94" t="str">
        <f ca="1">OFFSET(Variables_Lu!$D$10,Basic_Setup!H90,0)</f>
        <v>Nutrition-specific</v>
      </c>
      <c r="H78" s="346">
        <f>'Financial Req'!$I76</f>
        <v>0</v>
      </c>
      <c r="I78" s="347">
        <f t="shared" si="18"/>
        <v>0</v>
      </c>
      <c r="J78" s="345">
        <f t="shared" si="19"/>
        <v>0</v>
      </c>
      <c r="K78" s="365">
        <f>Government1!$I76</f>
        <v>0</v>
      </c>
      <c r="L78" s="365">
        <f>Government2!$I76</f>
        <v>0</v>
      </c>
      <c r="M78" s="365">
        <f>Government3!$I76</f>
        <v>0</v>
      </c>
      <c r="N78" s="365">
        <f>Government4!$I76</f>
        <v>0</v>
      </c>
      <c r="O78" s="365">
        <f>Government5!$I76</f>
        <v>0</v>
      </c>
      <c r="P78" s="365">
        <f>Government6!$I76</f>
        <v>0</v>
      </c>
      <c r="Q78" s="365">
        <f>Government7!$I76</f>
        <v>0</v>
      </c>
      <c r="R78" s="365">
        <f>Government8!$I76</f>
        <v>0</v>
      </c>
      <c r="S78" s="365">
        <f>Government9!$I76</f>
        <v>0</v>
      </c>
      <c r="T78" s="365">
        <f>Government10!$I76</f>
        <v>0</v>
      </c>
      <c r="U78" s="179">
        <f>Partner1!$I147</f>
        <v>0</v>
      </c>
      <c r="V78" s="179">
        <f>Partner2!$I147</f>
        <v>0</v>
      </c>
      <c r="W78" s="179">
        <f>Partner3!$I147</f>
        <v>0</v>
      </c>
      <c r="X78" s="179">
        <f>Partner4!$I147</f>
        <v>0</v>
      </c>
      <c r="Y78" s="179">
        <f>Partner5!$I147</f>
        <v>0</v>
      </c>
      <c r="Z78" s="179">
        <f>Partner6!$I147</f>
        <v>0</v>
      </c>
      <c r="AA78" s="179">
        <f>Partner7!$I147</f>
        <v>0</v>
      </c>
      <c r="AB78" s="179">
        <f>Partner8!$I147</f>
        <v>0</v>
      </c>
      <c r="AC78" s="179">
        <f>Partner9!$I147</f>
        <v>0</v>
      </c>
      <c r="AD78" s="179">
        <f>Partner10!$I147</f>
        <v>0</v>
      </c>
    </row>
    <row r="79" spans="5:30" ht="12" x14ac:dyDescent="0.2">
      <c r="F79" s="94" t="str">
        <f>STRAT10_IND4</f>
        <v>Objetivo estratégico 10 Indicador 4</v>
      </c>
      <c r="G79" s="94" t="str">
        <f ca="1">OFFSET(Variables_Lu!$D$10,Basic_Setup!H91,0)</f>
        <v>Nutrition-specific</v>
      </c>
      <c r="H79" s="346">
        <f>'Financial Req'!$I77</f>
        <v>0</v>
      </c>
      <c r="I79" s="347">
        <f t="shared" si="18"/>
        <v>0</v>
      </c>
      <c r="J79" s="345">
        <f t="shared" si="19"/>
        <v>0</v>
      </c>
      <c r="K79" s="365">
        <f>Government1!$I77</f>
        <v>0</v>
      </c>
      <c r="L79" s="365">
        <f>Government2!$I77</f>
        <v>0</v>
      </c>
      <c r="M79" s="365">
        <f>Government3!$I77</f>
        <v>0</v>
      </c>
      <c r="N79" s="365">
        <f>Government4!$I77</f>
        <v>0</v>
      </c>
      <c r="O79" s="365">
        <f>Government5!$I77</f>
        <v>0</v>
      </c>
      <c r="P79" s="365">
        <f>Government6!$I77</f>
        <v>0</v>
      </c>
      <c r="Q79" s="365">
        <f>Government7!$I77</f>
        <v>0</v>
      </c>
      <c r="R79" s="365">
        <f>Government8!$I77</f>
        <v>0</v>
      </c>
      <c r="S79" s="365">
        <f>Government9!$I77</f>
        <v>0</v>
      </c>
      <c r="T79" s="365">
        <f>Government10!$I77</f>
        <v>0</v>
      </c>
      <c r="U79" s="179">
        <f>Partner1!$I148</f>
        <v>0</v>
      </c>
      <c r="V79" s="179">
        <f>Partner2!$I148</f>
        <v>0</v>
      </c>
      <c r="W79" s="179">
        <f>Partner3!$I148</f>
        <v>0</v>
      </c>
      <c r="X79" s="179">
        <f>Partner4!$I148</f>
        <v>0</v>
      </c>
      <c r="Y79" s="179">
        <f>Partner5!$I148</f>
        <v>0</v>
      </c>
      <c r="Z79" s="179">
        <f>Partner6!$I148</f>
        <v>0</v>
      </c>
      <c r="AA79" s="179">
        <f>Partner7!$I148</f>
        <v>0</v>
      </c>
      <c r="AB79" s="179">
        <f>Partner8!$I148</f>
        <v>0</v>
      </c>
      <c r="AC79" s="179">
        <f>Partner9!$I148</f>
        <v>0</v>
      </c>
      <c r="AD79" s="179">
        <f>Partner10!$I148</f>
        <v>0</v>
      </c>
    </row>
    <row r="80" spans="5:30" ht="12" x14ac:dyDescent="0.2">
      <c r="F80" s="94" t="str">
        <f>STRAT10_IND5</f>
        <v>Objetivo estratégico 10 Indicador 5</v>
      </c>
      <c r="G80" s="94" t="str">
        <f ca="1">OFFSET(Variables_Lu!$D$10,Basic_Setup!H92,0)</f>
        <v>Nutrition-specific</v>
      </c>
      <c r="H80" s="346">
        <f>'Financial Req'!$I78</f>
        <v>0</v>
      </c>
      <c r="I80" s="347">
        <f t="shared" si="18"/>
        <v>0</v>
      </c>
      <c r="J80" s="345">
        <f t="shared" si="19"/>
        <v>0</v>
      </c>
      <c r="K80" s="365">
        <f>Government1!$I78</f>
        <v>0</v>
      </c>
      <c r="L80" s="365">
        <f>Government2!$I78</f>
        <v>0</v>
      </c>
      <c r="M80" s="365">
        <f>Government3!$I78</f>
        <v>0</v>
      </c>
      <c r="N80" s="365">
        <f>Government4!$I78</f>
        <v>0</v>
      </c>
      <c r="O80" s="365">
        <f>Government5!$I78</f>
        <v>0</v>
      </c>
      <c r="P80" s="365">
        <f>Government6!$I78</f>
        <v>0</v>
      </c>
      <c r="Q80" s="365">
        <f>Government7!$I78</f>
        <v>0</v>
      </c>
      <c r="R80" s="365">
        <f>Government8!$I78</f>
        <v>0</v>
      </c>
      <c r="S80" s="365">
        <f>Government9!$I78</f>
        <v>0</v>
      </c>
      <c r="T80" s="365">
        <f>Government10!$I78</f>
        <v>0</v>
      </c>
      <c r="U80" s="179">
        <f>Partner1!$I149</f>
        <v>0</v>
      </c>
      <c r="V80" s="179">
        <f>Partner2!$I149</f>
        <v>0</v>
      </c>
      <c r="W80" s="179">
        <f>Partner3!$I149</f>
        <v>0</v>
      </c>
      <c r="X80" s="179">
        <f>Partner4!$I149</f>
        <v>0</v>
      </c>
      <c r="Y80" s="179">
        <f>Partner5!$I149</f>
        <v>0</v>
      </c>
      <c r="Z80" s="179">
        <f>Partner6!$I149</f>
        <v>0</v>
      </c>
      <c r="AA80" s="179">
        <f>Partner7!$I149</f>
        <v>0</v>
      </c>
      <c r="AB80" s="179">
        <f>Partner8!$I149</f>
        <v>0</v>
      </c>
      <c r="AC80" s="179">
        <f>Partner9!$I149</f>
        <v>0</v>
      </c>
      <c r="AD80" s="179">
        <f>Partner10!$I149</f>
        <v>0</v>
      </c>
    </row>
    <row r="81" spans="5:30" x14ac:dyDescent="0.2">
      <c r="F81" s="332" t="str">
        <f>"Subtotal: "&amp;E75</f>
        <v>Subtotal: Objetivo estratégico 10: [No está en uso]</v>
      </c>
      <c r="G81" s="333"/>
      <c r="H81" s="348">
        <f>'Financial Req'!$I79</f>
        <v>0</v>
      </c>
      <c r="I81" s="349">
        <f>SUM(I76:I80)</f>
        <v>0</v>
      </c>
      <c r="J81" s="350">
        <f>SUM(J76:J80)</f>
        <v>0</v>
      </c>
      <c r="K81" s="366">
        <f>Government1!$I79</f>
        <v>0</v>
      </c>
      <c r="L81" s="366">
        <f>Government2!$I79</f>
        <v>0</v>
      </c>
      <c r="M81" s="366">
        <f>Government3!$I79</f>
        <v>0</v>
      </c>
      <c r="N81" s="366">
        <f>Government4!$I79</f>
        <v>0</v>
      </c>
      <c r="O81" s="366">
        <f>Government5!$I79</f>
        <v>0</v>
      </c>
      <c r="P81" s="366">
        <f>Government6!$I79</f>
        <v>0</v>
      </c>
      <c r="Q81" s="366">
        <f>Government7!$I79</f>
        <v>0</v>
      </c>
      <c r="R81" s="366">
        <f>Government8!$I79</f>
        <v>0</v>
      </c>
      <c r="S81" s="366">
        <f>Government9!$I79</f>
        <v>0</v>
      </c>
      <c r="T81" s="366">
        <f>Government10!$I79</f>
        <v>0</v>
      </c>
      <c r="U81" s="331">
        <f>Partner1!$I150</f>
        <v>0</v>
      </c>
      <c r="V81" s="331">
        <f>Partner2!$I150</f>
        <v>0</v>
      </c>
      <c r="W81" s="331">
        <f>Partner3!$I150</f>
        <v>0</v>
      </c>
      <c r="X81" s="331">
        <f>Partner4!$I150</f>
        <v>0</v>
      </c>
      <c r="Y81" s="331">
        <f>Partner5!$I150</f>
        <v>0</v>
      </c>
      <c r="Z81" s="331">
        <f>Partner6!$I150</f>
        <v>0</v>
      </c>
      <c r="AA81" s="331">
        <f>Partner7!$I150</f>
        <v>0</v>
      </c>
      <c r="AB81" s="331">
        <f>Partner8!$I150</f>
        <v>0</v>
      </c>
      <c r="AC81" s="331">
        <f>Partner9!$I150</f>
        <v>0</v>
      </c>
      <c r="AD81" s="331">
        <f>Partner10!$I150</f>
        <v>0</v>
      </c>
    </row>
    <row r="82" spans="5:30" ht="12" x14ac:dyDescent="0.2">
      <c r="F82" s="142" t="str">
        <f>"Total "&amp;" ("&amp;E8&amp;")"</f>
        <v>Total  (GOZ)</v>
      </c>
      <c r="G82" s="142"/>
      <c r="H82" s="352">
        <f>SUM(H18,H25,H32,H39,H46,H53,H60,H67,H74,H81)</f>
        <v>810943482412.15771</v>
      </c>
      <c r="I82" s="352">
        <f>SUM(I18,I25,I32,I39,I46,I53,I60,I67,I74,I81)</f>
        <v>373255400797.17645</v>
      </c>
      <c r="J82" s="353">
        <f>SUM(J18,J25,J32,J39,J46,J53,J60,J67,J74,J81)</f>
        <v>437688081614.98126</v>
      </c>
      <c r="K82" s="367">
        <f>SUM(K18,K25,K32,K39,K46,K53,K60,K67,K74,K81)</f>
        <v>21372580500.075001</v>
      </c>
      <c r="L82" s="367">
        <f t="shared" ref="L82:T82" si="20">SUM(L18,L25,L32,L39,L46,L53,L60,L67,L74,L81)</f>
        <v>2452182677.2687502</v>
      </c>
      <c r="M82" s="367">
        <f t="shared" si="20"/>
        <v>6435000000</v>
      </c>
      <c r="N82" s="367">
        <f t="shared" si="20"/>
        <v>688835359.12500012</v>
      </c>
      <c r="O82" s="367">
        <f t="shared" si="20"/>
        <v>296346674.69999999</v>
      </c>
      <c r="P82" s="367">
        <f t="shared" si="20"/>
        <v>104148358716.2625</v>
      </c>
      <c r="Q82" s="367">
        <f t="shared" si="20"/>
        <v>12971444159.699999</v>
      </c>
      <c r="R82" s="367">
        <f t="shared" si="20"/>
        <v>637699127.85000002</v>
      </c>
      <c r="S82" s="367">
        <f t="shared" si="20"/>
        <v>0</v>
      </c>
      <c r="T82" s="367">
        <f t="shared" si="20"/>
        <v>0</v>
      </c>
      <c r="U82" s="90">
        <f t="shared" ref="U82:AD82" si="21">SUM(U18,U25,U32,U39,U46,U53,U60,U67,U74,U81)</f>
        <v>68472000000</v>
      </c>
      <c r="V82" s="90">
        <f t="shared" si="21"/>
        <v>180000000</v>
      </c>
      <c r="W82" s="90">
        <f t="shared" si="21"/>
        <v>180598586400</v>
      </c>
      <c r="X82" s="90">
        <f t="shared" si="21"/>
        <v>5010048000</v>
      </c>
      <c r="Y82" s="90">
        <f t="shared" si="21"/>
        <v>34425000000</v>
      </c>
      <c r="Z82" s="90">
        <f t="shared" si="21"/>
        <v>0</v>
      </c>
      <c r="AA82" s="90">
        <f t="shared" si="21"/>
        <v>0</v>
      </c>
      <c r="AB82" s="90">
        <f t="shared" si="21"/>
        <v>0</v>
      </c>
      <c r="AC82" s="90">
        <f t="shared" si="21"/>
        <v>0</v>
      </c>
      <c r="AD82" s="90">
        <f t="shared" si="21"/>
        <v>0</v>
      </c>
    </row>
    <row r="84" spans="5:30" x14ac:dyDescent="0.2">
      <c r="L84" s="384"/>
      <c r="M84" s="384"/>
    </row>
    <row r="85" spans="5:30" ht="17.399999999999999" x14ac:dyDescent="0.2">
      <c r="E85" s="305" t="str">
        <f>CURR_INT_ABBR</f>
        <v>USD</v>
      </c>
    </row>
    <row r="87" spans="5:30" ht="84" x14ac:dyDescent="0.2">
      <c r="E87" s="303" t="s">
        <v>140</v>
      </c>
      <c r="F87" s="10"/>
      <c r="G87" s="302" t="s">
        <v>482</v>
      </c>
      <c r="H87" s="340" t="s">
        <v>143</v>
      </c>
      <c r="I87" s="341" t="s">
        <v>565</v>
      </c>
      <c r="J87" s="342" t="s">
        <v>141</v>
      </c>
      <c r="K87" s="339" t="str">
        <f>Government1</f>
        <v>Ministerio de Agricultura y Ganadería</v>
      </c>
      <c r="L87" s="339" t="str">
        <f>Government2</f>
        <v>Ministerio de Energía y Minas</v>
      </c>
      <c r="M87" s="339" t="str">
        <f>Government3</f>
        <v>Ministerio de Educación Nacional, de Educación Superior e Investigación Científica</v>
      </c>
      <c r="N87" s="339" t="str">
        <f>Government4</f>
        <v>Ministerio de Medioambiente</v>
      </c>
      <c r="O87" s="339" t="str">
        <f>Government5</f>
        <v>Ministerio de Servicio Público</v>
      </c>
      <c r="P87" s="339" t="str">
        <f>Government6</f>
        <v>Ministerio de Salud Pública y Lucha contra el SIDA</v>
      </c>
      <c r="Q87" s="339" t="str">
        <f>Government7</f>
        <v xml:space="preserve">Ministerio de Derechos Humanos, Asuntos Sociales y Género </v>
      </c>
      <c r="R87" s="339" t="str">
        <f>Government8</f>
        <v>Ministerio de Desarrollo Municipal</v>
      </c>
      <c r="S87" s="339" t="str">
        <f>Government9</f>
        <v>[No está en uso]</v>
      </c>
      <c r="T87" s="339" t="str">
        <f>Government10</f>
        <v>[No está en uso]</v>
      </c>
      <c r="U87" s="97" t="str">
        <f>Partner1</f>
        <v>UNICEF</v>
      </c>
      <c r="V87" s="97" t="str">
        <f>Partner2</f>
        <v>Organización Mundial de la Salud</v>
      </c>
      <c r="W87" s="97" t="str">
        <f>Partner3</f>
        <v>Banco Mundial</v>
      </c>
      <c r="X87" s="97" t="str">
        <f>Partner4</f>
        <v>Organización de las Naciones Unidas para la Alimentación y la Agricultura</v>
      </c>
      <c r="Y87" s="97" t="str">
        <f>Partner5</f>
        <v>Programa Mundial de Alimentos</v>
      </c>
      <c r="Z87" s="97" t="str">
        <f>Partner6</f>
        <v>[No está en uso]</v>
      </c>
      <c r="AA87" s="97" t="str">
        <f>Partner7</f>
        <v>[No está en uso]</v>
      </c>
      <c r="AB87" s="97" t="str">
        <f>Partner8</f>
        <v>[No está en uso]</v>
      </c>
      <c r="AC87" s="97" t="str">
        <f>Partner9</f>
        <v>[No está en uso]</v>
      </c>
      <c r="AD87" s="97" t="str">
        <f>Partner10</f>
        <v>[No está en uso]</v>
      </c>
    </row>
    <row r="88" spans="5:30" x14ac:dyDescent="0.2">
      <c r="H88" s="372"/>
      <c r="I88" s="372"/>
      <c r="J88" s="372"/>
    </row>
    <row r="89" spans="5:30" ht="12" x14ac:dyDescent="0.2">
      <c r="E89" s="301" t="str">
        <f>Strategy1</f>
        <v>Objetivo estratégico 1: Fortalecer la gobernanza de la nutrición</v>
      </c>
      <c r="H89" s="343"/>
      <c r="I89" s="344"/>
      <c r="J89" s="345"/>
      <c r="K89" s="179"/>
      <c r="L89" s="179"/>
      <c r="M89" s="179"/>
      <c r="N89" s="179"/>
      <c r="O89" s="179"/>
      <c r="P89" s="179"/>
      <c r="Q89" s="179"/>
      <c r="R89" s="179"/>
      <c r="S89" s="179"/>
      <c r="T89" s="179"/>
      <c r="U89" s="179"/>
      <c r="V89" s="179"/>
      <c r="W89" s="179"/>
      <c r="X89" s="179"/>
      <c r="Y89" s="179"/>
      <c r="Z89" s="179"/>
      <c r="AA89" s="179"/>
      <c r="AB89" s="179"/>
      <c r="AC89" s="179"/>
      <c r="AD89" s="179"/>
    </row>
    <row r="90" spans="5:30" ht="12" x14ac:dyDescent="0.2">
      <c r="F90" s="94" t="str">
        <f>STRAT1_IND1</f>
        <v>Se refuerza la coordinación multisectorial en materia de nutrición</v>
      </c>
      <c r="G90" s="94" t="str">
        <f ca="1">OFFSET(Variables_Lu!$D$10,Basic_Setup!H34,0)</f>
        <v>Governance</v>
      </c>
      <c r="H90" s="354">
        <f t="shared" ref="H90:H121" si="22">H13/EXCHANGE_RATE</f>
        <v>1264970.8383472222</v>
      </c>
      <c r="I90" s="355">
        <f t="shared" ref="I90:K90" si="23">I13/EXCHANGE_RATE</f>
        <v>-758484.81658944022</v>
      </c>
      <c r="J90" s="356">
        <f t="shared" si="23"/>
        <v>2023455.6549366624</v>
      </c>
      <c r="K90" s="334">
        <f t="shared" si="23"/>
        <v>4749.4623333499994</v>
      </c>
      <c r="L90" s="334">
        <f t="shared" ref="L90:M90" si="24">L13/EXCHANGE_RATE</f>
        <v>544.92948383750002</v>
      </c>
      <c r="M90" s="334">
        <f t="shared" si="24"/>
        <v>1430</v>
      </c>
      <c r="N90" s="334">
        <f t="shared" ref="N90:AD90" si="25">N13/EXCHANGE_RATE</f>
        <v>153.07452425</v>
      </c>
      <c r="O90" s="334">
        <f t="shared" si="25"/>
        <v>65.854816600000007</v>
      </c>
      <c r="P90" s="334">
        <f t="shared" si="25"/>
        <v>23144.079714724998</v>
      </c>
      <c r="Q90" s="334">
        <f t="shared" si="25"/>
        <v>2882.5431466000005</v>
      </c>
      <c r="R90" s="334">
        <f t="shared" si="25"/>
        <v>141.71091729999998</v>
      </c>
      <c r="S90" s="334">
        <f t="shared" si="25"/>
        <v>0</v>
      </c>
      <c r="T90" s="334">
        <f t="shared" si="25"/>
        <v>0</v>
      </c>
      <c r="U90" s="334">
        <f t="shared" si="25"/>
        <v>24000</v>
      </c>
      <c r="V90" s="334">
        <f t="shared" si="25"/>
        <v>25000</v>
      </c>
      <c r="W90" s="334">
        <f t="shared" si="25"/>
        <v>1136844</v>
      </c>
      <c r="X90" s="334">
        <f t="shared" si="25"/>
        <v>54500</v>
      </c>
      <c r="Y90" s="334">
        <f t="shared" si="25"/>
        <v>750000</v>
      </c>
      <c r="Z90" s="334">
        <f t="shared" si="25"/>
        <v>0</v>
      </c>
      <c r="AA90" s="334">
        <f t="shared" si="25"/>
        <v>0</v>
      </c>
      <c r="AB90" s="334">
        <f t="shared" si="25"/>
        <v>0</v>
      </c>
      <c r="AC90" s="334">
        <f t="shared" si="25"/>
        <v>0</v>
      </c>
      <c r="AD90" s="334">
        <f t="shared" si="25"/>
        <v>0</v>
      </c>
    </row>
    <row r="91" spans="5:30" ht="22.8" x14ac:dyDescent="0.2">
      <c r="F91" s="94" t="str">
        <f>STRAT1_IND2</f>
        <v>Está en funcionamiento el sistema multisectorial de información sobre nutrición para la adopción de decisiones eficaces.</v>
      </c>
      <c r="G91" s="94" t="str">
        <f ca="1">OFFSET(Variables_Lu!$D$10,Basic_Setup!H35,0)</f>
        <v>Governance</v>
      </c>
      <c r="H91" s="354">
        <f t="shared" si="22"/>
        <v>1264970.8383472222</v>
      </c>
      <c r="I91" s="355">
        <f t="shared" ref="I91:K91" si="26">I14/EXCHANGE_RATE</f>
        <v>1194459.1834105598</v>
      </c>
      <c r="J91" s="356">
        <f t="shared" si="26"/>
        <v>70511.654936662497</v>
      </c>
      <c r="K91" s="334">
        <f t="shared" si="26"/>
        <v>4749.4623333499994</v>
      </c>
      <c r="L91" s="334">
        <f t="shared" ref="L91:M91" si="27">L14/EXCHANGE_RATE</f>
        <v>544.92948383750002</v>
      </c>
      <c r="M91" s="334">
        <f t="shared" si="27"/>
        <v>1430</v>
      </c>
      <c r="N91" s="334">
        <f t="shared" ref="N91:AD91" si="28">N14/EXCHANGE_RATE</f>
        <v>153.07452425</v>
      </c>
      <c r="O91" s="334">
        <f t="shared" si="28"/>
        <v>65.854816600000007</v>
      </c>
      <c r="P91" s="334">
        <f t="shared" si="28"/>
        <v>23144.079714724998</v>
      </c>
      <c r="Q91" s="334">
        <f t="shared" si="28"/>
        <v>2882.5431466000005</v>
      </c>
      <c r="R91" s="334">
        <f t="shared" si="28"/>
        <v>141.71091729999998</v>
      </c>
      <c r="S91" s="334">
        <f t="shared" si="28"/>
        <v>0</v>
      </c>
      <c r="T91" s="334">
        <f t="shared" si="28"/>
        <v>0</v>
      </c>
      <c r="U91" s="334">
        <f t="shared" si="28"/>
        <v>4000</v>
      </c>
      <c r="V91" s="334">
        <f t="shared" si="28"/>
        <v>0</v>
      </c>
      <c r="W91" s="334">
        <f t="shared" si="28"/>
        <v>0</v>
      </c>
      <c r="X91" s="334">
        <f t="shared" si="28"/>
        <v>33400</v>
      </c>
      <c r="Y91" s="334">
        <f t="shared" si="28"/>
        <v>0</v>
      </c>
      <c r="Z91" s="334">
        <f t="shared" si="28"/>
        <v>0</v>
      </c>
      <c r="AA91" s="334">
        <f t="shared" si="28"/>
        <v>0</v>
      </c>
      <c r="AB91" s="334">
        <f t="shared" si="28"/>
        <v>0</v>
      </c>
      <c r="AC91" s="334">
        <f t="shared" si="28"/>
        <v>0</v>
      </c>
      <c r="AD91" s="334">
        <f t="shared" si="28"/>
        <v>0</v>
      </c>
    </row>
    <row r="92" spans="5:30" ht="22.8" x14ac:dyDescent="0.2">
      <c r="F92" s="94" t="str">
        <f>STRAT1_IND3</f>
        <v>La investigación en nutrición se utiliza para aclarar que la toma de decisiones se mejora y se refuerza.</v>
      </c>
      <c r="G92" s="94" t="str">
        <f ca="1">OFFSET(Variables_Lu!$D$10,Basic_Setup!H36,0)</f>
        <v>Governance</v>
      </c>
      <c r="H92" s="354">
        <f t="shared" si="22"/>
        <v>1264970.8383472222</v>
      </c>
      <c r="I92" s="355">
        <f t="shared" ref="I92:K92" si="29">I15/EXCHANGE_RATE</f>
        <v>1223859.1834105598</v>
      </c>
      <c r="J92" s="356">
        <f t="shared" si="29"/>
        <v>41111.654936662497</v>
      </c>
      <c r="K92" s="334">
        <f t="shared" si="29"/>
        <v>4749.4623333499994</v>
      </c>
      <c r="L92" s="334">
        <f t="shared" ref="L92:M92" si="30">L15/EXCHANGE_RATE</f>
        <v>544.92948383750002</v>
      </c>
      <c r="M92" s="334">
        <f t="shared" si="30"/>
        <v>1430</v>
      </c>
      <c r="N92" s="334">
        <f t="shared" ref="N92:AD92" si="31">N15/EXCHANGE_RATE</f>
        <v>153.07452425</v>
      </c>
      <c r="O92" s="334">
        <f t="shared" si="31"/>
        <v>65.854816600000007</v>
      </c>
      <c r="P92" s="334">
        <f t="shared" si="31"/>
        <v>23144.079714724998</v>
      </c>
      <c r="Q92" s="334">
        <f t="shared" si="31"/>
        <v>2882.5431466000005</v>
      </c>
      <c r="R92" s="334">
        <f t="shared" si="31"/>
        <v>141.71091729999998</v>
      </c>
      <c r="S92" s="334">
        <f t="shared" si="31"/>
        <v>0</v>
      </c>
      <c r="T92" s="334">
        <f t="shared" si="31"/>
        <v>0</v>
      </c>
      <c r="U92" s="334">
        <f t="shared" si="31"/>
        <v>8000</v>
      </c>
      <c r="V92" s="334">
        <f t="shared" si="31"/>
        <v>0</v>
      </c>
      <c r="W92" s="334">
        <f t="shared" si="31"/>
        <v>0</v>
      </c>
      <c r="X92" s="334">
        <f t="shared" si="31"/>
        <v>0</v>
      </c>
      <c r="Y92" s="334">
        <f t="shared" si="31"/>
        <v>0</v>
      </c>
      <c r="Z92" s="334">
        <f t="shared" si="31"/>
        <v>0</v>
      </c>
      <c r="AA92" s="334">
        <f t="shared" si="31"/>
        <v>0</v>
      </c>
      <c r="AB92" s="334">
        <f t="shared" si="31"/>
        <v>0</v>
      </c>
      <c r="AC92" s="334">
        <f t="shared" si="31"/>
        <v>0</v>
      </c>
      <c r="AD92" s="334">
        <f t="shared" si="31"/>
        <v>0</v>
      </c>
    </row>
    <row r="93" spans="5:30" ht="22.8" x14ac:dyDescent="0.2">
      <c r="F93" s="94" t="str">
        <f>STRAT1_IND4</f>
        <v>El marco legislativo y reglamentario de la nutrición se ha fortalecido y está en funcionamiento.</v>
      </c>
      <c r="G93" s="94" t="str">
        <f ca="1">OFFSET(Variables_Lu!$D$10,Basic_Setup!H37,0)</f>
        <v>Governance</v>
      </c>
      <c r="H93" s="354">
        <f t="shared" si="22"/>
        <v>1264970.8383472222</v>
      </c>
      <c r="I93" s="355">
        <f t="shared" ref="I93:K93" si="32">I16/EXCHANGE_RATE</f>
        <v>1227859.1834105598</v>
      </c>
      <c r="J93" s="356">
        <f t="shared" si="32"/>
        <v>37111.654936662497</v>
      </c>
      <c r="K93" s="334">
        <f t="shared" si="32"/>
        <v>4749.4623333499994</v>
      </c>
      <c r="L93" s="334">
        <f t="shared" ref="L93:M93" si="33">L16/EXCHANGE_RATE</f>
        <v>544.92948383750002</v>
      </c>
      <c r="M93" s="334">
        <f t="shared" si="33"/>
        <v>1430</v>
      </c>
      <c r="N93" s="334">
        <f t="shared" ref="N93:AD93" si="34">N16/EXCHANGE_RATE</f>
        <v>153.07452425</v>
      </c>
      <c r="O93" s="334">
        <f t="shared" si="34"/>
        <v>65.854816600000007</v>
      </c>
      <c r="P93" s="334">
        <f t="shared" si="34"/>
        <v>23144.079714724998</v>
      </c>
      <c r="Q93" s="334">
        <f t="shared" si="34"/>
        <v>2882.5431466000005</v>
      </c>
      <c r="R93" s="334">
        <f t="shared" si="34"/>
        <v>141.71091729999998</v>
      </c>
      <c r="S93" s="334">
        <f t="shared" si="34"/>
        <v>0</v>
      </c>
      <c r="T93" s="334">
        <f t="shared" si="34"/>
        <v>0</v>
      </c>
      <c r="U93" s="334">
        <f t="shared" si="34"/>
        <v>4000</v>
      </c>
      <c r="V93" s="334">
        <f t="shared" si="34"/>
        <v>0</v>
      </c>
      <c r="W93" s="334">
        <f t="shared" si="34"/>
        <v>0</v>
      </c>
      <c r="X93" s="334">
        <f t="shared" si="34"/>
        <v>0</v>
      </c>
      <c r="Y93" s="334">
        <f t="shared" si="34"/>
        <v>0</v>
      </c>
      <c r="Z93" s="334">
        <f t="shared" si="34"/>
        <v>0</v>
      </c>
      <c r="AA93" s="334">
        <f t="shared" si="34"/>
        <v>0</v>
      </c>
      <c r="AB93" s="334">
        <f t="shared" si="34"/>
        <v>0</v>
      </c>
      <c r="AC93" s="334">
        <f t="shared" si="34"/>
        <v>0</v>
      </c>
      <c r="AD93" s="334">
        <f t="shared" si="34"/>
        <v>0</v>
      </c>
    </row>
    <row r="94" spans="5:30" ht="12" x14ac:dyDescent="0.2">
      <c r="F94" s="94" t="str">
        <f>STRAT1_IND5</f>
        <v>Objetivo estratégico 1 Indicador 5</v>
      </c>
      <c r="G94" s="94" t="str">
        <f ca="1">OFFSET(Variables_Lu!$D$10,Basic_Setup!H38,0)</f>
        <v>Governance</v>
      </c>
      <c r="H94" s="354">
        <f t="shared" si="22"/>
        <v>0</v>
      </c>
      <c r="I94" s="355">
        <f t="shared" ref="I94:K94" si="35">I17/EXCHANGE_RATE</f>
        <v>0</v>
      </c>
      <c r="J94" s="356">
        <f t="shared" si="35"/>
        <v>0</v>
      </c>
      <c r="K94" s="334">
        <f t="shared" si="35"/>
        <v>0</v>
      </c>
      <c r="L94" s="334">
        <f t="shared" ref="L94:M94" si="36">L17/EXCHANGE_RATE</f>
        <v>0</v>
      </c>
      <c r="M94" s="334">
        <f t="shared" si="36"/>
        <v>0</v>
      </c>
      <c r="N94" s="334">
        <f t="shared" ref="N94:AD94" si="37">N17/EXCHANGE_RATE</f>
        <v>0</v>
      </c>
      <c r="O94" s="334">
        <f t="shared" si="37"/>
        <v>0</v>
      </c>
      <c r="P94" s="334">
        <f t="shared" si="37"/>
        <v>0</v>
      </c>
      <c r="Q94" s="334">
        <f t="shared" si="37"/>
        <v>0</v>
      </c>
      <c r="R94" s="334">
        <f t="shared" si="37"/>
        <v>0</v>
      </c>
      <c r="S94" s="334">
        <f t="shared" si="37"/>
        <v>0</v>
      </c>
      <c r="T94" s="334">
        <f t="shared" si="37"/>
        <v>0</v>
      </c>
      <c r="U94" s="334">
        <f t="shared" si="37"/>
        <v>0</v>
      </c>
      <c r="V94" s="334">
        <f t="shared" si="37"/>
        <v>0</v>
      </c>
      <c r="W94" s="334">
        <f t="shared" si="37"/>
        <v>0</v>
      </c>
      <c r="X94" s="334">
        <f t="shared" si="37"/>
        <v>0</v>
      </c>
      <c r="Y94" s="334">
        <f t="shared" si="37"/>
        <v>0</v>
      </c>
      <c r="Z94" s="334">
        <f t="shared" si="37"/>
        <v>0</v>
      </c>
      <c r="AA94" s="334">
        <f t="shared" si="37"/>
        <v>0</v>
      </c>
      <c r="AB94" s="334">
        <f t="shared" si="37"/>
        <v>0</v>
      </c>
      <c r="AC94" s="334">
        <f t="shared" si="37"/>
        <v>0</v>
      </c>
      <c r="AD94" s="334">
        <f t="shared" si="37"/>
        <v>0</v>
      </c>
    </row>
    <row r="95" spans="5:30" ht="22.8" x14ac:dyDescent="0.2">
      <c r="F95" s="332" t="str">
        <f>"Subtotal: "&amp;E89</f>
        <v>Subtotal: Objetivo estratégico 1: Fortalecer la gobernanza de la nutrición</v>
      </c>
      <c r="G95" s="333"/>
      <c r="H95" s="357">
        <f t="shared" si="22"/>
        <v>5059883.3533888888</v>
      </c>
      <c r="I95" s="358">
        <f t="shared" ref="I95:K95" si="38">I18/EXCHANGE_RATE</f>
        <v>2887692.7336422391</v>
      </c>
      <c r="J95" s="358">
        <f t="shared" si="38"/>
        <v>2172190.6197466501</v>
      </c>
      <c r="K95" s="337">
        <f t="shared" si="38"/>
        <v>18997.849333399998</v>
      </c>
      <c r="L95" s="337">
        <f t="shared" ref="L95:M95" si="39">L18/EXCHANGE_RATE</f>
        <v>2179.7179353500001</v>
      </c>
      <c r="M95" s="337">
        <f t="shared" si="39"/>
        <v>5720</v>
      </c>
      <c r="N95" s="337">
        <f t="shared" ref="N95:AD95" si="40">N18/EXCHANGE_RATE</f>
        <v>612.29809699999998</v>
      </c>
      <c r="O95" s="337">
        <f t="shared" si="40"/>
        <v>263.41926640000003</v>
      </c>
      <c r="P95" s="337">
        <f t="shared" si="40"/>
        <v>92576.318858899991</v>
      </c>
      <c r="Q95" s="337">
        <f t="shared" si="40"/>
        <v>11530.172586400002</v>
      </c>
      <c r="R95" s="337">
        <f t="shared" si="40"/>
        <v>566.84366919999991</v>
      </c>
      <c r="S95" s="337">
        <f t="shared" si="40"/>
        <v>0</v>
      </c>
      <c r="T95" s="337">
        <f t="shared" si="40"/>
        <v>0</v>
      </c>
      <c r="U95" s="337">
        <f t="shared" si="40"/>
        <v>40000</v>
      </c>
      <c r="V95" s="337">
        <f t="shared" si="40"/>
        <v>25000</v>
      </c>
      <c r="W95" s="337">
        <f t="shared" si="40"/>
        <v>1136844</v>
      </c>
      <c r="X95" s="337">
        <f t="shared" si="40"/>
        <v>87900</v>
      </c>
      <c r="Y95" s="337">
        <f t="shared" si="40"/>
        <v>750000</v>
      </c>
      <c r="Z95" s="337">
        <f t="shared" si="40"/>
        <v>0</v>
      </c>
      <c r="AA95" s="337">
        <f t="shared" si="40"/>
        <v>0</v>
      </c>
      <c r="AB95" s="337">
        <f t="shared" si="40"/>
        <v>0</v>
      </c>
      <c r="AC95" s="337">
        <f t="shared" si="40"/>
        <v>0</v>
      </c>
      <c r="AD95" s="337">
        <f t="shared" si="40"/>
        <v>0</v>
      </c>
    </row>
    <row r="96" spans="5:30" ht="12" x14ac:dyDescent="0.2">
      <c r="E96" s="301" t="str">
        <f>Strategy2</f>
        <v>Objetivo estratégico 2: Fortalecer el acceso al tratamiento y a los servicios de salud y nutrición de calidad, así como al tratamiento de todas las formas de malnutrición</v>
      </c>
      <c r="G96" s="94"/>
      <c r="H96" s="354"/>
      <c r="I96" s="355"/>
      <c r="J96" s="359"/>
      <c r="K96" s="334"/>
      <c r="L96" s="334"/>
      <c r="M96" s="334"/>
      <c r="N96" s="334"/>
      <c r="O96" s="334"/>
      <c r="P96" s="334"/>
      <c r="Q96" s="334"/>
      <c r="R96" s="334"/>
      <c r="S96" s="334"/>
      <c r="T96" s="334"/>
      <c r="U96" s="334"/>
      <c r="V96" s="334"/>
      <c r="W96" s="334"/>
      <c r="X96" s="334"/>
      <c r="Y96" s="334"/>
      <c r="Z96" s="334"/>
      <c r="AA96" s="334"/>
      <c r="AB96" s="334"/>
      <c r="AC96" s="334"/>
      <c r="AD96" s="334"/>
    </row>
    <row r="97" spans="5:30" ht="34.200000000000003" x14ac:dyDescent="0.2">
      <c r="F97" s="94" t="str">
        <f>STRAT2_IND1</f>
        <v>Se fortalece el acceso y la utilización sostenible de los servicios de salud y nutrición para los niños menores de 5 años, los adolescentes, las mujeres embarazadas y lactantes, y los demás grupos vulnerables</v>
      </c>
      <c r="G97" s="94" t="str">
        <f ca="1">OFFSET(Variables_Lu!$D$10,Basic_Setup!H40,0)</f>
        <v>Nutrition-specific</v>
      </c>
      <c r="H97" s="354">
        <f t="shared" si="22"/>
        <v>22103294.371011868</v>
      </c>
      <c r="I97" s="355">
        <f t="shared" ref="I97:K97" si="41">I20/EXCHANGE_RATE</f>
        <v>-2178864.0360531872</v>
      </c>
      <c r="J97" s="356">
        <f t="shared" si="41"/>
        <v>24282158.407065056</v>
      </c>
      <c r="K97" s="334">
        <f t="shared" si="41"/>
        <v>251325.71513977085</v>
      </c>
      <c r="L97" s="334">
        <f t="shared" ref="L97:M97" si="42">L20/EXCHANGE_RATE</f>
        <v>28835.851853067714</v>
      </c>
      <c r="M97" s="334">
        <f t="shared" si="42"/>
        <v>75670.833333333328</v>
      </c>
      <c r="N97" s="334">
        <f t="shared" ref="N97:AD97" si="43">N20/EXCHANGE_RATE</f>
        <v>8100.1935748958331</v>
      </c>
      <c r="O97" s="334">
        <f t="shared" si="43"/>
        <v>3484.8173784166665</v>
      </c>
      <c r="P97" s="334">
        <f t="shared" si="43"/>
        <v>1224707.5515708646</v>
      </c>
      <c r="Q97" s="334">
        <f t="shared" si="43"/>
        <v>152534.57484091667</v>
      </c>
      <c r="R97" s="334">
        <f t="shared" si="43"/>
        <v>7498.8693737916656</v>
      </c>
      <c r="S97" s="334">
        <f t="shared" si="43"/>
        <v>0</v>
      </c>
      <c r="T97" s="334">
        <f t="shared" si="43"/>
        <v>0</v>
      </c>
      <c r="U97" s="334">
        <f t="shared" si="43"/>
        <v>15000000</v>
      </c>
      <c r="V97" s="334">
        <f t="shared" si="43"/>
        <v>30000</v>
      </c>
      <c r="W97" s="334">
        <f t="shared" si="43"/>
        <v>0</v>
      </c>
      <c r="X97" s="334">
        <f t="shared" si="43"/>
        <v>0</v>
      </c>
      <c r="Y97" s="334">
        <f t="shared" si="43"/>
        <v>7500000</v>
      </c>
      <c r="Z97" s="334">
        <f t="shared" si="43"/>
        <v>0</v>
      </c>
      <c r="AA97" s="334">
        <f t="shared" si="43"/>
        <v>0</v>
      </c>
      <c r="AB97" s="334">
        <f t="shared" si="43"/>
        <v>0</v>
      </c>
      <c r="AC97" s="334">
        <f t="shared" si="43"/>
        <v>0</v>
      </c>
      <c r="AD97" s="334">
        <f t="shared" si="43"/>
        <v>0</v>
      </c>
    </row>
    <row r="98" spans="5:30" ht="45.6" x14ac:dyDescent="0.2">
      <c r="F98" s="94" t="str">
        <f>STRAT2_IND2</f>
        <v xml:space="preserve">Se reduce la prevalencia de enfermedades relacionadas con la prevalencia de la malnutrición (paludismo, diarrea, neumonía, parásitos intestinales, VIH, TNM) en lactantes, adolescentes y mujeres en edad reproductiva. </v>
      </c>
      <c r="G98" s="94" t="str">
        <f ca="1">OFFSET(Variables_Lu!$D$10,Basic_Setup!H41,0)</f>
        <v>Nutrition-sensitive</v>
      </c>
      <c r="H98" s="354">
        <f t="shared" si="22"/>
        <v>22103294.371011868</v>
      </c>
      <c r="I98" s="355">
        <f t="shared" ref="I98:K98" si="44">I21/EXCHANGE_RATE</f>
        <v>6283198.9639468128</v>
      </c>
      <c r="J98" s="356">
        <f t="shared" si="44"/>
        <v>15820095.407065056</v>
      </c>
      <c r="K98" s="334">
        <f t="shared" si="44"/>
        <v>251325.71513977085</v>
      </c>
      <c r="L98" s="334">
        <f t="shared" ref="L98:M98" si="45">L21/EXCHANGE_RATE</f>
        <v>28835.851853067714</v>
      </c>
      <c r="M98" s="334">
        <f t="shared" si="45"/>
        <v>75670.833333333328</v>
      </c>
      <c r="N98" s="334">
        <f t="shared" ref="N98:AD98" si="46">N21/EXCHANGE_RATE</f>
        <v>8100.1935748958331</v>
      </c>
      <c r="O98" s="334">
        <f t="shared" si="46"/>
        <v>3484.8173784166665</v>
      </c>
      <c r="P98" s="334">
        <f t="shared" si="46"/>
        <v>1224707.5515708646</v>
      </c>
      <c r="Q98" s="334">
        <f t="shared" si="46"/>
        <v>152534.57484091667</v>
      </c>
      <c r="R98" s="334">
        <f t="shared" si="46"/>
        <v>7498.8693737916656</v>
      </c>
      <c r="S98" s="334">
        <f t="shared" si="46"/>
        <v>0</v>
      </c>
      <c r="T98" s="334">
        <f t="shared" si="46"/>
        <v>0</v>
      </c>
      <c r="U98" s="334">
        <f t="shared" si="46"/>
        <v>2500000</v>
      </c>
      <c r="V98" s="334">
        <f t="shared" si="46"/>
        <v>45000</v>
      </c>
      <c r="W98" s="334">
        <f t="shared" si="46"/>
        <v>11522937</v>
      </c>
      <c r="X98" s="334">
        <f t="shared" si="46"/>
        <v>0</v>
      </c>
      <c r="Y98" s="334">
        <f t="shared" si="46"/>
        <v>0</v>
      </c>
      <c r="Z98" s="334">
        <f t="shared" si="46"/>
        <v>0</v>
      </c>
      <c r="AA98" s="334">
        <f t="shared" si="46"/>
        <v>0</v>
      </c>
      <c r="AB98" s="334">
        <f t="shared" si="46"/>
        <v>0</v>
      </c>
      <c r="AC98" s="334">
        <f t="shared" si="46"/>
        <v>0</v>
      </c>
      <c r="AD98" s="334">
        <f t="shared" si="46"/>
        <v>0</v>
      </c>
    </row>
    <row r="99" spans="5:30" ht="12" x14ac:dyDescent="0.2">
      <c r="F99" s="94" t="str">
        <f>STRAT2_IND3</f>
        <v>Se refuerzan las intervenciones comunitarias en materia de nutrición.</v>
      </c>
      <c r="G99" s="94" t="str">
        <f ca="1">OFFSET(Variables_Lu!$D$10,Basic_Setup!H42,0)</f>
        <v>Nutrition-specific</v>
      </c>
      <c r="H99" s="354">
        <f t="shared" si="22"/>
        <v>22103294.371011868</v>
      </c>
      <c r="I99" s="355">
        <f t="shared" ref="I99:K99" si="47">I22/EXCHANGE_RATE</f>
        <v>13851135.963946814</v>
      </c>
      <c r="J99" s="356">
        <f t="shared" si="47"/>
        <v>8252158.4070650581</v>
      </c>
      <c r="K99" s="334">
        <f t="shared" si="47"/>
        <v>251325.71513977085</v>
      </c>
      <c r="L99" s="334">
        <f t="shared" ref="L99:M99" si="48">L22/EXCHANGE_RATE</f>
        <v>28835.851853067714</v>
      </c>
      <c r="M99" s="334">
        <f t="shared" si="48"/>
        <v>75670.833333333328</v>
      </c>
      <c r="N99" s="334">
        <f t="shared" ref="N99:AD99" si="49">N22/EXCHANGE_RATE</f>
        <v>8100.1935748958331</v>
      </c>
      <c r="O99" s="334">
        <f t="shared" si="49"/>
        <v>3484.8173784166665</v>
      </c>
      <c r="P99" s="334">
        <f t="shared" si="49"/>
        <v>1224707.5515708646</v>
      </c>
      <c r="Q99" s="334">
        <f t="shared" si="49"/>
        <v>152534.57484091667</v>
      </c>
      <c r="R99" s="334">
        <f t="shared" si="49"/>
        <v>7498.8693737916656</v>
      </c>
      <c r="S99" s="334">
        <f t="shared" si="49"/>
        <v>0</v>
      </c>
      <c r="T99" s="334">
        <f t="shared" si="49"/>
        <v>0</v>
      </c>
      <c r="U99" s="334">
        <f t="shared" si="49"/>
        <v>6500000</v>
      </c>
      <c r="V99" s="334">
        <f t="shared" si="49"/>
        <v>0</v>
      </c>
      <c r="W99" s="334">
        <f t="shared" si="49"/>
        <v>0</v>
      </c>
      <c r="X99" s="334">
        <f t="shared" si="49"/>
        <v>0</v>
      </c>
      <c r="Y99" s="334">
        <f t="shared" si="49"/>
        <v>0</v>
      </c>
      <c r="Z99" s="334">
        <f t="shared" si="49"/>
        <v>0</v>
      </c>
      <c r="AA99" s="334">
        <f t="shared" si="49"/>
        <v>0</v>
      </c>
      <c r="AB99" s="334">
        <f t="shared" si="49"/>
        <v>0</v>
      </c>
      <c r="AC99" s="334">
        <f t="shared" si="49"/>
        <v>0</v>
      </c>
      <c r="AD99" s="334">
        <f t="shared" si="49"/>
        <v>0</v>
      </c>
    </row>
    <row r="100" spans="5:30" ht="12" x14ac:dyDescent="0.2">
      <c r="F100" s="94" t="str">
        <f>STRAT2_IND4</f>
        <v>Objetivo estratégico 2 Indicador 4</v>
      </c>
      <c r="G100" s="94" t="str">
        <f ca="1">OFFSET(Variables_Lu!$D$10,Basic_Setup!H43,0)</f>
        <v>Nutrition-specific</v>
      </c>
      <c r="H100" s="354">
        <f t="shared" si="22"/>
        <v>0</v>
      </c>
      <c r="I100" s="355">
        <f t="shared" ref="I100:K100" si="50">I23/EXCHANGE_RATE</f>
        <v>0</v>
      </c>
      <c r="J100" s="356">
        <f t="shared" si="50"/>
        <v>0</v>
      </c>
      <c r="K100" s="334">
        <f t="shared" si="50"/>
        <v>0</v>
      </c>
      <c r="L100" s="334">
        <f t="shared" ref="L100:M100" si="51">L23/EXCHANGE_RATE</f>
        <v>0</v>
      </c>
      <c r="M100" s="334">
        <f t="shared" si="51"/>
        <v>0</v>
      </c>
      <c r="N100" s="334">
        <f t="shared" ref="N100:AD100" si="52">N23/EXCHANGE_RATE</f>
        <v>0</v>
      </c>
      <c r="O100" s="334">
        <f t="shared" si="52"/>
        <v>0</v>
      </c>
      <c r="P100" s="334">
        <f t="shared" si="52"/>
        <v>0</v>
      </c>
      <c r="Q100" s="334">
        <f t="shared" si="52"/>
        <v>0</v>
      </c>
      <c r="R100" s="334">
        <f t="shared" si="52"/>
        <v>0</v>
      </c>
      <c r="S100" s="334">
        <f t="shared" si="52"/>
        <v>0</v>
      </c>
      <c r="T100" s="334">
        <f t="shared" si="52"/>
        <v>0</v>
      </c>
      <c r="U100" s="334">
        <f t="shared" si="52"/>
        <v>0</v>
      </c>
      <c r="V100" s="334">
        <f t="shared" si="52"/>
        <v>0</v>
      </c>
      <c r="W100" s="334">
        <f t="shared" si="52"/>
        <v>0</v>
      </c>
      <c r="X100" s="334">
        <f t="shared" si="52"/>
        <v>0</v>
      </c>
      <c r="Y100" s="334">
        <f t="shared" si="52"/>
        <v>0</v>
      </c>
      <c r="Z100" s="334">
        <f t="shared" si="52"/>
        <v>0</v>
      </c>
      <c r="AA100" s="334">
        <f t="shared" si="52"/>
        <v>0</v>
      </c>
      <c r="AB100" s="334">
        <f t="shared" si="52"/>
        <v>0</v>
      </c>
      <c r="AC100" s="334">
        <f t="shared" si="52"/>
        <v>0</v>
      </c>
      <c r="AD100" s="334">
        <f t="shared" si="52"/>
        <v>0</v>
      </c>
    </row>
    <row r="101" spans="5:30" ht="12" x14ac:dyDescent="0.2">
      <c r="F101" s="94" t="str">
        <f>STRAT2_IND5</f>
        <v>Objetivo estratégico 2 Indicador 5</v>
      </c>
      <c r="G101" s="94" t="str">
        <f ca="1">OFFSET(Variables_Lu!$D$10,Basic_Setup!H44,0)</f>
        <v>Nutrition-specific</v>
      </c>
      <c r="H101" s="354">
        <f t="shared" si="22"/>
        <v>0</v>
      </c>
      <c r="I101" s="355">
        <f t="shared" ref="I101:K101" si="53">I24/EXCHANGE_RATE</f>
        <v>0</v>
      </c>
      <c r="J101" s="356">
        <f t="shared" si="53"/>
        <v>0</v>
      </c>
      <c r="K101" s="334">
        <f t="shared" si="53"/>
        <v>0</v>
      </c>
      <c r="L101" s="334">
        <f t="shared" ref="L101:M101" si="54">L24/EXCHANGE_RATE</f>
        <v>0</v>
      </c>
      <c r="M101" s="334">
        <f t="shared" si="54"/>
        <v>0</v>
      </c>
      <c r="N101" s="334">
        <f t="shared" ref="N101:AD101" si="55">N24/EXCHANGE_RATE</f>
        <v>0</v>
      </c>
      <c r="O101" s="334">
        <f t="shared" si="55"/>
        <v>0</v>
      </c>
      <c r="P101" s="334">
        <f t="shared" si="55"/>
        <v>0</v>
      </c>
      <c r="Q101" s="334">
        <f t="shared" si="55"/>
        <v>0</v>
      </c>
      <c r="R101" s="334">
        <f t="shared" si="55"/>
        <v>0</v>
      </c>
      <c r="S101" s="334">
        <f t="shared" si="55"/>
        <v>0</v>
      </c>
      <c r="T101" s="334">
        <f t="shared" si="55"/>
        <v>0</v>
      </c>
      <c r="U101" s="334">
        <f t="shared" si="55"/>
        <v>0</v>
      </c>
      <c r="V101" s="334">
        <f t="shared" si="55"/>
        <v>0</v>
      </c>
      <c r="W101" s="334">
        <f t="shared" si="55"/>
        <v>0</v>
      </c>
      <c r="X101" s="334">
        <f t="shared" si="55"/>
        <v>0</v>
      </c>
      <c r="Y101" s="334">
        <f t="shared" si="55"/>
        <v>0</v>
      </c>
      <c r="Z101" s="334">
        <f t="shared" si="55"/>
        <v>0</v>
      </c>
      <c r="AA101" s="334">
        <f t="shared" si="55"/>
        <v>0</v>
      </c>
      <c r="AB101" s="334">
        <f t="shared" si="55"/>
        <v>0</v>
      </c>
      <c r="AC101" s="334">
        <f t="shared" si="55"/>
        <v>0</v>
      </c>
      <c r="AD101" s="334">
        <f t="shared" si="55"/>
        <v>0</v>
      </c>
    </row>
    <row r="102" spans="5:30" ht="30.75" customHeight="1" x14ac:dyDescent="0.2">
      <c r="F102" s="332" t="str">
        <f>"Subtotal: "&amp;E96</f>
        <v>Subtotal: Objetivo estratégico 2: Fortalecer el acceso al tratamiento y a los servicios de salud y nutrición de calidad, así como al tratamiento de todas las formas de malnutrición</v>
      </c>
      <c r="G102" s="333"/>
      <c r="H102" s="357">
        <f t="shared" si="22"/>
        <v>66309883.113035612</v>
      </c>
      <c r="I102" s="358">
        <f t="shared" ref="I102:K102" si="56">I25/EXCHANGE_RATE</f>
        <v>17955470.891840439</v>
      </c>
      <c r="J102" s="358">
        <f t="shared" si="56"/>
        <v>48354412.221195169</v>
      </c>
      <c r="K102" s="337">
        <f t="shared" si="56"/>
        <v>753977.14541931264</v>
      </c>
      <c r="L102" s="337">
        <f t="shared" ref="L102:M102" si="57">L25/EXCHANGE_RATE</f>
        <v>86507.555559203145</v>
      </c>
      <c r="M102" s="337">
        <f t="shared" si="57"/>
        <v>227012.5</v>
      </c>
      <c r="N102" s="337">
        <f t="shared" ref="N102:AD102" si="58">N25/EXCHANGE_RATE</f>
        <v>24300.580724687497</v>
      </c>
      <c r="O102" s="337">
        <f t="shared" si="58"/>
        <v>10454.452135250001</v>
      </c>
      <c r="P102" s="337">
        <f t="shared" si="58"/>
        <v>3674122.6547125932</v>
      </c>
      <c r="Q102" s="337">
        <f t="shared" si="58"/>
        <v>457603.72452274995</v>
      </c>
      <c r="R102" s="337">
        <f t="shared" si="58"/>
        <v>22496.608121375</v>
      </c>
      <c r="S102" s="337">
        <f t="shared" si="58"/>
        <v>0</v>
      </c>
      <c r="T102" s="337">
        <f t="shared" si="58"/>
        <v>0</v>
      </c>
      <c r="U102" s="337">
        <f t="shared" si="58"/>
        <v>24000000</v>
      </c>
      <c r="V102" s="337">
        <f t="shared" si="58"/>
        <v>75000</v>
      </c>
      <c r="W102" s="337">
        <f t="shared" si="58"/>
        <v>11522937</v>
      </c>
      <c r="X102" s="337">
        <f t="shared" si="58"/>
        <v>0</v>
      </c>
      <c r="Y102" s="337">
        <f t="shared" si="58"/>
        <v>7500000</v>
      </c>
      <c r="Z102" s="337">
        <f t="shared" si="58"/>
        <v>0</v>
      </c>
      <c r="AA102" s="337">
        <f t="shared" si="58"/>
        <v>0</v>
      </c>
      <c r="AB102" s="337">
        <f t="shared" si="58"/>
        <v>0</v>
      </c>
      <c r="AC102" s="337">
        <f t="shared" si="58"/>
        <v>0</v>
      </c>
      <c r="AD102" s="337">
        <f t="shared" si="58"/>
        <v>0</v>
      </c>
    </row>
    <row r="103" spans="5:30" ht="12" x14ac:dyDescent="0.2">
      <c r="E103" s="301" t="str">
        <f>Strategy3</f>
        <v>Objetivo estratégico 3: Aumentar la disponibilidad y el acceso a alimentos nutritivos de alto valor, seguros y diversificados</v>
      </c>
      <c r="G103" s="94"/>
      <c r="H103" s="354"/>
      <c r="I103" s="355"/>
      <c r="J103" s="359"/>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5:30" ht="22.8" x14ac:dyDescent="0.2">
      <c r="F104" s="94" t="str">
        <f>STRAT3_IND1</f>
        <v xml:space="preserve">Aumenta la disponibilidad y el acceso a alimentos de alto valor nutritivo en los hogares. </v>
      </c>
      <c r="G104" s="94" t="str">
        <f ca="1">OFFSET(Variables_Lu!$D$10,Basic_Setup!H46,0)</f>
        <v>Nutrition-specific</v>
      </c>
      <c r="H104" s="354">
        <f t="shared" si="22"/>
        <v>119234659.21738626</v>
      </c>
      <c r="I104" s="355">
        <f t="shared" ref="I104:K104" si="59">I27/EXCHANGE_RATE</f>
        <v>20499412.140769705</v>
      </c>
      <c r="J104" s="356">
        <f t="shared" si="59"/>
        <v>98735247.076616555</v>
      </c>
      <c r="K104" s="334">
        <f t="shared" si="59"/>
        <v>2971976.0550937625</v>
      </c>
      <c r="L104" s="334">
        <f t="shared" ref="L104:M104" si="60">L27/EXCHANGE_RATE</f>
        <v>340989.62451131566</v>
      </c>
      <c r="M104" s="334">
        <f t="shared" si="60"/>
        <v>894822.5</v>
      </c>
      <c r="N104" s="334">
        <f t="shared" ref="N104:AD104" si="61">N27/EXCHANGE_RATE</f>
        <v>95786.383549437509</v>
      </c>
      <c r="O104" s="334">
        <f t="shared" si="61"/>
        <v>41208.651487450006</v>
      </c>
      <c r="P104" s="334">
        <f t="shared" si="61"/>
        <v>14482407.881489169</v>
      </c>
      <c r="Q104" s="334">
        <f t="shared" si="61"/>
        <v>1803751.3739849501</v>
      </c>
      <c r="R104" s="334">
        <f t="shared" si="61"/>
        <v>88675.606500475013</v>
      </c>
      <c r="S104" s="334">
        <f t="shared" si="61"/>
        <v>0</v>
      </c>
      <c r="T104" s="334">
        <f t="shared" si="61"/>
        <v>0</v>
      </c>
      <c r="U104" s="334">
        <f t="shared" si="61"/>
        <v>0</v>
      </c>
      <c r="V104" s="334">
        <f t="shared" si="61"/>
        <v>0</v>
      </c>
      <c r="W104" s="334">
        <f t="shared" si="61"/>
        <v>72652855</v>
      </c>
      <c r="X104" s="334">
        <f t="shared" si="61"/>
        <v>2237774</v>
      </c>
      <c r="Y104" s="334">
        <f t="shared" si="61"/>
        <v>3125000</v>
      </c>
      <c r="Z104" s="334">
        <f t="shared" si="61"/>
        <v>0</v>
      </c>
      <c r="AA104" s="334">
        <f t="shared" si="61"/>
        <v>0</v>
      </c>
      <c r="AB104" s="334">
        <f t="shared" si="61"/>
        <v>0</v>
      </c>
      <c r="AC104" s="334">
        <f t="shared" si="61"/>
        <v>0</v>
      </c>
      <c r="AD104" s="334">
        <f t="shared" si="61"/>
        <v>0</v>
      </c>
    </row>
    <row r="105" spans="5:30" ht="12" x14ac:dyDescent="0.2">
      <c r="F105" s="94" t="str">
        <f>STRAT3_IND2</f>
        <v xml:space="preserve"> La seguridad alimentaria está garantizada para toda la nación.</v>
      </c>
      <c r="G105" s="94" t="str">
        <f ca="1">OFFSET(Variables_Lu!$D$10,Basic_Setup!H47,0)</f>
        <v>Nutrition-sensitive</v>
      </c>
      <c r="H105" s="354">
        <f t="shared" si="22"/>
        <v>119234659.21738626</v>
      </c>
      <c r="I105" s="355">
        <f t="shared" ref="I105:K105" si="62">I28/EXCHANGE_RATE</f>
        <v>98515041.14076969</v>
      </c>
      <c r="J105" s="356">
        <f t="shared" si="62"/>
        <v>20719618.076616559</v>
      </c>
      <c r="K105" s="334">
        <f t="shared" si="62"/>
        <v>2971976.0550937625</v>
      </c>
      <c r="L105" s="334">
        <f t="shared" ref="L105:M105" si="63">L28/EXCHANGE_RATE</f>
        <v>340989.62451131566</v>
      </c>
      <c r="M105" s="334">
        <f t="shared" si="63"/>
        <v>894822.5</v>
      </c>
      <c r="N105" s="334">
        <f t="shared" ref="N105:AD105" si="64">N28/EXCHANGE_RATE</f>
        <v>95786.383549437509</v>
      </c>
      <c r="O105" s="334">
        <f t="shared" si="64"/>
        <v>41208.651487450006</v>
      </c>
      <c r="P105" s="334">
        <f t="shared" si="64"/>
        <v>14482407.881489169</v>
      </c>
      <c r="Q105" s="334">
        <f t="shared" si="64"/>
        <v>1803751.3739849501</v>
      </c>
      <c r="R105" s="334">
        <f t="shared" si="64"/>
        <v>88675.606500475013</v>
      </c>
      <c r="S105" s="334">
        <f t="shared" si="64"/>
        <v>0</v>
      </c>
      <c r="T105" s="334">
        <f t="shared" si="64"/>
        <v>0</v>
      </c>
      <c r="U105" s="334">
        <f t="shared" si="64"/>
        <v>0</v>
      </c>
      <c r="V105" s="334">
        <f t="shared" si="64"/>
        <v>0</v>
      </c>
      <c r="W105" s="334">
        <f t="shared" si="64"/>
        <v>0</v>
      </c>
      <c r="X105" s="334">
        <f t="shared" si="64"/>
        <v>0</v>
      </c>
      <c r="Y105" s="334">
        <f t="shared" si="64"/>
        <v>0</v>
      </c>
      <c r="Z105" s="334">
        <f t="shared" si="64"/>
        <v>0</v>
      </c>
      <c r="AA105" s="334">
        <f t="shared" si="64"/>
        <v>0</v>
      </c>
      <c r="AB105" s="334">
        <f t="shared" si="64"/>
        <v>0</v>
      </c>
      <c r="AC105" s="334">
        <f t="shared" si="64"/>
        <v>0</v>
      </c>
      <c r="AD105" s="334">
        <f t="shared" si="64"/>
        <v>0</v>
      </c>
    </row>
    <row r="106" spans="5:30" ht="12" x14ac:dyDescent="0.2">
      <c r="F106" s="94" t="str">
        <f>STRAT3_IND3</f>
        <v>Objetivo estratégico 3 Indicador 3</v>
      </c>
      <c r="G106" s="94" t="str">
        <f ca="1">OFFSET(Variables_Lu!$D$10,Basic_Setup!H48,0)</f>
        <v>Nutrition-specific</v>
      </c>
      <c r="H106" s="354">
        <f t="shared" si="22"/>
        <v>0</v>
      </c>
      <c r="I106" s="355">
        <f t="shared" ref="I106:K106" si="65">I29/EXCHANGE_RATE</f>
        <v>0</v>
      </c>
      <c r="J106" s="356">
        <f t="shared" si="65"/>
        <v>0</v>
      </c>
      <c r="K106" s="334">
        <f t="shared" si="65"/>
        <v>0</v>
      </c>
      <c r="L106" s="334">
        <f t="shared" ref="L106:M106" si="66">L29/EXCHANGE_RATE</f>
        <v>0</v>
      </c>
      <c r="M106" s="334">
        <f t="shared" si="66"/>
        <v>0</v>
      </c>
      <c r="N106" s="334">
        <f t="shared" ref="N106:AD106" si="67">N29/EXCHANGE_RATE</f>
        <v>0</v>
      </c>
      <c r="O106" s="334">
        <f t="shared" si="67"/>
        <v>0</v>
      </c>
      <c r="P106" s="334">
        <f t="shared" si="67"/>
        <v>0</v>
      </c>
      <c r="Q106" s="334">
        <f t="shared" si="67"/>
        <v>0</v>
      </c>
      <c r="R106" s="334">
        <f t="shared" si="67"/>
        <v>0</v>
      </c>
      <c r="S106" s="334">
        <f t="shared" si="67"/>
        <v>0</v>
      </c>
      <c r="T106" s="334">
        <f t="shared" si="67"/>
        <v>0</v>
      </c>
      <c r="U106" s="334">
        <f t="shared" si="67"/>
        <v>0</v>
      </c>
      <c r="V106" s="334">
        <f t="shared" si="67"/>
        <v>0</v>
      </c>
      <c r="W106" s="334">
        <f t="shared" si="67"/>
        <v>0</v>
      </c>
      <c r="X106" s="334">
        <f t="shared" si="67"/>
        <v>0</v>
      </c>
      <c r="Y106" s="334">
        <f t="shared" si="67"/>
        <v>0</v>
      </c>
      <c r="Z106" s="334">
        <f t="shared" si="67"/>
        <v>0</v>
      </c>
      <c r="AA106" s="334">
        <f t="shared" si="67"/>
        <v>0</v>
      </c>
      <c r="AB106" s="334">
        <f t="shared" si="67"/>
        <v>0</v>
      </c>
      <c r="AC106" s="334">
        <f t="shared" si="67"/>
        <v>0</v>
      </c>
      <c r="AD106" s="334">
        <f t="shared" si="67"/>
        <v>0</v>
      </c>
    </row>
    <row r="107" spans="5:30" ht="12" x14ac:dyDescent="0.2">
      <c r="F107" s="94" t="str">
        <f>STRAT3_IND4</f>
        <v>Objetivo estratégico 3 Indicador 4</v>
      </c>
      <c r="G107" s="94" t="str">
        <f ca="1">OFFSET(Variables_Lu!$D$10,Basic_Setup!H49,0)</f>
        <v>Nutrition-specific</v>
      </c>
      <c r="H107" s="354">
        <f t="shared" si="22"/>
        <v>0</v>
      </c>
      <c r="I107" s="355">
        <f t="shared" ref="I107:K107" si="68">I30/EXCHANGE_RATE</f>
        <v>0</v>
      </c>
      <c r="J107" s="356">
        <f t="shared" si="68"/>
        <v>0</v>
      </c>
      <c r="K107" s="334">
        <f t="shared" si="68"/>
        <v>0</v>
      </c>
      <c r="L107" s="334">
        <f t="shared" ref="L107:M107" si="69">L30/EXCHANGE_RATE</f>
        <v>0</v>
      </c>
      <c r="M107" s="334">
        <f t="shared" si="69"/>
        <v>0</v>
      </c>
      <c r="N107" s="334">
        <f t="shared" ref="N107:AD107" si="70">N30/EXCHANGE_RATE</f>
        <v>0</v>
      </c>
      <c r="O107" s="334">
        <f t="shared" si="70"/>
        <v>0</v>
      </c>
      <c r="P107" s="334">
        <f t="shared" si="70"/>
        <v>0</v>
      </c>
      <c r="Q107" s="334">
        <f t="shared" si="70"/>
        <v>0</v>
      </c>
      <c r="R107" s="334">
        <f t="shared" si="70"/>
        <v>0</v>
      </c>
      <c r="S107" s="334">
        <f t="shared" si="70"/>
        <v>0</v>
      </c>
      <c r="T107" s="334">
        <f t="shared" si="70"/>
        <v>0</v>
      </c>
      <c r="U107" s="334">
        <f t="shared" si="70"/>
        <v>0</v>
      </c>
      <c r="V107" s="334">
        <f t="shared" si="70"/>
        <v>0</v>
      </c>
      <c r="W107" s="334">
        <f t="shared" si="70"/>
        <v>0</v>
      </c>
      <c r="X107" s="334">
        <f t="shared" si="70"/>
        <v>0</v>
      </c>
      <c r="Y107" s="334">
        <f t="shared" si="70"/>
        <v>0</v>
      </c>
      <c r="Z107" s="334">
        <f t="shared" si="70"/>
        <v>0</v>
      </c>
      <c r="AA107" s="334">
        <f t="shared" si="70"/>
        <v>0</v>
      </c>
      <c r="AB107" s="334">
        <f t="shared" si="70"/>
        <v>0</v>
      </c>
      <c r="AC107" s="334">
        <f t="shared" si="70"/>
        <v>0</v>
      </c>
      <c r="AD107" s="334">
        <f t="shared" si="70"/>
        <v>0</v>
      </c>
    </row>
    <row r="108" spans="5:30" ht="12" x14ac:dyDescent="0.2">
      <c r="F108" s="94" t="str">
        <f>STRAT3_IND5</f>
        <v>Objetivo estratégico 3 Indicador 5</v>
      </c>
      <c r="G108" s="94" t="str">
        <f ca="1">OFFSET(Variables_Lu!$D$10,Basic_Setup!H50,0)</f>
        <v>Nutrition-specific</v>
      </c>
      <c r="H108" s="354">
        <f t="shared" si="22"/>
        <v>0</v>
      </c>
      <c r="I108" s="355">
        <f t="shared" ref="I108:K108" si="71">I31/EXCHANGE_RATE</f>
        <v>0</v>
      </c>
      <c r="J108" s="356">
        <f t="shared" si="71"/>
        <v>0</v>
      </c>
      <c r="K108" s="334">
        <f t="shared" si="71"/>
        <v>0</v>
      </c>
      <c r="L108" s="334">
        <f t="shared" ref="L108:M108" si="72">L31/EXCHANGE_RATE</f>
        <v>0</v>
      </c>
      <c r="M108" s="334">
        <f t="shared" si="72"/>
        <v>0</v>
      </c>
      <c r="N108" s="334">
        <f t="shared" ref="N108:AD108" si="73">N31/EXCHANGE_RATE</f>
        <v>0</v>
      </c>
      <c r="O108" s="334">
        <f t="shared" si="73"/>
        <v>0</v>
      </c>
      <c r="P108" s="334">
        <f t="shared" si="73"/>
        <v>0</v>
      </c>
      <c r="Q108" s="334">
        <f t="shared" si="73"/>
        <v>0</v>
      </c>
      <c r="R108" s="334">
        <f t="shared" si="73"/>
        <v>0</v>
      </c>
      <c r="S108" s="334">
        <f t="shared" si="73"/>
        <v>0</v>
      </c>
      <c r="T108" s="334">
        <f t="shared" si="73"/>
        <v>0</v>
      </c>
      <c r="U108" s="334">
        <f t="shared" si="73"/>
        <v>0</v>
      </c>
      <c r="V108" s="334">
        <f t="shared" si="73"/>
        <v>0</v>
      </c>
      <c r="W108" s="334">
        <f t="shared" si="73"/>
        <v>0</v>
      </c>
      <c r="X108" s="334">
        <f t="shared" si="73"/>
        <v>0</v>
      </c>
      <c r="Y108" s="334">
        <f t="shared" si="73"/>
        <v>0</v>
      </c>
      <c r="Z108" s="334">
        <f t="shared" si="73"/>
        <v>0</v>
      </c>
      <c r="AA108" s="334">
        <f t="shared" si="73"/>
        <v>0</v>
      </c>
      <c r="AB108" s="334">
        <f t="shared" si="73"/>
        <v>0</v>
      </c>
      <c r="AC108" s="334">
        <f t="shared" si="73"/>
        <v>0</v>
      </c>
      <c r="AD108" s="334">
        <f t="shared" si="73"/>
        <v>0</v>
      </c>
    </row>
    <row r="109" spans="5:30" ht="34.200000000000003" x14ac:dyDescent="0.2">
      <c r="F109" s="332" t="str">
        <f>"Subtotal: "&amp;E103</f>
        <v>Subtotal: Objetivo estratégico 3: Aumentar la disponibilidad y el acceso a alimentos nutritivos de alto valor, seguros y diversificados</v>
      </c>
      <c r="G109" s="333"/>
      <c r="H109" s="357">
        <f t="shared" si="22"/>
        <v>238469318.43477252</v>
      </c>
      <c r="I109" s="358">
        <f t="shared" ref="I109:K109" si="74">I32/EXCHANGE_RATE</f>
        <v>119014453.2815394</v>
      </c>
      <c r="J109" s="358">
        <f t="shared" si="74"/>
        <v>119454865.1532331</v>
      </c>
      <c r="K109" s="337">
        <f t="shared" si="74"/>
        <v>5943952.1101875249</v>
      </c>
      <c r="L109" s="337">
        <f t="shared" ref="L109:M109" si="75">L32/EXCHANGE_RATE</f>
        <v>681979.24902263132</v>
      </c>
      <c r="M109" s="337">
        <f t="shared" si="75"/>
        <v>1789645</v>
      </c>
      <c r="N109" s="337">
        <f t="shared" ref="N109:AD109" si="76">N32/EXCHANGE_RATE</f>
        <v>191572.76709887502</v>
      </c>
      <c r="O109" s="337">
        <f t="shared" si="76"/>
        <v>82417.302974900012</v>
      </c>
      <c r="P109" s="337">
        <f t="shared" si="76"/>
        <v>28964815.762978338</v>
      </c>
      <c r="Q109" s="337">
        <f t="shared" si="76"/>
        <v>3607502.7479699003</v>
      </c>
      <c r="R109" s="337">
        <f t="shared" si="76"/>
        <v>177351.21300095003</v>
      </c>
      <c r="S109" s="337">
        <f t="shared" si="76"/>
        <v>0</v>
      </c>
      <c r="T109" s="337">
        <f t="shared" si="76"/>
        <v>0</v>
      </c>
      <c r="U109" s="337">
        <f t="shared" si="76"/>
        <v>0</v>
      </c>
      <c r="V109" s="337">
        <f t="shared" si="76"/>
        <v>0</v>
      </c>
      <c r="W109" s="337">
        <f t="shared" si="76"/>
        <v>72652855</v>
      </c>
      <c r="X109" s="337">
        <f t="shared" si="76"/>
        <v>2237774</v>
      </c>
      <c r="Y109" s="337">
        <f t="shared" si="76"/>
        <v>3125000</v>
      </c>
      <c r="Z109" s="337">
        <f t="shared" si="76"/>
        <v>0</v>
      </c>
      <c r="AA109" s="337">
        <f t="shared" si="76"/>
        <v>0</v>
      </c>
      <c r="AB109" s="337">
        <f t="shared" si="76"/>
        <v>0</v>
      </c>
      <c r="AC109" s="337">
        <f t="shared" si="76"/>
        <v>0</v>
      </c>
      <c r="AD109" s="337">
        <f t="shared" si="76"/>
        <v>0</v>
      </c>
    </row>
    <row r="110" spans="5:30" ht="12" x14ac:dyDescent="0.2">
      <c r="E110" s="301" t="str">
        <f>Strategy4</f>
        <v>Objetivo estratégico 4: Fortalecer la protección social, la resiliencia de la respuesta a las emergencias y los desastres naturales.</v>
      </c>
      <c r="G110" s="94"/>
      <c r="H110" s="354"/>
      <c r="I110" s="355"/>
      <c r="J110" s="359"/>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5:30" ht="22.8" x14ac:dyDescent="0.2">
      <c r="F111" s="94" t="str">
        <f>STRAT4_IND1</f>
        <v xml:space="preserve">Se garantiza la protección social de los niños menores de 5 años, los adolescentes, FE/FA y otros grupos vulnerables. </v>
      </c>
      <c r="G111" s="94" t="str">
        <f ca="1">OFFSET(Variables_Lu!$D$10,Basic_Setup!H52,0)</f>
        <v>Nutrition-sensitive</v>
      </c>
      <c r="H111" s="354">
        <f t="shared" si="22"/>
        <v>35944194.336111702</v>
      </c>
      <c r="I111" s="355">
        <f t="shared" ref="I111:K111" si="77">I34/EXCHANGE_RATE</f>
        <v>7697545.8846723428</v>
      </c>
      <c r="J111" s="356">
        <f t="shared" si="77"/>
        <v>28246648.451439362</v>
      </c>
      <c r="K111" s="334">
        <f t="shared" si="77"/>
        <v>1672998.1069225376</v>
      </c>
      <c r="L111" s="334">
        <f t="shared" ref="L111:M111" si="78">L34/EXCHANGE_RATE</f>
        <v>191951.41068175939</v>
      </c>
      <c r="M111" s="334">
        <f t="shared" si="78"/>
        <v>503717.5</v>
      </c>
      <c r="N111" s="334">
        <f t="shared" ref="N111:AD111" si="79">N34/EXCHANGE_RATE</f>
        <v>53920.501167062495</v>
      </c>
      <c r="O111" s="334">
        <f t="shared" si="79"/>
        <v>23197.359147350002</v>
      </c>
      <c r="P111" s="334">
        <f t="shared" si="79"/>
        <v>8152502.0795118809</v>
      </c>
      <c r="Q111" s="334">
        <f t="shared" si="79"/>
        <v>1015375.8233898501</v>
      </c>
      <c r="R111" s="334">
        <f t="shared" si="79"/>
        <v>49917.670618925004</v>
      </c>
      <c r="S111" s="334">
        <f t="shared" si="79"/>
        <v>0</v>
      </c>
      <c r="T111" s="334">
        <f t="shared" si="79"/>
        <v>0</v>
      </c>
      <c r="U111" s="334">
        <f t="shared" si="79"/>
        <v>200000</v>
      </c>
      <c r="V111" s="334">
        <f t="shared" si="79"/>
        <v>0</v>
      </c>
      <c r="W111" s="334">
        <f t="shared" si="79"/>
        <v>13883068</v>
      </c>
      <c r="X111" s="334">
        <f t="shared" si="79"/>
        <v>0</v>
      </c>
      <c r="Y111" s="334">
        <f t="shared" si="79"/>
        <v>2500000</v>
      </c>
      <c r="Z111" s="334">
        <f t="shared" si="79"/>
        <v>0</v>
      </c>
      <c r="AA111" s="334">
        <f t="shared" si="79"/>
        <v>0</v>
      </c>
      <c r="AB111" s="334">
        <f t="shared" si="79"/>
        <v>0</v>
      </c>
      <c r="AC111" s="334">
        <f t="shared" si="79"/>
        <v>0</v>
      </c>
      <c r="AD111" s="334">
        <f t="shared" si="79"/>
        <v>0</v>
      </c>
    </row>
    <row r="112" spans="5:30" ht="34.200000000000003" x14ac:dyDescent="0.2">
      <c r="F112" s="94" t="str">
        <f>STRAT4_IND2</f>
        <v xml:space="preserve">Se fortalece la capacidad de resiliencia y el estado nutricional de las poblaciones vulnerables, incluidos los niños de las zonas desfavorecidas.  </v>
      </c>
      <c r="G112" s="94" t="str">
        <f ca="1">OFFSET(Variables_Lu!$D$10,Basic_Setup!H53,0)</f>
        <v>Nutrition-specific</v>
      </c>
      <c r="H112" s="354">
        <f t="shared" si="22"/>
        <v>35944194.336111702</v>
      </c>
      <c r="I112" s="355">
        <f t="shared" ref="I112:K112" si="80">I35/EXCHANGE_RATE</f>
        <v>23778713.884672344</v>
      </c>
      <c r="J112" s="356">
        <f t="shared" si="80"/>
        <v>12165480.451439364</v>
      </c>
      <c r="K112" s="334">
        <f t="shared" si="80"/>
        <v>1672998.1069225376</v>
      </c>
      <c r="L112" s="334">
        <f t="shared" ref="L112:M112" si="81">L35/EXCHANGE_RATE</f>
        <v>191951.41068175939</v>
      </c>
      <c r="M112" s="334">
        <f t="shared" si="81"/>
        <v>503717.5</v>
      </c>
      <c r="N112" s="334">
        <f t="shared" ref="N112:AD112" si="82">N35/EXCHANGE_RATE</f>
        <v>53920.501167062495</v>
      </c>
      <c r="O112" s="334">
        <f t="shared" si="82"/>
        <v>23197.359147350002</v>
      </c>
      <c r="P112" s="334">
        <f t="shared" si="82"/>
        <v>8152502.0795118809</v>
      </c>
      <c r="Q112" s="334">
        <f t="shared" si="82"/>
        <v>1015375.8233898501</v>
      </c>
      <c r="R112" s="334">
        <f t="shared" si="82"/>
        <v>49917.670618925004</v>
      </c>
      <c r="S112" s="334">
        <f t="shared" si="82"/>
        <v>0</v>
      </c>
      <c r="T112" s="334">
        <f t="shared" si="82"/>
        <v>0</v>
      </c>
      <c r="U112" s="334">
        <f t="shared" si="82"/>
        <v>200000</v>
      </c>
      <c r="V112" s="334">
        <f t="shared" si="82"/>
        <v>0</v>
      </c>
      <c r="W112" s="334">
        <f t="shared" si="82"/>
        <v>0</v>
      </c>
      <c r="X112" s="334">
        <f t="shared" si="82"/>
        <v>51900</v>
      </c>
      <c r="Y112" s="334">
        <f t="shared" si="82"/>
        <v>250000</v>
      </c>
      <c r="Z112" s="334">
        <f t="shared" si="82"/>
        <v>0</v>
      </c>
      <c r="AA112" s="334">
        <f t="shared" si="82"/>
        <v>0</v>
      </c>
      <c r="AB112" s="334">
        <f t="shared" si="82"/>
        <v>0</v>
      </c>
      <c r="AC112" s="334">
        <f t="shared" si="82"/>
        <v>0</v>
      </c>
      <c r="AD112" s="334">
        <f t="shared" si="82"/>
        <v>0</v>
      </c>
    </row>
    <row r="113" spans="5:30" ht="22.8" x14ac:dyDescent="0.2">
      <c r="F113" s="94" t="str">
        <f>STRAT4_IND3</f>
        <v xml:space="preserve"> Se introducen eficazmente intervenciones para emergencias y catástrofes naturales integrales de la nutrición.</v>
      </c>
      <c r="G113" s="94" t="str">
        <f ca="1">OFFSET(Variables_Lu!$D$10,Basic_Setup!H54,0)</f>
        <v>Nutrition-specific</v>
      </c>
      <c r="H113" s="354">
        <f t="shared" si="22"/>
        <v>35944194.336111702</v>
      </c>
      <c r="I113" s="355">
        <f t="shared" ref="I113:K113" si="83">I36/EXCHANGE_RATE</f>
        <v>22680613.884672344</v>
      </c>
      <c r="J113" s="356">
        <f t="shared" si="83"/>
        <v>13263580.451439364</v>
      </c>
      <c r="K113" s="334">
        <f t="shared" si="83"/>
        <v>1672998.1069225376</v>
      </c>
      <c r="L113" s="334">
        <f t="shared" ref="L113:M113" si="84">L36/EXCHANGE_RATE</f>
        <v>191951.41068175939</v>
      </c>
      <c r="M113" s="334">
        <f t="shared" si="84"/>
        <v>503717.5</v>
      </c>
      <c r="N113" s="334">
        <f t="shared" ref="N113:AD113" si="85">N36/EXCHANGE_RATE</f>
        <v>53920.501167062495</v>
      </c>
      <c r="O113" s="334">
        <f t="shared" si="85"/>
        <v>23197.359147350002</v>
      </c>
      <c r="P113" s="334">
        <f t="shared" si="85"/>
        <v>8152502.0795118809</v>
      </c>
      <c r="Q113" s="334">
        <f t="shared" si="85"/>
        <v>1015375.8233898501</v>
      </c>
      <c r="R113" s="334">
        <f t="shared" si="85"/>
        <v>49917.670618925004</v>
      </c>
      <c r="S113" s="334">
        <f t="shared" si="85"/>
        <v>0</v>
      </c>
      <c r="T113" s="334">
        <f t="shared" si="85"/>
        <v>0</v>
      </c>
      <c r="U113" s="334">
        <f t="shared" si="85"/>
        <v>1600000</v>
      </c>
      <c r="V113" s="334">
        <f t="shared" si="85"/>
        <v>0</v>
      </c>
      <c r="W113" s="334">
        <f t="shared" si="85"/>
        <v>0</v>
      </c>
      <c r="X113" s="334">
        <f t="shared" si="85"/>
        <v>0</v>
      </c>
      <c r="Y113" s="334">
        <f t="shared" si="85"/>
        <v>0</v>
      </c>
      <c r="Z113" s="334">
        <f t="shared" si="85"/>
        <v>0</v>
      </c>
      <c r="AA113" s="334">
        <f t="shared" si="85"/>
        <v>0</v>
      </c>
      <c r="AB113" s="334">
        <f t="shared" si="85"/>
        <v>0</v>
      </c>
      <c r="AC113" s="334">
        <f t="shared" si="85"/>
        <v>0</v>
      </c>
      <c r="AD113" s="334">
        <f t="shared" si="85"/>
        <v>0</v>
      </c>
    </row>
    <row r="114" spans="5:30" ht="12" x14ac:dyDescent="0.2">
      <c r="F114" s="94" t="str">
        <f>STRAT4_IND4</f>
        <v>Objetivo estratégico 4 Indicador 4</v>
      </c>
      <c r="G114" s="94" t="str">
        <f ca="1">OFFSET(Variables_Lu!$D$10,Basic_Setup!H55,0)</f>
        <v>Nutrition-specific</v>
      </c>
      <c r="H114" s="354">
        <f t="shared" si="22"/>
        <v>0</v>
      </c>
      <c r="I114" s="355">
        <f t="shared" ref="I114:K114" si="86">I37/EXCHANGE_RATE</f>
        <v>0</v>
      </c>
      <c r="J114" s="356">
        <f t="shared" si="86"/>
        <v>0</v>
      </c>
      <c r="K114" s="334">
        <f t="shared" si="86"/>
        <v>0</v>
      </c>
      <c r="L114" s="334">
        <f t="shared" ref="L114:M114" si="87">L37/EXCHANGE_RATE</f>
        <v>0</v>
      </c>
      <c r="M114" s="334">
        <f t="shared" si="87"/>
        <v>0</v>
      </c>
      <c r="N114" s="334">
        <f t="shared" ref="N114:AD114" si="88">N37/EXCHANGE_RATE</f>
        <v>0</v>
      </c>
      <c r="O114" s="334">
        <f t="shared" si="88"/>
        <v>0</v>
      </c>
      <c r="P114" s="334">
        <f t="shared" si="88"/>
        <v>0</v>
      </c>
      <c r="Q114" s="334">
        <f t="shared" si="88"/>
        <v>0</v>
      </c>
      <c r="R114" s="334">
        <f t="shared" si="88"/>
        <v>0</v>
      </c>
      <c r="S114" s="334">
        <f t="shared" si="88"/>
        <v>0</v>
      </c>
      <c r="T114" s="334">
        <f t="shared" si="88"/>
        <v>0</v>
      </c>
      <c r="U114" s="334">
        <f t="shared" si="88"/>
        <v>0</v>
      </c>
      <c r="V114" s="334">
        <f t="shared" si="88"/>
        <v>0</v>
      </c>
      <c r="W114" s="334">
        <f t="shared" si="88"/>
        <v>0</v>
      </c>
      <c r="X114" s="334">
        <f t="shared" si="88"/>
        <v>0</v>
      </c>
      <c r="Y114" s="334">
        <f t="shared" si="88"/>
        <v>0</v>
      </c>
      <c r="Z114" s="334">
        <f t="shared" si="88"/>
        <v>0</v>
      </c>
      <c r="AA114" s="334">
        <f t="shared" si="88"/>
        <v>0</v>
      </c>
      <c r="AB114" s="334">
        <f t="shared" si="88"/>
        <v>0</v>
      </c>
      <c r="AC114" s="334">
        <f t="shared" si="88"/>
        <v>0</v>
      </c>
      <c r="AD114" s="334">
        <f t="shared" si="88"/>
        <v>0</v>
      </c>
    </row>
    <row r="115" spans="5:30" ht="12" x14ac:dyDescent="0.2">
      <c r="F115" s="94" t="str">
        <f>STRAT4_IND5</f>
        <v>Objetivo estratégico 4 Indicador 5</v>
      </c>
      <c r="G115" s="94" t="str">
        <f ca="1">OFFSET(Variables_Lu!$D$10,Basic_Setup!H56,0)</f>
        <v>Nutrition-specific</v>
      </c>
      <c r="H115" s="354">
        <f t="shared" si="22"/>
        <v>0</v>
      </c>
      <c r="I115" s="355">
        <f t="shared" ref="I115:K115" si="89">I38/EXCHANGE_RATE</f>
        <v>0</v>
      </c>
      <c r="J115" s="356">
        <f t="shared" si="89"/>
        <v>0</v>
      </c>
      <c r="K115" s="334">
        <f t="shared" si="89"/>
        <v>0</v>
      </c>
      <c r="L115" s="334">
        <f t="shared" ref="L115:M115" si="90">L38/EXCHANGE_RATE</f>
        <v>0</v>
      </c>
      <c r="M115" s="334">
        <f t="shared" si="90"/>
        <v>0</v>
      </c>
      <c r="N115" s="334">
        <f t="shared" ref="N115:AD115" si="91">N38/EXCHANGE_RATE</f>
        <v>0</v>
      </c>
      <c r="O115" s="334">
        <f t="shared" si="91"/>
        <v>0</v>
      </c>
      <c r="P115" s="334">
        <f t="shared" si="91"/>
        <v>0</v>
      </c>
      <c r="Q115" s="334">
        <f t="shared" si="91"/>
        <v>0</v>
      </c>
      <c r="R115" s="334">
        <f t="shared" si="91"/>
        <v>0</v>
      </c>
      <c r="S115" s="334">
        <f t="shared" si="91"/>
        <v>0</v>
      </c>
      <c r="T115" s="334">
        <f t="shared" si="91"/>
        <v>0</v>
      </c>
      <c r="U115" s="334">
        <f t="shared" si="91"/>
        <v>0</v>
      </c>
      <c r="V115" s="334">
        <f t="shared" si="91"/>
        <v>0</v>
      </c>
      <c r="W115" s="334">
        <f t="shared" si="91"/>
        <v>0</v>
      </c>
      <c r="X115" s="334">
        <f t="shared" si="91"/>
        <v>0</v>
      </c>
      <c r="Y115" s="334">
        <f t="shared" si="91"/>
        <v>0</v>
      </c>
      <c r="Z115" s="334">
        <f t="shared" si="91"/>
        <v>0</v>
      </c>
      <c r="AA115" s="334">
        <f t="shared" si="91"/>
        <v>0</v>
      </c>
      <c r="AB115" s="334">
        <f t="shared" si="91"/>
        <v>0</v>
      </c>
      <c r="AC115" s="334">
        <f t="shared" si="91"/>
        <v>0</v>
      </c>
      <c r="AD115" s="334">
        <f t="shared" si="91"/>
        <v>0</v>
      </c>
    </row>
    <row r="116" spans="5:30" ht="34.200000000000003" x14ac:dyDescent="0.2">
      <c r="F116" s="332" t="str">
        <f>"Subtotal: "&amp;E110</f>
        <v>Subtotal: Objetivo estratégico 4: Fortalecer la protección social, la resiliencia de la respuesta a las emergencias y los desastres naturales.</v>
      </c>
      <c r="G116" s="333"/>
      <c r="H116" s="357">
        <f t="shared" si="22"/>
        <v>107832583.00833511</v>
      </c>
      <c r="I116" s="358">
        <f t="shared" ref="I116:K116" si="92">I39/EXCHANGE_RATE</f>
        <v>54156873.654017031</v>
      </c>
      <c r="J116" s="358">
        <f t="shared" si="92"/>
        <v>53675709.354318082</v>
      </c>
      <c r="K116" s="337">
        <f t="shared" si="92"/>
        <v>5018994.3207676122</v>
      </c>
      <c r="L116" s="337">
        <f t="shared" ref="L116:M116" si="93">L39/EXCHANGE_RATE</f>
        <v>575854.23204527819</v>
      </c>
      <c r="M116" s="337">
        <f t="shared" si="93"/>
        <v>1511152.5</v>
      </c>
      <c r="N116" s="337">
        <f t="shared" ref="N116:AD116" si="94">N39/EXCHANGE_RATE</f>
        <v>161761.50350118749</v>
      </c>
      <c r="O116" s="337">
        <f t="shared" si="94"/>
        <v>69592.077442050009</v>
      </c>
      <c r="P116" s="337">
        <f t="shared" si="94"/>
        <v>24457506.238535643</v>
      </c>
      <c r="Q116" s="337">
        <f t="shared" si="94"/>
        <v>3046127.4701695503</v>
      </c>
      <c r="R116" s="337">
        <f t="shared" si="94"/>
        <v>149753.01185677503</v>
      </c>
      <c r="S116" s="337">
        <f t="shared" si="94"/>
        <v>0</v>
      </c>
      <c r="T116" s="337">
        <f t="shared" si="94"/>
        <v>0</v>
      </c>
      <c r="U116" s="337">
        <f t="shared" si="94"/>
        <v>2000000</v>
      </c>
      <c r="V116" s="337">
        <f t="shared" si="94"/>
        <v>0</v>
      </c>
      <c r="W116" s="337">
        <f t="shared" si="94"/>
        <v>13883068</v>
      </c>
      <c r="X116" s="337">
        <f t="shared" si="94"/>
        <v>51900</v>
      </c>
      <c r="Y116" s="337">
        <f t="shared" si="94"/>
        <v>2750000</v>
      </c>
      <c r="Z116" s="337">
        <f t="shared" si="94"/>
        <v>0</v>
      </c>
      <c r="AA116" s="337">
        <f t="shared" si="94"/>
        <v>0</v>
      </c>
      <c r="AB116" s="337">
        <f t="shared" si="94"/>
        <v>0</v>
      </c>
      <c r="AC116" s="337">
        <f t="shared" si="94"/>
        <v>0</v>
      </c>
      <c r="AD116" s="337">
        <f t="shared" si="94"/>
        <v>0</v>
      </c>
    </row>
    <row r="117" spans="5:30" ht="12" x14ac:dyDescent="0.2">
      <c r="E117" s="301" t="str">
        <f>Strategy5</f>
        <v xml:space="preserve">Objetivo estratégico 5: Promoción de prácticas favorables a una nutrición óptima, de higiene y saneamiento básico. </v>
      </c>
      <c r="G117" s="94"/>
      <c r="H117" s="354"/>
      <c r="I117" s="355"/>
      <c r="J117" s="359"/>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5:30" ht="34.200000000000003" x14ac:dyDescent="0.2">
      <c r="F118" s="94" t="str">
        <f>STRAT5_IND1</f>
        <v>Se mejoran las prácticas nutricionales favorables para los niños menores de 5 años, los adolescentes, las mujeres embarazadas y lactantes, y otros grupos vulnerables.</v>
      </c>
      <c r="G118" s="94" t="str">
        <f ca="1">OFFSET(Variables_Lu!$D$10,Basic_Setup!H58,0)</f>
        <v>Nutrition-specific</v>
      </c>
      <c r="H118" s="354">
        <f t="shared" si="22"/>
        <v>10950829.662037013</v>
      </c>
      <c r="I118" s="355">
        <f t="shared" ref="I118:K118" si="95">I41/EXCHANGE_RATE</f>
        <v>-1875979.6690173913</v>
      </c>
      <c r="J118" s="356">
        <f t="shared" si="95"/>
        <v>12826809.331054404</v>
      </c>
      <c r="K118" s="334">
        <f t="shared" si="95"/>
        <v>45911.469222383326</v>
      </c>
      <c r="L118" s="334">
        <f t="shared" ref="L118:M118" si="96">L41/EXCHANGE_RATE</f>
        <v>5267.6516770958333</v>
      </c>
      <c r="M118" s="334">
        <f t="shared" si="96"/>
        <v>13823.333333333332</v>
      </c>
      <c r="N118" s="334">
        <f t="shared" ref="N118:AD118" si="97">N41/EXCHANGE_RATE</f>
        <v>1479.7204010833329</v>
      </c>
      <c r="O118" s="334">
        <f t="shared" si="97"/>
        <v>636.59656046666657</v>
      </c>
      <c r="P118" s="334">
        <f t="shared" si="97"/>
        <v>223726.10390900835</v>
      </c>
      <c r="Q118" s="334">
        <f t="shared" si="97"/>
        <v>27864.583750466667</v>
      </c>
      <c r="R118" s="334">
        <f t="shared" si="97"/>
        <v>1369.8722005666666</v>
      </c>
      <c r="S118" s="334">
        <f t="shared" si="97"/>
        <v>0</v>
      </c>
      <c r="T118" s="334">
        <f t="shared" si="97"/>
        <v>0</v>
      </c>
      <c r="U118" s="334">
        <f t="shared" si="97"/>
        <v>6000000</v>
      </c>
      <c r="V118" s="334">
        <f t="shared" si="97"/>
        <v>0</v>
      </c>
      <c r="W118" s="334">
        <f t="shared" si="97"/>
        <v>1136844</v>
      </c>
      <c r="X118" s="334">
        <f t="shared" si="97"/>
        <v>369886</v>
      </c>
      <c r="Y118" s="334">
        <f t="shared" si="97"/>
        <v>5000000</v>
      </c>
      <c r="Z118" s="334">
        <f t="shared" si="97"/>
        <v>0</v>
      </c>
      <c r="AA118" s="334">
        <f t="shared" si="97"/>
        <v>0</v>
      </c>
      <c r="AB118" s="334">
        <f t="shared" si="97"/>
        <v>0</v>
      </c>
      <c r="AC118" s="334">
        <f t="shared" si="97"/>
        <v>0</v>
      </c>
      <c r="AD118" s="334">
        <f t="shared" si="97"/>
        <v>0</v>
      </c>
    </row>
    <row r="119" spans="5:30" ht="22.8" x14ac:dyDescent="0.2">
      <c r="F119" s="94" t="str">
        <f>STRAT5_IND2</f>
        <v>Se promueven dietas saludables y estilos de vida saludables para las personas.</v>
      </c>
      <c r="G119" s="94" t="str">
        <f ca="1">OFFSET(Variables_Lu!$D$10,Basic_Setup!H59,0)</f>
        <v>Nutrition-specific</v>
      </c>
      <c r="H119" s="354">
        <f t="shared" si="22"/>
        <v>10950829.662037013</v>
      </c>
      <c r="I119" s="355">
        <f t="shared" ref="I119:K119" si="98">I42/EXCHANGE_RATE</f>
        <v>8194850.3309826087</v>
      </c>
      <c r="J119" s="356">
        <f t="shared" si="98"/>
        <v>2755979.3310544039</v>
      </c>
      <c r="K119" s="334">
        <f t="shared" si="98"/>
        <v>45911.469222383326</v>
      </c>
      <c r="L119" s="334">
        <f t="shared" ref="L119:M119" si="99">L42/EXCHANGE_RATE</f>
        <v>5267.6516770958333</v>
      </c>
      <c r="M119" s="334">
        <f t="shared" si="99"/>
        <v>13823.333333333332</v>
      </c>
      <c r="N119" s="334">
        <f t="shared" ref="N119:AD119" si="100">N42/EXCHANGE_RATE</f>
        <v>1479.7204010833329</v>
      </c>
      <c r="O119" s="334">
        <f t="shared" si="100"/>
        <v>636.59656046666657</v>
      </c>
      <c r="P119" s="334">
        <f t="shared" si="100"/>
        <v>223726.10390900835</v>
      </c>
      <c r="Q119" s="334">
        <f t="shared" si="100"/>
        <v>27864.583750466667</v>
      </c>
      <c r="R119" s="334">
        <f t="shared" si="100"/>
        <v>1369.8722005666666</v>
      </c>
      <c r="S119" s="334">
        <f t="shared" si="100"/>
        <v>0</v>
      </c>
      <c r="T119" s="334">
        <f t="shared" si="100"/>
        <v>0</v>
      </c>
      <c r="U119" s="334">
        <f t="shared" si="100"/>
        <v>2400000</v>
      </c>
      <c r="V119" s="334">
        <f t="shared" si="100"/>
        <v>0</v>
      </c>
      <c r="W119" s="334">
        <f t="shared" si="100"/>
        <v>0</v>
      </c>
      <c r="X119" s="334">
        <f t="shared" si="100"/>
        <v>35900</v>
      </c>
      <c r="Y119" s="334">
        <f t="shared" si="100"/>
        <v>0</v>
      </c>
      <c r="Z119" s="334">
        <f t="shared" si="100"/>
        <v>0</v>
      </c>
      <c r="AA119" s="334">
        <f t="shared" si="100"/>
        <v>0</v>
      </c>
      <c r="AB119" s="334">
        <f t="shared" si="100"/>
        <v>0</v>
      </c>
      <c r="AC119" s="334">
        <f t="shared" si="100"/>
        <v>0</v>
      </c>
      <c r="AD119" s="334">
        <f t="shared" si="100"/>
        <v>0</v>
      </c>
    </row>
    <row r="120" spans="5:30" ht="22.8" x14ac:dyDescent="0.2">
      <c r="F120" s="94" t="str">
        <f>STRAT5_IND3</f>
        <v>Se promueven las buenas prácticas WASH a nivel comunitario y doméstico</v>
      </c>
      <c r="G120" s="94" t="str">
        <f ca="1">OFFSET(Variables_Lu!$D$10,Basic_Setup!H60,0)</f>
        <v>Nutrition-sensitive</v>
      </c>
      <c r="H120" s="354">
        <f t="shared" si="22"/>
        <v>10950829.662037013</v>
      </c>
      <c r="I120" s="355">
        <f t="shared" ref="I120:K120" si="101">I43/EXCHANGE_RATE</f>
        <v>7030750.3309826087</v>
      </c>
      <c r="J120" s="356">
        <f t="shared" si="101"/>
        <v>3920079.3310544039</v>
      </c>
      <c r="K120" s="334">
        <f t="shared" si="101"/>
        <v>45911.469222383326</v>
      </c>
      <c r="L120" s="334">
        <f t="shared" ref="L120:M120" si="102">L43/EXCHANGE_RATE</f>
        <v>5267.6516770958333</v>
      </c>
      <c r="M120" s="334">
        <f t="shared" si="102"/>
        <v>13823.333333333332</v>
      </c>
      <c r="N120" s="334">
        <f t="shared" ref="N120:AD120" si="103">N43/EXCHANGE_RATE</f>
        <v>1479.7204010833329</v>
      </c>
      <c r="O120" s="334">
        <f t="shared" si="103"/>
        <v>636.59656046666657</v>
      </c>
      <c r="P120" s="334">
        <f t="shared" si="103"/>
        <v>223726.10390900835</v>
      </c>
      <c r="Q120" s="334">
        <f t="shared" si="103"/>
        <v>27864.583750466667</v>
      </c>
      <c r="R120" s="334">
        <f t="shared" si="103"/>
        <v>1369.8722005666666</v>
      </c>
      <c r="S120" s="334">
        <f t="shared" si="103"/>
        <v>0</v>
      </c>
      <c r="T120" s="334">
        <f t="shared" si="103"/>
        <v>0</v>
      </c>
      <c r="U120" s="334">
        <f t="shared" si="103"/>
        <v>3600000</v>
      </c>
      <c r="V120" s="334">
        <f t="shared" si="103"/>
        <v>0</v>
      </c>
      <c r="W120" s="334">
        <f t="shared" si="103"/>
        <v>0</v>
      </c>
      <c r="X120" s="334">
        <f t="shared" si="103"/>
        <v>0</v>
      </c>
      <c r="Y120" s="334">
        <f t="shared" si="103"/>
        <v>0</v>
      </c>
      <c r="Z120" s="334">
        <f t="shared" si="103"/>
        <v>0</v>
      </c>
      <c r="AA120" s="334">
        <f t="shared" si="103"/>
        <v>0</v>
      </c>
      <c r="AB120" s="334">
        <f t="shared" si="103"/>
        <v>0</v>
      </c>
      <c r="AC120" s="334">
        <f t="shared" si="103"/>
        <v>0</v>
      </c>
      <c r="AD120" s="334">
        <f t="shared" si="103"/>
        <v>0</v>
      </c>
    </row>
    <row r="121" spans="5:30" ht="12" x14ac:dyDescent="0.2">
      <c r="F121" s="94" t="str">
        <f>STRAT5_IND4</f>
        <v>Objetivo estratégico 5 Indicador 4</v>
      </c>
      <c r="G121" s="94" t="str">
        <f ca="1">OFFSET(Variables_Lu!$D$10,Basic_Setup!H61,0)</f>
        <v>Nutrition-specific</v>
      </c>
      <c r="H121" s="354">
        <f t="shared" si="22"/>
        <v>0</v>
      </c>
      <c r="I121" s="355">
        <f t="shared" ref="I121:K121" si="104">I44/EXCHANGE_RATE</f>
        <v>0</v>
      </c>
      <c r="J121" s="356">
        <f t="shared" si="104"/>
        <v>0</v>
      </c>
      <c r="K121" s="334">
        <f t="shared" si="104"/>
        <v>0</v>
      </c>
      <c r="L121" s="334">
        <f t="shared" ref="L121:M121" si="105">L44/EXCHANGE_RATE</f>
        <v>0</v>
      </c>
      <c r="M121" s="334">
        <f t="shared" si="105"/>
        <v>0</v>
      </c>
      <c r="N121" s="334">
        <f t="shared" ref="N121:AD121" si="106">N44/EXCHANGE_RATE</f>
        <v>0</v>
      </c>
      <c r="O121" s="334">
        <f t="shared" si="106"/>
        <v>0</v>
      </c>
      <c r="P121" s="334">
        <f t="shared" si="106"/>
        <v>0</v>
      </c>
      <c r="Q121" s="334">
        <f t="shared" si="106"/>
        <v>0</v>
      </c>
      <c r="R121" s="334">
        <f t="shared" si="106"/>
        <v>0</v>
      </c>
      <c r="S121" s="334">
        <f t="shared" si="106"/>
        <v>0</v>
      </c>
      <c r="T121" s="334">
        <f t="shared" si="106"/>
        <v>0</v>
      </c>
      <c r="U121" s="334">
        <f t="shared" si="106"/>
        <v>0</v>
      </c>
      <c r="V121" s="334">
        <f t="shared" si="106"/>
        <v>0</v>
      </c>
      <c r="W121" s="334">
        <f t="shared" si="106"/>
        <v>0</v>
      </c>
      <c r="X121" s="334">
        <f t="shared" si="106"/>
        <v>0</v>
      </c>
      <c r="Y121" s="334">
        <f t="shared" si="106"/>
        <v>0</v>
      </c>
      <c r="Z121" s="334">
        <f t="shared" si="106"/>
        <v>0</v>
      </c>
      <c r="AA121" s="334">
        <f t="shared" si="106"/>
        <v>0</v>
      </c>
      <c r="AB121" s="334">
        <f t="shared" si="106"/>
        <v>0</v>
      </c>
      <c r="AC121" s="334">
        <f t="shared" si="106"/>
        <v>0</v>
      </c>
      <c r="AD121" s="334">
        <f t="shared" si="106"/>
        <v>0</v>
      </c>
    </row>
    <row r="122" spans="5:30" ht="12" x14ac:dyDescent="0.2">
      <c r="F122" s="94" t="str">
        <f>STRAT5_IND5</f>
        <v>Objetivo estratégico 5 Indicador 5</v>
      </c>
      <c r="G122" s="94" t="str">
        <f ca="1">OFFSET(Variables_Lu!$D$10,Basic_Setup!H62,0)</f>
        <v>Nutrition-specific</v>
      </c>
      <c r="H122" s="354">
        <f t="shared" ref="H122:H153" si="107">H45/EXCHANGE_RATE</f>
        <v>0</v>
      </c>
      <c r="I122" s="355">
        <f t="shared" ref="I122:K122" si="108">I45/EXCHANGE_RATE</f>
        <v>0</v>
      </c>
      <c r="J122" s="356">
        <f t="shared" si="108"/>
        <v>0</v>
      </c>
      <c r="K122" s="334">
        <f t="shared" si="108"/>
        <v>0</v>
      </c>
      <c r="L122" s="334">
        <f t="shared" ref="L122:M122" si="109">L45/EXCHANGE_RATE</f>
        <v>0</v>
      </c>
      <c r="M122" s="334">
        <f t="shared" si="109"/>
        <v>0</v>
      </c>
      <c r="N122" s="334">
        <f t="shared" ref="N122:AD122" si="110">N45/EXCHANGE_RATE</f>
        <v>0</v>
      </c>
      <c r="O122" s="334">
        <f t="shared" si="110"/>
        <v>0</v>
      </c>
      <c r="P122" s="334">
        <f t="shared" si="110"/>
        <v>0</v>
      </c>
      <c r="Q122" s="334">
        <f t="shared" si="110"/>
        <v>0</v>
      </c>
      <c r="R122" s="334">
        <f t="shared" si="110"/>
        <v>0</v>
      </c>
      <c r="S122" s="334">
        <f t="shared" si="110"/>
        <v>0</v>
      </c>
      <c r="T122" s="334">
        <f t="shared" si="110"/>
        <v>0</v>
      </c>
      <c r="U122" s="334">
        <f t="shared" si="110"/>
        <v>0</v>
      </c>
      <c r="V122" s="334">
        <f t="shared" si="110"/>
        <v>0</v>
      </c>
      <c r="W122" s="334">
        <f t="shared" si="110"/>
        <v>0</v>
      </c>
      <c r="X122" s="334">
        <f t="shared" si="110"/>
        <v>0</v>
      </c>
      <c r="Y122" s="334">
        <f t="shared" si="110"/>
        <v>0</v>
      </c>
      <c r="Z122" s="334">
        <f t="shared" si="110"/>
        <v>0</v>
      </c>
      <c r="AA122" s="334">
        <f t="shared" si="110"/>
        <v>0</v>
      </c>
      <c r="AB122" s="334">
        <f t="shared" si="110"/>
        <v>0</v>
      </c>
      <c r="AC122" s="334">
        <f t="shared" si="110"/>
        <v>0</v>
      </c>
      <c r="AD122" s="334">
        <f t="shared" si="110"/>
        <v>0</v>
      </c>
    </row>
    <row r="123" spans="5:30" ht="34.200000000000003" x14ac:dyDescent="0.2">
      <c r="F123" s="332" t="str">
        <f>"Subtotal: "&amp;E117</f>
        <v xml:space="preserve">Subtotal: Objetivo estratégico 5: Promoción de prácticas favorables a una nutrición óptima, de higiene y saneamiento básico. </v>
      </c>
      <c r="G123" s="333"/>
      <c r="H123" s="357">
        <f t="shared" si="107"/>
        <v>32852488.986111034</v>
      </c>
      <c r="I123" s="358">
        <f t="shared" ref="I123:K123" si="111">I46/EXCHANGE_RATE</f>
        <v>13349620.992947826</v>
      </c>
      <c r="J123" s="358">
        <f t="shared" si="111"/>
        <v>19502867.993163209</v>
      </c>
      <c r="K123" s="337">
        <f t="shared" si="111"/>
        <v>137734.40766714996</v>
      </c>
      <c r="L123" s="337">
        <f t="shared" ref="L123:M123" si="112">L46/EXCHANGE_RATE</f>
        <v>15802.9550312875</v>
      </c>
      <c r="M123" s="337">
        <f t="shared" si="112"/>
        <v>41469.999999999993</v>
      </c>
      <c r="N123" s="337">
        <f t="shared" ref="N123:AD123" si="113">N46/EXCHANGE_RATE</f>
        <v>4439.1612032499988</v>
      </c>
      <c r="O123" s="337">
        <f t="shared" si="113"/>
        <v>1909.7896813999996</v>
      </c>
      <c r="P123" s="337">
        <f t="shared" si="113"/>
        <v>671178.31172702496</v>
      </c>
      <c r="Q123" s="337">
        <f t="shared" si="113"/>
        <v>83593.751251399997</v>
      </c>
      <c r="R123" s="337">
        <f t="shared" si="113"/>
        <v>4109.6166016999996</v>
      </c>
      <c r="S123" s="337">
        <f t="shared" si="113"/>
        <v>0</v>
      </c>
      <c r="T123" s="337">
        <f t="shared" si="113"/>
        <v>0</v>
      </c>
      <c r="U123" s="337">
        <f t="shared" si="113"/>
        <v>12000000</v>
      </c>
      <c r="V123" s="337">
        <f t="shared" si="113"/>
        <v>0</v>
      </c>
      <c r="W123" s="337">
        <f t="shared" si="113"/>
        <v>1136844</v>
      </c>
      <c r="X123" s="337">
        <f t="shared" si="113"/>
        <v>405786</v>
      </c>
      <c r="Y123" s="337">
        <f t="shared" si="113"/>
        <v>5000000</v>
      </c>
      <c r="Z123" s="337">
        <f t="shared" si="113"/>
        <v>0</v>
      </c>
      <c r="AA123" s="337">
        <f t="shared" si="113"/>
        <v>0</v>
      </c>
      <c r="AB123" s="337">
        <f t="shared" si="113"/>
        <v>0</v>
      </c>
      <c r="AC123" s="337">
        <f t="shared" si="113"/>
        <v>0</v>
      </c>
      <c r="AD123" s="337">
        <f t="shared" si="113"/>
        <v>0</v>
      </c>
    </row>
    <row r="124" spans="5:30" ht="12" x14ac:dyDescent="0.2">
      <c r="E124" s="301" t="str">
        <f>Strategy6</f>
        <v>Objetivo estratégico 6: [No está en uso]</v>
      </c>
      <c r="G124" s="94"/>
      <c r="H124" s="354"/>
      <c r="I124" s="355"/>
      <c r="J124" s="359"/>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5:30" ht="12" x14ac:dyDescent="0.2">
      <c r="F125" s="94" t="str">
        <f>STRAT6_IND1</f>
        <v>Objetivo estratégico 6 Indicador 1</v>
      </c>
      <c r="G125" s="94" t="str">
        <f ca="1">OFFSET(Variables_Lu!$D$10,Basic_Setup!H64,0)</f>
        <v>Nutrition-specific</v>
      </c>
      <c r="H125" s="354">
        <f t="shared" si="107"/>
        <v>0</v>
      </c>
      <c r="I125" s="355">
        <f t="shared" ref="I125:K125" si="114">I48/EXCHANGE_RATE</f>
        <v>0</v>
      </c>
      <c r="J125" s="356">
        <f t="shared" si="114"/>
        <v>0</v>
      </c>
      <c r="K125" s="334">
        <f t="shared" si="114"/>
        <v>0</v>
      </c>
      <c r="L125" s="334">
        <f t="shared" ref="L125:M125" si="115">L48/EXCHANGE_RATE</f>
        <v>0</v>
      </c>
      <c r="M125" s="334">
        <f t="shared" si="115"/>
        <v>0</v>
      </c>
      <c r="N125" s="334">
        <f t="shared" ref="N125:AD125" si="116">N48/EXCHANGE_RATE</f>
        <v>0</v>
      </c>
      <c r="O125" s="334">
        <f t="shared" si="116"/>
        <v>0</v>
      </c>
      <c r="P125" s="334">
        <f t="shared" si="116"/>
        <v>0</v>
      </c>
      <c r="Q125" s="334">
        <f t="shared" si="116"/>
        <v>0</v>
      </c>
      <c r="R125" s="334">
        <f t="shared" si="116"/>
        <v>0</v>
      </c>
      <c r="S125" s="334">
        <f t="shared" si="116"/>
        <v>0</v>
      </c>
      <c r="T125" s="334">
        <f t="shared" si="116"/>
        <v>0</v>
      </c>
      <c r="U125" s="334">
        <f t="shared" si="116"/>
        <v>0</v>
      </c>
      <c r="V125" s="334">
        <f t="shared" si="116"/>
        <v>0</v>
      </c>
      <c r="W125" s="334">
        <f t="shared" si="116"/>
        <v>0</v>
      </c>
      <c r="X125" s="334">
        <f t="shared" si="116"/>
        <v>0</v>
      </c>
      <c r="Y125" s="334">
        <f t="shared" si="116"/>
        <v>0</v>
      </c>
      <c r="Z125" s="334">
        <f t="shared" si="116"/>
        <v>0</v>
      </c>
      <c r="AA125" s="334">
        <f t="shared" si="116"/>
        <v>0</v>
      </c>
      <c r="AB125" s="334">
        <f t="shared" si="116"/>
        <v>0</v>
      </c>
      <c r="AC125" s="334">
        <f t="shared" si="116"/>
        <v>0</v>
      </c>
      <c r="AD125" s="334">
        <f t="shared" si="116"/>
        <v>0</v>
      </c>
    </row>
    <row r="126" spans="5:30" ht="12" x14ac:dyDescent="0.2">
      <c r="F126" s="94" t="str">
        <f>STRAT6_IND2</f>
        <v>Objetivo estratégico 6 Indicador 2</v>
      </c>
      <c r="G126" s="94" t="str">
        <f ca="1">OFFSET(Variables_Lu!$D$10,Basic_Setup!H65,0)</f>
        <v>Nutrition-specific</v>
      </c>
      <c r="H126" s="354">
        <f t="shared" si="107"/>
        <v>0</v>
      </c>
      <c r="I126" s="355">
        <f t="shared" ref="I126:K126" si="117">I49/EXCHANGE_RATE</f>
        <v>0</v>
      </c>
      <c r="J126" s="356">
        <f t="shared" si="117"/>
        <v>0</v>
      </c>
      <c r="K126" s="334">
        <f t="shared" si="117"/>
        <v>0</v>
      </c>
      <c r="L126" s="334">
        <f t="shared" ref="L126:M126" si="118">L49/EXCHANGE_RATE</f>
        <v>0</v>
      </c>
      <c r="M126" s="334">
        <f t="shared" si="118"/>
        <v>0</v>
      </c>
      <c r="N126" s="334">
        <f t="shared" ref="N126:AD126" si="119">N49/EXCHANGE_RATE</f>
        <v>0</v>
      </c>
      <c r="O126" s="334">
        <f t="shared" si="119"/>
        <v>0</v>
      </c>
      <c r="P126" s="334">
        <f t="shared" si="119"/>
        <v>0</v>
      </c>
      <c r="Q126" s="334">
        <f t="shared" si="119"/>
        <v>0</v>
      </c>
      <c r="R126" s="334">
        <f t="shared" si="119"/>
        <v>0</v>
      </c>
      <c r="S126" s="334">
        <f t="shared" si="119"/>
        <v>0</v>
      </c>
      <c r="T126" s="334">
        <f t="shared" si="119"/>
        <v>0</v>
      </c>
      <c r="U126" s="334">
        <f t="shared" si="119"/>
        <v>0</v>
      </c>
      <c r="V126" s="334">
        <f t="shared" si="119"/>
        <v>0</v>
      </c>
      <c r="W126" s="334">
        <f t="shared" si="119"/>
        <v>0</v>
      </c>
      <c r="X126" s="334">
        <f t="shared" si="119"/>
        <v>0</v>
      </c>
      <c r="Y126" s="334">
        <f t="shared" si="119"/>
        <v>0</v>
      </c>
      <c r="Z126" s="334">
        <f t="shared" si="119"/>
        <v>0</v>
      </c>
      <c r="AA126" s="334">
        <f t="shared" si="119"/>
        <v>0</v>
      </c>
      <c r="AB126" s="334">
        <f t="shared" si="119"/>
        <v>0</v>
      </c>
      <c r="AC126" s="334">
        <f t="shared" si="119"/>
        <v>0</v>
      </c>
      <c r="AD126" s="334">
        <f t="shared" si="119"/>
        <v>0</v>
      </c>
    </row>
    <row r="127" spans="5:30" ht="12" x14ac:dyDescent="0.2">
      <c r="F127" s="94" t="str">
        <f>STRAT6_IND3</f>
        <v>Objetivo estratégico 6 Indicador 3</v>
      </c>
      <c r="G127" s="94" t="str">
        <f ca="1">OFFSET(Variables_Lu!$D$10,Basic_Setup!H66,0)</f>
        <v>Nutrition-specific</v>
      </c>
      <c r="H127" s="354">
        <f t="shared" si="107"/>
        <v>0</v>
      </c>
      <c r="I127" s="355">
        <f t="shared" ref="I127:K127" si="120">I50/EXCHANGE_RATE</f>
        <v>0</v>
      </c>
      <c r="J127" s="356">
        <f t="shared" si="120"/>
        <v>0</v>
      </c>
      <c r="K127" s="334">
        <f t="shared" si="120"/>
        <v>0</v>
      </c>
      <c r="L127" s="334">
        <f t="shared" ref="L127:M127" si="121">L50/EXCHANGE_RATE</f>
        <v>0</v>
      </c>
      <c r="M127" s="334">
        <f t="shared" si="121"/>
        <v>0</v>
      </c>
      <c r="N127" s="334">
        <f t="shared" ref="N127:AD127" si="122">N50/EXCHANGE_RATE</f>
        <v>0</v>
      </c>
      <c r="O127" s="334">
        <f t="shared" si="122"/>
        <v>0</v>
      </c>
      <c r="P127" s="334">
        <f t="shared" si="122"/>
        <v>0</v>
      </c>
      <c r="Q127" s="334">
        <f t="shared" si="122"/>
        <v>0</v>
      </c>
      <c r="R127" s="334">
        <f t="shared" si="122"/>
        <v>0</v>
      </c>
      <c r="S127" s="334">
        <f t="shared" si="122"/>
        <v>0</v>
      </c>
      <c r="T127" s="334">
        <f t="shared" si="122"/>
        <v>0</v>
      </c>
      <c r="U127" s="334">
        <f t="shared" si="122"/>
        <v>0</v>
      </c>
      <c r="V127" s="334">
        <f t="shared" si="122"/>
        <v>0</v>
      </c>
      <c r="W127" s="334">
        <f t="shared" si="122"/>
        <v>0</v>
      </c>
      <c r="X127" s="334">
        <f t="shared" si="122"/>
        <v>0</v>
      </c>
      <c r="Y127" s="334">
        <f t="shared" si="122"/>
        <v>0</v>
      </c>
      <c r="Z127" s="334">
        <f t="shared" si="122"/>
        <v>0</v>
      </c>
      <c r="AA127" s="334">
        <f t="shared" si="122"/>
        <v>0</v>
      </c>
      <c r="AB127" s="334">
        <f t="shared" si="122"/>
        <v>0</v>
      </c>
      <c r="AC127" s="334">
        <f t="shared" si="122"/>
        <v>0</v>
      </c>
      <c r="AD127" s="334">
        <f t="shared" si="122"/>
        <v>0</v>
      </c>
    </row>
    <row r="128" spans="5:30" ht="12" x14ac:dyDescent="0.2">
      <c r="F128" s="94" t="str">
        <f>STRAT6_IND4</f>
        <v>Objetivo estratégico 6 Indicador 4</v>
      </c>
      <c r="G128" s="94" t="str">
        <f ca="1">OFFSET(Variables_Lu!$D$10,Basic_Setup!H67,0)</f>
        <v>Nutrition-specific</v>
      </c>
      <c r="H128" s="354">
        <f t="shared" si="107"/>
        <v>0</v>
      </c>
      <c r="I128" s="355">
        <f t="shared" ref="I128:K128" si="123">I51/EXCHANGE_RATE</f>
        <v>0</v>
      </c>
      <c r="J128" s="356">
        <f t="shared" si="123"/>
        <v>0</v>
      </c>
      <c r="K128" s="334">
        <f t="shared" si="123"/>
        <v>0</v>
      </c>
      <c r="L128" s="334">
        <f t="shared" ref="L128:M128" si="124">L51/EXCHANGE_RATE</f>
        <v>0</v>
      </c>
      <c r="M128" s="334">
        <f t="shared" si="124"/>
        <v>0</v>
      </c>
      <c r="N128" s="334">
        <f t="shared" ref="N128:AD128" si="125">N51/EXCHANGE_RATE</f>
        <v>0</v>
      </c>
      <c r="O128" s="334">
        <f t="shared" si="125"/>
        <v>0</v>
      </c>
      <c r="P128" s="334">
        <f t="shared" si="125"/>
        <v>0</v>
      </c>
      <c r="Q128" s="334">
        <f t="shared" si="125"/>
        <v>0</v>
      </c>
      <c r="R128" s="334">
        <f t="shared" si="125"/>
        <v>0</v>
      </c>
      <c r="S128" s="334">
        <f t="shared" si="125"/>
        <v>0</v>
      </c>
      <c r="T128" s="334">
        <f t="shared" si="125"/>
        <v>0</v>
      </c>
      <c r="U128" s="334">
        <f t="shared" si="125"/>
        <v>0</v>
      </c>
      <c r="V128" s="334">
        <f t="shared" si="125"/>
        <v>0</v>
      </c>
      <c r="W128" s="334">
        <f t="shared" si="125"/>
        <v>0</v>
      </c>
      <c r="X128" s="334">
        <f t="shared" si="125"/>
        <v>0</v>
      </c>
      <c r="Y128" s="334">
        <f t="shared" si="125"/>
        <v>0</v>
      </c>
      <c r="Z128" s="334">
        <f t="shared" si="125"/>
        <v>0</v>
      </c>
      <c r="AA128" s="334">
        <f t="shared" si="125"/>
        <v>0</v>
      </c>
      <c r="AB128" s="334">
        <f t="shared" si="125"/>
        <v>0</v>
      </c>
      <c r="AC128" s="334">
        <f t="shared" si="125"/>
        <v>0</v>
      </c>
      <c r="AD128" s="334">
        <f t="shared" si="125"/>
        <v>0</v>
      </c>
    </row>
    <row r="129" spans="5:30" ht="12" x14ac:dyDescent="0.2">
      <c r="F129" s="94" t="str">
        <f>STRAT6_IND5</f>
        <v>Objetivo estratégico 6 Indicador 5</v>
      </c>
      <c r="G129" s="94" t="str">
        <f ca="1">OFFSET(Variables_Lu!$D$10,Basic_Setup!H68,0)</f>
        <v>Nutrition-specific</v>
      </c>
      <c r="H129" s="354">
        <f t="shared" si="107"/>
        <v>0</v>
      </c>
      <c r="I129" s="355">
        <f t="shared" ref="I129:K129" si="126">I52/EXCHANGE_RATE</f>
        <v>0</v>
      </c>
      <c r="J129" s="356">
        <f t="shared" si="126"/>
        <v>0</v>
      </c>
      <c r="K129" s="334">
        <f t="shared" si="126"/>
        <v>0</v>
      </c>
      <c r="L129" s="334">
        <f t="shared" ref="L129:M129" si="127">L52/EXCHANGE_RATE</f>
        <v>0</v>
      </c>
      <c r="M129" s="334">
        <f t="shared" si="127"/>
        <v>0</v>
      </c>
      <c r="N129" s="334">
        <f t="shared" ref="N129:AD129" si="128">N52/EXCHANGE_RATE</f>
        <v>0</v>
      </c>
      <c r="O129" s="334">
        <f t="shared" si="128"/>
        <v>0</v>
      </c>
      <c r="P129" s="334">
        <f t="shared" si="128"/>
        <v>0</v>
      </c>
      <c r="Q129" s="334">
        <f t="shared" si="128"/>
        <v>0</v>
      </c>
      <c r="R129" s="334">
        <f t="shared" si="128"/>
        <v>0</v>
      </c>
      <c r="S129" s="334">
        <f t="shared" si="128"/>
        <v>0</v>
      </c>
      <c r="T129" s="334">
        <f t="shared" si="128"/>
        <v>0</v>
      </c>
      <c r="U129" s="334">
        <f t="shared" si="128"/>
        <v>0</v>
      </c>
      <c r="V129" s="334">
        <f t="shared" si="128"/>
        <v>0</v>
      </c>
      <c r="W129" s="334">
        <f t="shared" si="128"/>
        <v>0</v>
      </c>
      <c r="X129" s="334">
        <f t="shared" si="128"/>
        <v>0</v>
      </c>
      <c r="Y129" s="334">
        <f t="shared" si="128"/>
        <v>0</v>
      </c>
      <c r="Z129" s="334">
        <f t="shared" si="128"/>
        <v>0</v>
      </c>
      <c r="AA129" s="334">
        <f t="shared" si="128"/>
        <v>0</v>
      </c>
      <c r="AB129" s="334">
        <f t="shared" si="128"/>
        <v>0</v>
      </c>
      <c r="AC129" s="334">
        <f t="shared" si="128"/>
        <v>0</v>
      </c>
      <c r="AD129" s="334">
        <f t="shared" si="128"/>
        <v>0</v>
      </c>
    </row>
    <row r="130" spans="5:30" x14ac:dyDescent="0.2">
      <c r="F130" s="332" t="str">
        <f>"Subtotal: "&amp;E124</f>
        <v>Subtotal: Objetivo estratégico 6: [No está en uso]</v>
      </c>
      <c r="G130" s="333"/>
      <c r="H130" s="357">
        <f t="shared" si="107"/>
        <v>0</v>
      </c>
      <c r="I130" s="358">
        <f t="shared" ref="I130:K130" si="129">I53/EXCHANGE_RATE</f>
        <v>0</v>
      </c>
      <c r="J130" s="358">
        <f t="shared" si="129"/>
        <v>0</v>
      </c>
      <c r="K130" s="337">
        <f t="shared" si="129"/>
        <v>0</v>
      </c>
      <c r="L130" s="337">
        <f t="shared" ref="L130:M130" si="130">L53/EXCHANGE_RATE</f>
        <v>0</v>
      </c>
      <c r="M130" s="337">
        <f t="shared" si="130"/>
        <v>0</v>
      </c>
      <c r="N130" s="337">
        <f t="shared" ref="N130:AD130" si="131">N53/EXCHANGE_RATE</f>
        <v>0</v>
      </c>
      <c r="O130" s="337">
        <f t="shared" si="131"/>
        <v>0</v>
      </c>
      <c r="P130" s="337">
        <f t="shared" si="131"/>
        <v>0</v>
      </c>
      <c r="Q130" s="337">
        <f t="shared" si="131"/>
        <v>0</v>
      </c>
      <c r="R130" s="337">
        <f t="shared" si="131"/>
        <v>0</v>
      </c>
      <c r="S130" s="337">
        <f t="shared" si="131"/>
        <v>0</v>
      </c>
      <c r="T130" s="337">
        <f t="shared" si="131"/>
        <v>0</v>
      </c>
      <c r="U130" s="337">
        <f t="shared" si="131"/>
        <v>0</v>
      </c>
      <c r="V130" s="337">
        <f t="shared" si="131"/>
        <v>0</v>
      </c>
      <c r="W130" s="337">
        <f t="shared" si="131"/>
        <v>0</v>
      </c>
      <c r="X130" s="337">
        <f t="shared" si="131"/>
        <v>0</v>
      </c>
      <c r="Y130" s="337">
        <f t="shared" si="131"/>
        <v>0</v>
      </c>
      <c r="Z130" s="337">
        <f t="shared" si="131"/>
        <v>0</v>
      </c>
      <c r="AA130" s="337">
        <f t="shared" si="131"/>
        <v>0</v>
      </c>
      <c r="AB130" s="337">
        <f t="shared" si="131"/>
        <v>0</v>
      </c>
      <c r="AC130" s="337">
        <f t="shared" si="131"/>
        <v>0</v>
      </c>
      <c r="AD130" s="337">
        <f t="shared" si="131"/>
        <v>0</v>
      </c>
    </row>
    <row r="131" spans="5:30" ht="12" x14ac:dyDescent="0.2">
      <c r="E131" s="301" t="str">
        <f>Strategy7</f>
        <v>Objetivo estratégico 7: [No está en uso]</v>
      </c>
      <c r="G131" s="94"/>
      <c r="H131" s="354"/>
      <c r="I131" s="355"/>
      <c r="J131" s="359"/>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5:30" ht="12" x14ac:dyDescent="0.2">
      <c r="F132" s="94" t="str">
        <f>STRAT7_IND1</f>
        <v>Objetivo estratégico 7 Indicador 1</v>
      </c>
      <c r="G132" s="94" t="str">
        <f ca="1">OFFSET(Variables_Lu!$D$10,Basic_Setup!H70,0)</f>
        <v>Nutrition-specific</v>
      </c>
      <c r="H132" s="354">
        <f t="shared" si="107"/>
        <v>0</v>
      </c>
      <c r="I132" s="355">
        <f t="shared" ref="I132:K132" si="132">I55/EXCHANGE_RATE</f>
        <v>0</v>
      </c>
      <c r="J132" s="356">
        <f t="shared" si="132"/>
        <v>0</v>
      </c>
      <c r="K132" s="334">
        <f t="shared" si="132"/>
        <v>0</v>
      </c>
      <c r="L132" s="334">
        <f t="shared" ref="L132:M132" si="133">L55/EXCHANGE_RATE</f>
        <v>0</v>
      </c>
      <c r="M132" s="334">
        <f t="shared" si="133"/>
        <v>0</v>
      </c>
      <c r="N132" s="334">
        <f t="shared" ref="N132:AD132" si="134">N55/EXCHANGE_RATE</f>
        <v>0</v>
      </c>
      <c r="O132" s="334">
        <f t="shared" si="134"/>
        <v>0</v>
      </c>
      <c r="P132" s="334">
        <f t="shared" si="134"/>
        <v>0</v>
      </c>
      <c r="Q132" s="334">
        <f t="shared" si="134"/>
        <v>0</v>
      </c>
      <c r="R132" s="334">
        <f t="shared" si="134"/>
        <v>0</v>
      </c>
      <c r="S132" s="334">
        <f t="shared" si="134"/>
        <v>0</v>
      </c>
      <c r="T132" s="334">
        <f t="shared" si="134"/>
        <v>0</v>
      </c>
      <c r="U132" s="334">
        <f t="shared" si="134"/>
        <v>0</v>
      </c>
      <c r="V132" s="334">
        <f t="shared" si="134"/>
        <v>0</v>
      </c>
      <c r="W132" s="334">
        <f t="shared" si="134"/>
        <v>0</v>
      </c>
      <c r="X132" s="334">
        <f t="shared" si="134"/>
        <v>0</v>
      </c>
      <c r="Y132" s="334">
        <f t="shared" si="134"/>
        <v>0</v>
      </c>
      <c r="Z132" s="334">
        <f t="shared" si="134"/>
        <v>0</v>
      </c>
      <c r="AA132" s="334">
        <f t="shared" si="134"/>
        <v>0</v>
      </c>
      <c r="AB132" s="334">
        <f t="shared" si="134"/>
        <v>0</v>
      </c>
      <c r="AC132" s="334">
        <f t="shared" si="134"/>
        <v>0</v>
      </c>
      <c r="AD132" s="334">
        <f t="shared" si="134"/>
        <v>0</v>
      </c>
    </row>
    <row r="133" spans="5:30" ht="12" x14ac:dyDescent="0.2">
      <c r="F133" s="94" t="str">
        <f>STRAT7_IND2</f>
        <v>Objetivo estratégico 7 Indicador 2</v>
      </c>
      <c r="G133" s="94" t="str">
        <f ca="1">OFFSET(Variables_Lu!$D$10,Basic_Setup!H71,0)</f>
        <v>Nutrition-specific</v>
      </c>
      <c r="H133" s="354">
        <f t="shared" si="107"/>
        <v>0</v>
      </c>
      <c r="I133" s="355">
        <f t="shared" ref="I133:K133" si="135">I56/EXCHANGE_RATE</f>
        <v>0</v>
      </c>
      <c r="J133" s="356">
        <f t="shared" si="135"/>
        <v>0</v>
      </c>
      <c r="K133" s="334">
        <f t="shared" si="135"/>
        <v>0</v>
      </c>
      <c r="L133" s="334">
        <f t="shared" ref="L133:M133" si="136">L56/EXCHANGE_RATE</f>
        <v>0</v>
      </c>
      <c r="M133" s="334">
        <f t="shared" si="136"/>
        <v>0</v>
      </c>
      <c r="N133" s="334">
        <f t="shared" ref="N133:AD133" si="137">N56/EXCHANGE_RATE</f>
        <v>0</v>
      </c>
      <c r="O133" s="334">
        <f t="shared" si="137"/>
        <v>0</v>
      </c>
      <c r="P133" s="334">
        <f t="shared" si="137"/>
        <v>0</v>
      </c>
      <c r="Q133" s="334">
        <f t="shared" si="137"/>
        <v>0</v>
      </c>
      <c r="R133" s="334">
        <f t="shared" si="137"/>
        <v>0</v>
      </c>
      <c r="S133" s="334">
        <f t="shared" si="137"/>
        <v>0</v>
      </c>
      <c r="T133" s="334">
        <f t="shared" si="137"/>
        <v>0</v>
      </c>
      <c r="U133" s="334">
        <f t="shared" si="137"/>
        <v>0</v>
      </c>
      <c r="V133" s="334">
        <f t="shared" si="137"/>
        <v>0</v>
      </c>
      <c r="W133" s="334">
        <f t="shared" si="137"/>
        <v>0</v>
      </c>
      <c r="X133" s="334">
        <f t="shared" si="137"/>
        <v>0</v>
      </c>
      <c r="Y133" s="334">
        <f t="shared" si="137"/>
        <v>0</v>
      </c>
      <c r="Z133" s="334">
        <f t="shared" si="137"/>
        <v>0</v>
      </c>
      <c r="AA133" s="334">
        <f t="shared" si="137"/>
        <v>0</v>
      </c>
      <c r="AB133" s="334">
        <f t="shared" si="137"/>
        <v>0</v>
      </c>
      <c r="AC133" s="334">
        <f t="shared" si="137"/>
        <v>0</v>
      </c>
      <c r="AD133" s="334">
        <f t="shared" si="137"/>
        <v>0</v>
      </c>
    </row>
    <row r="134" spans="5:30" ht="12" x14ac:dyDescent="0.2">
      <c r="F134" s="94" t="str">
        <f>STRAT7_IND3</f>
        <v>Objetivo estratégico 7 Indicador 3</v>
      </c>
      <c r="G134" s="94" t="str">
        <f ca="1">OFFSET(Variables_Lu!$D$10,Basic_Setup!H72,0)</f>
        <v>Nutrition-specific</v>
      </c>
      <c r="H134" s="354">
        <f t="shared" si="107"/>
        <v>0</v>
      </c>
      <c r="I134" s="355">
        <f t="shared" ref="I134:K134" si="138">I57/EXCHANGE_RATE</f>
        <v>0</v>
      </c>
      <c r="J134" s="356">
        <f t="shared" si="138"/>
        <v>0</v>
      </c>
      <c r="K134" s="334">
        <f t="shared" si="138"/>
        <v>0</v>
      </c>
      <c r="L134" s="334">
        <f t="shared" ref="L134:M134" si="139">L57/EXCHANGE_RATE</f>
        <v>0</v>
      </c>
      <c r="M134" s="334">
        <f t="shared" si="139"/>
        <v>0</v>
      </c>
      <c r="N134" s="334">
        <f t="shared" ref="N134:AD134" si="140">N57/EXCHANGE_RATE</f>
        <v>0</v>
      </c>
      <c r="O134" s="334">
        <f t="shared" si="140"/>
        <v>0</v>
      </c>
      <c r="P134" s="334">
        <f t="shared" si="140"/>
        <v>0</v>
      </c>
      <c r="Q134" s="334">
        <f t="shared" si="140"/>
        <v>0</v>
      </c>
      <c r="R134" s="334">
        <f t="shared" si="140"/>
        <v>0</v>
      </c>
      <c r="S134" s="334">
        <f t="shared" si="140"/>
        <v>0</v>
      </c>
      <c r="T134" s="334">
        <f t="shared" si="140"/>
        <v>0</v>
      </c>
      <c r="U134" s="334">
        <f t="shared" si="140"/>
        <v>0</v>
      </c>
      <c r="V134" s="334">
        <f t="shared" si="140"/>
        <v>0</v>
      </c>
      <c r="W134" s="334">
        <f t="shared" si="140"/>
        <v>0</v>
      </c>
      <c r="X134" s="334">
        <f t="shared" si="140"/>
        <v>0</v>
      </c>
      <c r="Y134" s="334">
        <f t="shared" si="140"/>
        <v>0</v>
      </c>
      <c r="Z134" s="334">
        <f t="shared" si="140"/>
        <v>0</v>
      </c>
      <c r="AA134" s="334">
        <f t="shared" si="140"/>
        <v>0</v>
      </c>
      <c r="AB134" s="334">
        <f t="shared" si="140"/>
        <v>0</v>
      </c>
      <c r="AC134" s="334">
        <f t="shared" si="140"/>
        <v>0</v>
      </c>
      <c r="AD134" s="334">
        <f t="shared" si="140"/>
        <v>0</v>
      </c>
    </row>
    <row r="135" spans="5:30" ht="12" x14ac:dyDescent="0.2">
      <c r="F135" s="94" t="str">
        <f>STRAT7_IND4</f>
        <v>Objetivo estratégico 7 Indicador 4</v>
      </c>
      <c r="G135" s="94" t="str">
        <f ca="1">OFFSET(Variables_Lu!$D$10,Basic_Setup!H73,0)</f>
        <v>Nutrition-specific</v>
      </c>
      <c r="H135" s="354">
        <f t="shared" si="107"/>
        <v>0</v>
      </c>
      <c r="I135" s="355">
        <f t="shared" ref="I135:K135" si="141">I58/EXCHANGE_RATE</f>
        <v>0</v>
      </c>
      <c r="J135" s="356">
        <f t="shared" si="141"/>
        <v>0</v>
      </c>
      <c r="K135" s="334">
        <f t="shared" si="141"/>
        <v>0</v>
      </c>
      <c r="L135" s="334">
        <f t="shared" ref="L135:M135" si="142">L58/EXCHANGE_RATE</f>
        <v>0</v>
      </c>
      <c r="M135" s="334">
        <f t="shared" si="142"/>
        <v>0</v>
      </c>
      <c r="N135" s="334">
        <f t="shared" ref="N135:AD135" si="143">N58/EXCHANGE_RATE</f>
        <v>0</v>
      </c>
      <c r="O135" s="334">
        <f t="shared" si="143"/>
        <v>0</v>
      </c>
      <c r="P135" s="334">
        <f t="shared" si="143"/>
        <v>0</v>
      </c>
      <c r="Q135" s="334">
        <f t="shared" si="143"/>
        <v>0</v>
      </c>
      <c r="R135" s="334">
        <f t="shared" si="143"/>
        <v>0</v>
      </c>
      <c r="S135" s="334">
        <f t="shared" si="143"/>
        <v>0</v>
      </c>
      <c r="T135" s="334">
        <f t="shared" si="143"/>
        <v>0</v>
      </c>
      <c r="U135" s="334">
        <f t="shared" si="143"/>
        <v>0</v>
      </c>
      <c r="V135" s="334">
        <f t="shared" si="143"/>
        <v>0</v>
      </c>
      <c r="W135" s="334">
        <f t="shared" si="143"/>
        <v>0</v>
      </c>
      <c r="X135" s="334">
        <f t="shared" si="143"/>
        <v>0</v>
      </c>
      <c r="Y135" s="334">
        <f t="shared" si="143"/>
        <v>0</v>
      </c>
      <c r="Z135" s="334">
        <f t="shared" si="143"/>
        <v>0</v>
      </c>
      <c r="AA135" s="334">
        <f t="shared" si="143"/>
        <v>0</v>
      </c>
      <c r="AB135" s="334">
        <f t="shared" si="143"/>
        <v>0</v>
      </c>
      <c r="AC135" s="334">
        <f t="shared" si="143"/>
        <v>0</v>
      </c>
      <c r="AD135" s="334">
        <f t="shared" si="143"/>
        <v>0</v>
      </c>
    </row>
    <row r="136" spans="5:30" ht="12" x14ac:dyDescent="0.2">
      <c r="F136" s="94" t="str">
        <f>STRAT7_IND5</f>
        <v>Objetivo estratégico 7 Indicador 5</v>
      </c>
      <c r="G136" s="94" t="str">
        <f ca="1">OFFSET(Variables_Lu!$D$10,Basic_Setup!H74,0)</f>
        <v>Nutrition-specific</v>
      </c>
      <c r="H136" s="354">
        <f t="shared" si="107"/>
        <v>0</v>
      </c>
      <c r="I136" s="355">
        <f t="shared" ref="I136:K136" si="144">I59/EXCHANGE_RATE</f>
        <v>0</v>
      </c>
      <c r="J136" s="356">
        <f t="shared" si="144"/>
        <v>0</v>
      </c>
      <c r="K136" s="334">
        <f t="shared" si="144"/>
        <v>0</v>
      </c>
      <c r="L136" s="334">
        <f t="shared" ref="L136:M136" si="145">L59/EXCHANGE_RATE</f>
        <v>0</v>
      </c>
      <c r="M136" s="334">
        <f t="shared" si="145"/>
        <v>0</v>
      </c>
      <c r="N136" s="334">
        <f t="shared" ref="N136:AD136" si="146">N59/EXCHANGE_RATE</f>
        <v>0</v>
      </c>
      <c r="O136" s="334">
        <f t="shared" si="146"/>
        <v>0</v>
      </c>
      <c r="P136" s="334">
        <f t="shared" si="146"/>
        <v>0</v>
      </c>
      <c r="Q136" s="334">
        <f t="shared" si="146"/>
        <v>0</v>
      </c>
      <c r="R136" s="334">
        <f t="shared" si="146"/>
        <v>0</v>
      </c>
      <c r="S136" s="334">
        <f t="shared" si="146"/>
        <v>0</v>
      </c>
      <c r="T136" s="334">
        <f t="shared" si="146"/>
        <v>0</v>
      </c>
      <c r="U136" s="334">
        <f t="shared" si="146"/>
        <v>0</v>
      </c>
      <c r="V136" s="334">
        <f t="shared" si="146"/>
        <v>0</v>
      </c>
      <c r="W136" s="334">
        <f t="shared" si="146"/>
        <v>0</v>
      </c>
      <c r="X136" s="334">
        <f t="shared" si="146"/>
        <v>0</v>
      </c>
      <c r="Y136" s="334">
        <f t="shared" si="146"/>
        <v>0</v>
      </c>
      <c r="Z136" s="334">
        <f t="shared" si="146"/>
        <v>0</v>
      </c>
      <c r="AA136" s="334">
        <f t="shared" si="146"/>
        <v>0</v>
      </c>
      <c r="AB136" s="334">
        <f t="shared" si="146"/>
        <v>0</v>
      </c>
      <c r="AC136" s="334">
        <f t="shared" si="146"/>
        <v>0</v>
      </c>
      <c r="AD136" s="334">
        <f t="shared" si="146"/>
        <v>0</v>
      </c>
    </row>
    <row r="137" spans="5:30" x14ac:dyDescent="0.2">
      <c r="F137" s="332" t="str">
        <f>"Subtotal: "&amp;E131</f>
        <v>Subtotal: Objetivo estratégico 7: [No está en uso]</v>
      </c>
      <c r="G137" s="333"/>
      <c r="H137" s="357">
        <f t="shared" si="107"/>
        <v>0</v>
      </c>
      <c r="I137" s="358">
        <f t="shared" ref="I137:K137" si="147">I60/EXCHANGE_RATE</f>
        <v>0</v>
      </c>
      <c r="J137" s="358">
        <f t="shared" si="147"/>
        <v>0</v>
      </c>
      <c r="K137" s="337">
        <f t="shared" si="147"/>
        <v>0</v>
      </c>
      <c r="L137" s="337">
        <f t="shared" ref="L137:M137" si="148">L60/EXCHANGE_RATE</f>
        <v>0</v>
      </c>
      <c r="M137" s="337">
        <f t="shared" si="148"/>
        <v>0</v>
      </c>
      <c r="N137" s="337">
        <f t="shared" ref="N137:AD137" si="149">N60/EXCHANGE_RATE</f>
        <v>0</v>
      </c>
      <c r="O137" s="337">
        <f t="shared" si="149"/>
        <v>0</v>
      </c>
      <c r="P137" s="337">
        <f t="shared" si="149"/>
        <v>0</v>
      </c>
      <c r="Q137" s="337">
        <f t="shared" si="149"/>
        <v>0</v>
      </c>
      <c r="R137" s="337">
        <f t="shared" si="149"/>
        <v>0</v>
      </c>
      <c r="S137" s="337">
        <f t="shared" si="149"/>
        <v>0</v>
      </c>
      <c r="T137" s="337">
        <f t="shared" si="149"/>
        <v>0</v>
      </c>
      <c r="U137" s="337">
        <f t="shared" si="149"/>
        <v>0</v>
      </c>
      <c r="V137" s="337">
        <f t="shared" si="149"/>
        <v>0</v>
      </c>
      <c r="W137" s="337">
        <f t="shared" si="149"/>
        <v>0</v>
      </c>
      <c r="X137" s="337">
        <f t="shared" si="149"/>
        <v>0</v>
      </c>
      <c r="Y137" s="337">
        <f t="shared" si="149"/>
        <v>0</v>
      </c>
      <c r="Z137" s="337">
        <f t="shared" si="149"/>
        <v>0</v>
      </c>
      <c r="AA137" s="337">
        <f t="shared" si="149"/>
        <v>0</v>
      </c>
      <c r="AB137" s="337">
        <f t="shared" si="149"/>
        <v>0</v>
      </c>
      <c r="AC137" s="337">
        <f t="shared" si="149"/>
        <v>0</v>
      </c>
      <c r="AD137" s="337">
        <f t="shared" si="149"/>
        <v>0</v>
      </c>
    </row>
    <row r="138" spans="5:30" ht="12" x14ac:dyDescent="0.2">
      <c r="E138" s="301" t="str">
        <f>Strategy8</f>
        <v>Objetivo estratégico 8: [No está en uso]</v>
      </c>
      <c r="G138" s="94"/>
      <c r="H138" s="354"/>
      <c r="I138" s="355"/>
      <c r="J138" s="359"/>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5:30" ht="12" x14ac:dyDescent="0.2">
      <c r="F139" s="94" t="str">
        <f>STRAT8_IND1</f>
        <v>Objetivo estratégico 8 Indicador 1</v>
      </c>
      <c r="G139" s="94" t="str">
        <f ca="1">OFFSET(Variables_Lu!$D$10,Basic_Setup!H76,0)</f>
        <v>Nutrition-specific</v>
      </c>
      <c r="H139" s="354">
        <f t="shared" si="107"/>
        <v>0</v>
      </c>
      <c r="I139" s="355">
        <f t="shared" ref="I139:K139" si="150">I62/EXCHANGE_RATE</f>
        <v>0</v>
      </c>
      <c r="J139" s="356">
        <f t="shared" si="150"/>
        <v>0</v>
      </c>
      <c r="K139" s="334">
        <f t="shared" si="150"/>
        <v>0</v>
      </c>
      <c r="L139" s="334">
        <f t="shared" ref="L139:M139" si="151">L62/EXCHANGE_RATE</f>
        <v>0</v>
      </c>
      <c r="M139" s="334">
        <f t="shared" si="151"/>
        <v>0</v>
      </c>
      <c r="N139" s="334">
        <f t="shared" ref="N139:AD139" si="152">N62/EXCHANGE_RATE</f>
        <v>0</v>
      </c>
      <c r="O139" s="334">
        <f t="shared" si="152"/>
        <v>0</v>
      </c>
      <c r="P139" s="334">
        <f t="shared" si="152"/>
        <v>0</v>
      </c>
      <c r="Q139" s="334">
        <f t="shared" si="152"/>
        <v>0</v>
      </c>
      <c r="R139" s="334">
        <f t="shared" si="152"/>
        <v>0</v>
      </c>
      <c r="S139" s="334">
        <f t="shared" si="152"/>
        <v>0</v>
      </c>
      <c r="T139" s="334">
        <f t="shared" si="152"/>
        <v>0</v>
      </c>
      <c r="U139" s="334">
        <f t="shared" si="152"/>
        <v>0</v>
      </c>
      <c r="V139" s="334">
        <f t="shared" si="152"/>
        <v>0</v>
      </c>
      <c r="W139" s="334">
        <f t="shared" si="152"/>
        <v>0</v>
      </c>
      <c r="X139" s="334">
        <f t="shared" si="152"/>
        <v>0</v>
      </c>
      <c r="Y139" s="334">
        <f t="shared" si="152"/>
        <v>0</v>
      </c>
      <c r="Z139" s="334">
        <f t="shared" si="152"/>
        <v>0</v>
      </c>
      <c r="AA139" s="334">
        <f t="shared" si="152"/>
        <v>0</v>
      </c>
      <c r="AB139" s="334">
        <f t="shared" si="152"/>
        <v>0</v>
      </c>
      <c r="AC139" s="334">
        <f t="shared" si="152"/>
        <v>0</v>
      </c>
      <c r="AD139" s="334">
        <f t="shared" si="152"/>
        <v>0</v>
      </c>
    </row>
    <row r="140" spans="5:30" ht="12" x14ac:dyDescent="0.2">
      <c r="F140" s="94" t="str">
        <f>STRAT8_IND2</f>
        <v>Objetivo estratégico 8 Indicador 2</v>
      </c>
      <c r="G140" s="94" t="str">
        <f ca="1">OFFSET(Variables_Lu!$D$10,Basic_Setup!H77,0)</f>
        <v>Nutrition-specific</v>
      </c>
      <c r="H140" s="354">
        <f t="shared" si="107"/>
        <v>0</v>
      </c>
      <c r="I140" s="355">
        <f t="shared" ref="I140:K140" si="153">I63/EXCHANGE_RATE</f>
        <v>0</v>
      </c>
      <c r="J140" s="356">
        <f t="shared" si="153"/>
        <v>0</v>
      </c>
      <c r="K140" s="334">
        <f t="shared" si="153"/>
        <v>0</v>
      </c>
      <c r="L140" s="334">
        <f t="shared" ref="L140:M140" si="154">L63/EXCHANGE_RATE</f>
        <v>0</v>
      </c>
      <c r="M140" s="334">
        <f t="shared" si="154"/>
        <v>0</v>
      </c>
      <c r="N140" s="334">
        <f t="shared" ref="N140:AD140" si="155">N63/EXCHANGE_RATE</f>
        <v>0</v>
      </c>
      <c r="O140" s="334">
        <f t="shared" si="155"/>
        <v>0</v>
      </c>
      <c r="P140" s="334">
        <f t="shared" si="155"/>
        <v>0</v>
      </c>
      <c r="Q140" s="334">
        <f t="shared" si="155"/>
        <v>0</v>
      </c>
      <c r="R140" s="334">
        <f t="shared" si="155"/>
        <v>0</v>
      </c>
      <c r="S140" s="334">
        <f t="shared" si="155"/>
        <v>0</v>
      </c>
      <c r="T140" s="334">
        <f t="shared" si="155"/>
        <v>0</v>
      </c>
      <c r="U140" s="334">
        <f t="shared" si="155"/>
        <v>0</v>
      </c>
      <c r="V140" s="334">
        <f t="shared" si="155"/>
        <v>0</v>
      </c>
      <c r="W140" s="334">
        <f t="shared" si="155"/>
        <v>0</v>
      </c>
      <c r="X140" s="334">
        <f t="shared" si="155"/>
        <v>0</v>
      </c>
      <c r="Y140" s="334">
        <f t="shared" si="155"/>
        <v>0</v>
      </c>
      <c r="Z140" s="334">
        <f t="shared" si="155"/>
        <v>0</v>
      </c>
      <c r="AA140" s="334">
        <f t="shared" si="155"/>
        <v>0</v>
      </c>
      <c r="AB140" s="334">
        <f t="shared" si="155"/>
        <v>0</v>
      </c>
      <c r="AC140" s="334">
        <f t="shared" si="155"/>
        <v>0</v>
      </c>
      <c r="AD140" s="334">
        <f t="shared" si="155"/>
        <v>0</v>
      </c>
    </row>
    <row r="141" spans="5:30" ht="12" x14ac:dyDescent="0.2">
      <c r="F141" s="94" t="str">
        <f>STRAT8_IND3</f>
        <v>Objetivo estratégico 8 Indicador 3</v>
      </c>
      <c r="G141" s="94" t="str">
        <f ca="1">OFFSET(Variables_Lu!$D$10,Basic_Setup!H78,0)</f>
        <v>Nutrition-specific</v>
      </c>
      <c r="H141" s="354">
        <f t="shared" si="107"/>
        <v>0</v>
      </c>
      <c r="I141" s="355">
        <f t="shared" ref="I141:K141" si="156">I64/EXCHANGE_RATE</f>
        <v>0</v>
      </c>
      <c r="J141" s="356">
        <f t="shared" si="156"/>
        <v>0</v>
      </c>
      <c r="K141" s="334">
        <f t="shared" si="156"/>
        <v>0</v>
      </c>
      <c r="L141" s="334">
        <f t="shared" ref="L141:M141" si="157">L64/EXCHANGE_RATE</f>
        <v>0</v>
      </c>
      <c r="M141" s="334">
        <f t="shared" si="157"/>
        <v>0</v>
      </c>
      <c r="N141" s="334">
        <f t="shared" ref="N141:AD141" si="158">N64/EXCHANGE_RATE</f>
        <v>0</v>
      </c>
      <c r="O141" s="334">
        <f t="shared" si="158"/>
        <v>0</v>
      </c>
      <c r="P141" s="334">
        <f t="shared" si="158"/>
        <v>0</v>
      </c>
      <c r="Q141" s="334">
        <f t="shared" si="158"/>
        <v>0</v>
      </c>
      <c r="R141" s="334">
        <f t="shared" si="158"/>
        <v>0</v>
      </c>
      <c r="S141" s="334">
        <f t="shared" si="158"/>
        <v>0</v>
      </c>
      <c r="T141" s="334">
        <f t="shared" si="158"/>
        <v>0</v>
      </c>
      <c r="U141" s="334">
        <f t="shared" si="158"/>
        <v>0</v>
      </c>
      <c r="V141" s="334">
        <f t="shared" si="158"/>
        <v>0</v>
      </c>
      <c r="W141" s="334">
        <f t="shared" si="158"/>
        <v>0</v>
      </c>
      <c r="X141" s="334">
        <f t="shared" si="158"/>
        <v>0</v>
      </c>
      <c r="Y141" s="334">
        <f t="shared" si="158"/>
        <v>0</v>
      </c>
      <c r="Z141" s="334">
        <f t="shared" si="158"/>
        <v>0</v>
      </c>
      <c r="AA141" s="334">
        <f t="shared" si="158"/>
        <v>0</v>
      </c>
      <c r="AB141" s="334">
        <f t="shared" si="158"/>
        <v>0</v>
      </c>
      <c r="AC141" s="334">
        <f t="shared" si="158"/>
        <v>0</v>
      </c>
      <c r="AD141" s="334">
        <f t="shared" si="158"/>
        <v>0</v>
      </c>
    </row>
    <row r="142" spans="5:30" ht="12" x14ac:dyDescent="0.2">
      <c r="F142" s="94" t="str">
        <f>STRAT8_IND4</f>
        <v>Objetivo estratégico 8 Indicador 4</v>
      </c>
      <c r="G142" s="94" t="str">
        <f ca="1">OFFSET(Variables_Lu!$D$10,Basic_Setup!H79,0)</f>
        <v>Nutrition-specific</v>
      </c>
      <c r="H142" s="354">
        <f t="shared" si="107"/>
        <v>0</v>
      </c>
      <c r="I142" s="355">
        <f t="shared" ref="I142:K142" si="159">I65/EXCHANGE_RATE</f>
        <v>0</v>
      </c>
      <c r="J142" s="356">
        <f t="shared" si="159"/>
        <v>0</v>
      </c>
      <c r="K142" s="334">
        <f t="shared" si="159"/>
        <v>0</v>
      </c>
      <c r="L142" s="334">
        <f t="shared" ref="L142:M142" si="160">L65/EXCHANGE_RATE</f>
        <v>0</v>
      </c>
      <c r="M142" s="334">
        <f t="shared" si="160"/>
        <v>0</v>
      </c>
      <c r="N142" s="334">
        <f t="shared" ref="N142:AD142" si="161">N65/EXCHANGE_RATE</f>
        <v>0</v>
      </c>
      <c r="O142" s="334">
        <f t="shared" si="161"/>
        <v>0</v>
      </c>
      <c r="P142" s="334">
        <f t="shared" si="161"/>
        <v>0</v>
      </c>
      <c r="Q142" s="334">
        <f t="shared" si="161"/>
        <v>0</v>
      </c>
      <c r="R142" s="334">
        <f t="shared" si="161"/>
        <v>0</v>
      </c>
      <c r="S142" s="334">
        <f t="shared" si="161"/>
        <v>0</v>
      </c>
      <c r="T142" s="334">
        <f t="shared" si="161"/>
        <v>0</v>
      </c>
      <c r="U142" s="334">
        <f t="shared" si="161"/>
        <v>0</v>
      </c>
      <c r="V142" s="334">
        <f t="shared" si="161"/>
        <v>0</v>
      </c>
      <c r="W142" s="334">
        <f t="shared" si="161"/>
        <v>0</v>
      </c>
      <c r="X142" s="334">
        <f t="shared" si="161"/>
        <v>0</v>
      </c>
      <c r="Y142" s="334">
        <f t="shared" si="161"/>
        <v>0</v>
      </c>
      <c r="Z142" s="334">
        <f t="shared" si="161"/>
        <v>0</v>
      </c>
      <c r="AA142" s="334">
        <f t="shared" si="161"/>
        <v>0</v>
      </c>
      <c r="AB142" s="334">
        <f t="shared" si="161"/>
        <v>0</v>
      </c>
      <c r="AC142" s="334">
        <f t="shared" si="161"/>
        <v>0</v>
      </c>
      <c r="AD142" s="334">
        <f t="shared" si="161"/>
        <v>0</v>
      </c>
    </row>
    <row r="143" spans="5:30" ht="12" x14ac:dyDescent="0.2">
      <c r="F143" s="94" t="str">
        <f>STRAT8_IND5</f>
        <v>Objetivo estratégico 8 Indicador 5</v>
      </c>
      <c r="G143" s="94" t="str">
        <f ca="1">OFFSET(Variables_Lu!$D$10,Basic_Setup!H80,0)</f>
        <v>Nutrition-specific</v>
      </c>
      <c r="H143" s="354">
        <f t="shared" si="107"/>
        <v>0</v>
      </c>
      <c r="I143" s="355">
        <f t="shared" ref="I143:K143" si="162">I66/EXCHANGE_RATE</f>
        <v>0</v>
      </c>
      <c r="J143" s="356">
        <f t="shared" si="162"/>
        <v>0</v>
      </c>
      <c r="K143" s="334">
        <f t="shared" si="162"/>
        <v>0</v>
      </c>
      <c r="L143" s="334">
        <f t="shared" ref="L143:M143" si="163">L66/EXCHANGE_RATE</f>
        <v>0</v>
      </c>
      <c r="M143" s="334">
        <f t="shared" si="163"/>
        <v>0</v>
      </c>
      <c r="N143" s="334">
        <f t="shared" ref="N143:AD143" si="164">N66/EXCHANGE_RATE</f>
        <v>0</v>
      </c>
      <c r="O143" s="334">
        <f t="shared" si="164"/>
        <v>0</v>
      </c>
      <c r="P143" s="334">
        <f t="shared" si="164"/>
        <v>0</v>
      </c>
      <c r="Q143" s="334">
        <f t="shared" si="164"/>
        <v>0</v>
      </c>
      <c r="R143" s="334">
        <f t="shared" si="164"/>
        <v>0</v>
      </c>
      <c r="S143" s="334">
        <f t="shared" si="164"/>
        <v>0</v>
      </c>
      <c r="T143" s="334">
        <f t="shared" si="164"/>
        <v>0</v>
      </c>
      <c r="U143" s="334">
        <f t="shared" si="164"/>
        <v>0</v>
      </c>
      <c r="V143" s="334">
        <f t="shared" si="164"/>
        <v>0</v>
      </c>
      <c r="W143" s="334">
        <f t="shared" si="164"/>
        <v>0</v>
      </c>
      <c r="X143" s="334">
        <f t="shared" si="164"/>
        <v>0</v>
      </c>
      <c r="Y143" s="334">
        <f t="shared" si="164"/>
        <v>0</v>
      </c>
      <c r="Z143" s="334">
        <f t="shared" si="164"/>
        <v>0</v>
      </c>
      <c r="AA143" s="334">
        <f t="shared" si="164"/>
        <v>0</v>
      </c>
      <c r="AB143" s="334">
        <f t="shared" si="164"/>
        <v>0</v>
      </c>
      <c r="AC143" s="334">
        <f t="shared" si="164"/>
        <v>0</v>
      </c>
      <c r="AD143" s="334">
        <f t="shared" si="164"/>
        <v>0</v>
      </c>
    </row>
    <row r="144" spans="5:30" x14ac:dyDescent="0.2">
      <c r="F144" s="332" t="str">
        <f>"Subtotal: "&amp;E138</f>
        <v>Subtotal: Objetivo estratégico 8: [No está en uso]</v>
      </c>
      <c r="G144" s="333"/>
      <c r="H144" s="357">
        <f t="shared" si="107"/>
        <v>0</v>
      </c>
      <c r="I144" s="358">
        <f t="shared" ref="I144:K144" si="165">I67/EXCHANGE_RATE</f>
        <v>0</v>
      </c>
      <c r="J144" s="358">
        <f t="shared" si="165"/>
        <v>0</v>
      </c>
      <c r="K144" s="337">
        <f t="shared" si="165"/>
        <v>0</v>
      </c>
      <c r="L144" s="337">
        <f t="shared" ref="L144:M144" si="166">L67/EXCHANGE_RATE</f>
        <v>0</v>
      </c>
      <c r="M144" s="337">
        <f t="shared" si="166"/>
        <v>0</v>
      </c>
      <c r="N144" s="337">
        <f t="shared" ref="N144:AD144" si="167">N67/EXCHANGE_RATE</f>
        <v>0</v>
      </c>
      <c r="O144" s="337">
        <f t="shared" si="167"/>
        <v>0</v>
      </c>
      <c r="P144" s="337">
        <f t="shared" si="167"/>
        <v>0</v>
      </c>
      <c r="Q144" s="337">
        <f t="shared" si="167"/>
        <v>0</v>
      </c>
      <c r="R144" s="337">
        <f t="shared" si="167"/>
        <v>0</v>
      </c>
      <c r="S144" s="337">
        <f t="shared" si="167"/>
        <v>0</v>
      </c>
      <c r="T144" s="337">
        <f t="shared" si="167"/>
        <v>0</v>
      </c>
      <c r="U144" s="337">
        <f t="shared" si="167"/>
        <v>0</v>
      </c>
      <c r="V144" s="337">
        <f t="shared" si="167"/>
        <v>0</v>
      </c>
      <c r="W144" s="337">
        <f t="shared" si="167"/>
        <v>0</v>
      </c>
      <c r="X144" s="337">
        <f t="shared" si="167"/>
        <v>0</v>
      </c>
      <c r="Y144" s="337">
        <f t="shared" si="167"/>
        <v>0</v>
      </c>
      <c r="Z144" s="337">
        <f t="shared" si="167"/>
        <v>0</v>
      </c>
      <c r="AA144" s="337">
        <f t="shared" si="167"/>
        <v>0</v>
      </c>
      <c r="AB144" s="337">
        <f t="shared" si="167"/>
        <v>0</v>
      </c>
      <c r="AC144" s="337">
        <f t="shared" si="167"/>
        <v>0</v>
      </c>
      <c r="AD144" s="337">
        <f t="shared" si="167"/>
        <v>0</v>
      </c>
    </row>
    <row r="145" spans="5:30" ht="12" x14ac:dyDescent="0.2">
      <c r="E145" s="301" t="str">
        <f>Strategy9</f>
        <v>Objetivo estratégico 9: [No está en uso]</v>
      </c>
      <c r="G145" s="94"/>
      <c r="H145" s="354"/>
      <c r="I145" s="355"/>
      <c r="J145" s="359"/>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5:30" ht="12" x14ac:dyDescent="0.2">
      <c r="F146" s="94" t="str">
        <f>STRAT9_IND1</f>
        <v>Objetivo estratégico 9 Indicador 1</v>
      </c>
      <c r="G146" s="94" t="str">
        <f ca="1">OFFSET(Variables_Lu!$D$10,Basic_Setup!H82,0)</f>
        <v>Nutrition-specific</v>
      </c>
      <c r="H146" s="354">
        <f t="shared" si="107"/>
        <v>0</v>
      </c>
      <c r="I146" s="355">
        <f t="shared" ref="I146:K146" si="168">I69/EXCHANGE_RATE</f>
        <v>0</v>
      </c>
      <c r="J146" s="356">
        <f t="shared" si="168"/>
        <v>0</v>
      </c>
      <c r="K146" s="334">
        <f t="shared" si="168"/>
        <v>0</v>
      </c>
      <c r="L146" s="334">
        <f t="shared" ref="L146:M146" si="169">L69/EXCHANGE_RATE</f>
        <v>0</v>
      </c>
      <c r="M146" s="334">
        <f t="shared" si="169"/>
        <v>0</v>
      </c>
      <c r="N146" s="334">
        <f t="shared" ref="N146:AD146" si="170">N69/EXCHANGE_RATE</f>
        <v>0</v>
      </c>
      <c r="O146" s="334">
        <f t="shared" si="170"/>
        <v>0</v>
      </c>
      <c r="P146" s="334">
        <f t="shared" si="170"/>
        <v>0</v>
      </c>
      <c r="Q146" s="334">
        <f t="shared" si="170"/>
        <v>0</v>
      </c>
      <c r="R146" s="334">
        <f t="shared" si="170"/>
        <v>0</v>
      </c>
      <c r="S146" s="334">
        <f t="shared" si="170"/>
        <v>0</v>
      </c>
      <c r="T146" s="334">
        <f t="shared" si="170"/>
        <v>0</v>
      </c>
      <c r="U146" s="334">
        <f t="shared" si="170"/>
        <v>0</v>
      </c>
      <c r="V146" s="334">
        <f t="shared" si="170"/>
        <v>0</v>
      </c>
      <c r="W146" s="334">
        <f t="shared" si="170"/>
        <v>0</v>
      </c>
      <c r="X146" s="334">
        <f t="shared" si="170"/>
        <v>0</v>
      </c>
      <c r="Y146" s="334">
        <f t="shared" si="170"/>
        <v>0</v>
      </c>
      <c r="Z146" s="334">
        <f t="shared" si="170"/>
        <v>0</v>
      </c>
      <c r="AA146" s="334">
        <f t="shared" si="170"/>
        <v>0</v>
      </c>
      <c r="AB146" s="334">
        <f t="shared" si="170"/>
        <v>0</v>
      </c>
      <c r="AC146" s="334">
        <f t="shared" si="170"/>
        <v>0</v>
      </c>
      <c r="AD146" s="334">
        <f t="shared" si="170"/>
        <v>0</v>
      </c>
    </row>
    <row r="147" spans="5:30" ht="12" x14ac:dyDescent="0.2">
      <c r="F147" s="94" t="str">
        <f>STRAT9_IND2</f>
        <v>Objetivo estratégico 9 Indicador 2</v>
      </c>
      <c r="G147" s="94" t="str">
        <f ca="1">OFFSET(Variables_Lu!$D$10,Basic_Setup!H83,0)</f>
        <v>Nutrition-specific</v>
      </c>
      <c r="H147" s="354">
        <f t="shared" si="107"/>
        <v>0</v>
      </c>
      <c r="I147" s="355">
        <f t="shared" ref="I147:K147" si="171">I70/EXCHANGE_RATE</f>
        <v>0</v>
      </c>
      <c r="J147" s="356">
        <f t="shared" si="171"/>
        <v>0</v>
      </c>
      <c r="K147" s="334">
        <f t="shared" si="171"/>
        <v>0</v>
      </c>
      <c r="L147" s="334">
        <f t="shared" ref="L147:M147" si="172">L70/EXCHANGE_RATE</f>
        <v>0</v>
      </c>
      <c r="M147" s="334">
        <f t="shared" si="172"/>
        <v>0</v>
      </c>
      <c r="N147" s="334">
        <f t="shared" ref="N147:AD147" si="173">N70/EXCHANGE_RATE</f>
        <v>0</v>
      </c>
      <c r="O147" s="334">
        <f t="shared" si="173"/>
        <v>0</v>
      </c>
      <c r="P147" s="334">
        <f t="shared" si="173"/>
        <v>0</v>
      </c>
      <c r="Q147" s="334">
        <f t="shared" si="173"/>
        <v>0</v>
      </c>
      <c r="R147" s="334">
        <f t="shared" si="173"/>
        <v>0</v>
      </c>
      <c r="S147" s="334">
        <f t="shared" si="173"/>
        <v>0</v>
      </c>
      <c r="T147" s="334">
        <f t="shared" si="173"/>
        <v>0</v>
      </c>
      <c r="U147" s="334">
        <f t="shared" si="173"/>
        <v>0</v>
      </c>
      <c r="V147" s="334">
        <f t="shared" si="173"/>
        <v>0</v>
      </c>
      <c r="W147" s="334">
        <f t="shared" si="173"/>
        <v>0</v>
      </c>
      <c r="X147" s="334">
        <f t="shared" si="173"/>
        <v>0</v>
      </c>
      <c r="Y147" s="334">
        <f t="shared" si="173"/>
        <v>0</v>
      </c>
      <c r="Z147" s="334">
        <f t="shared" si="173"/>
        <v>0</v>
      </c>
      <c r="AA147" s="334">
        <f t="shared" si="173"/>
        <v>0</v>
      </c>
      <c r="AB147" s="334">
        <f t="shared" si="173"/>
        <v>0</v>
      </c>
      <c r="AC147" s="334">
        <f t="shared" si="173"/>
        <v>0</v>
      </c>
      <c r="AD147" s="334">
        <f t="shared" si="173"/>
        <v>0</v>
      </c>
    </row>
    <row r="148" spans="5:30" ht="12" x14ac:dyDescent="0.2">
      <c r="F148" s="94" t="str">
        <f>STRAT9_IND3</f>
        <v>Objetivo estratégico 9 Indicador 3</v>
      </c>
      <c r="G148" s="94" t="str">
        <f ca="1">OFFSET(Variables_Lu!$D$10,Basic_Setup!H84,0)</f>
        <v>Nutrition-specific</v>
      </c>
      <c r="H148" s="354">
        <f t="shared" si="107"/>
        <v>0</v>
      </c>
      <c r="I148" s="355">
        <f t="shared" ref="I148:K148" si="174">I71/EXCHANGE_RATE</f>
        <v>0</v>
      </c>
      <c r="J148" s="356">
        <f t="shared" si="174"/>
        <v>0</v>
      </c>
      <c r="K148" s="334">
        <f t="shared" si="174"/>
        <v>0</v>
      </c>
      <c r="L148" s="334">
        <f t="shared" ref="L148:M148" si="175">L71/EXCHANGE_RATE</f>
        <v>0</v>
      </c>
      <c r="M148" s="334">
        <f t="shared" si="175"/>
        <v>0</v>
      </c>
      <c r="N148" s="334">
        <f t="shared" ref="N148:AD148" si="176">N71/EXCHANGE_RATE</f>
        <v>0</v>
      </c>
      <c r="O148" s="334">
        <f t="shared" si="176"/>
        <v>0</v>
      </c>
      <c r="P148" s="334">
        <f t="shared" si="176"/>
        <v>0</v>
      </c>
      <c r="Q148" s="334">
        <f t="shared" si="176"/>
        <v>0</v>
      </c>
      <c r="R148" s="334">
        <f t="shared" si="176"/>
        <v>0</v>
      </c>
      <c r="S148" s="334">
        <f t="shared" si="176"/>
        <v>0</v>
      </c>
      <c r="T148" s="334">
        <f t="shared" si="176"/>
        <v>0</v>
      </c>
      <c r="U148" s="334">
        <f t="shared" si="176"/>
        <v>0</v>
      </c>
      <c r="V148" s="334">
        <f t="shared" si="176"/>
        <v>0</v>
      </c>
      <c r="W148" s="334">
        <f t="shared" si="176"/>
        <v>0</v>
      </c>
      <c r="X148" s="334">
        <f t="shared" si="176"/>
        <v>0</v>
      </c>
      <c r="Y148" s="334">
        <f t="shared" si="176"/>
        <v>0</v>
      </c>
      <c r="Z148" s="334">
        <f t="shared" si="176"/>
        <v>0</v>
      </c>
      <c r="AA148" s="334">
        <f t="shared" si="176"/>
        <v>0</v>
      </c>
      <c r="AB148" s="334">
        <f t="shared" si="176"/>
        <v>0</v>
      </c>
      <c r="AC148" s="334">
        <f t="shared" si="176"/>
        <v>0</v>
      </c>
      <c r="AD148" s="334">
        <f t="shared" si="176"/>
        <v>0</v>
      </c>
    </row>
    <row r="149" spans="5:30" ht="11.25" customHeight="1" x14ac:dyDescent="0.2">
      <c r="F149" s="94" t="str">
        <f>STRAT9_IND4</f>
        <v>Objetivo estratégico 9 Indicador 4</v>
      </c>
      <c r="G149" s="94" t="str">
        <f ca="1">OFFSET(Variables_Lu!$D$10,Basic_Setup!H85,0)</f>
        <v>Nutrition-specific</v>
      </c>
      <c r="H149" s="354">
        <f t="shared" si="107"/>
        <v>0</v>
      </c>
      <c r="I149" s="355">
        <f t="shared" ref="I149:K149" si="177">I72/EXCHANGE_RATE</f>
        <v>0</v>
      </c>
      <c r="J149" s="356">
        <f t="shared" si="177"/>
        <v>0</v>
      </c>
      <c r="K149" s="334">
        <f t="shared" si="177"/>
        <v>0</v>
      </c>
      <c r="L149" s="334">
        <f t="shared" ref="L149:M149" si="178">L72/EXCHANGE_RATE</f>
        <v>0</v>
      </c>
      <c r="M149" s="334">
        <f t="shared" si="178"/>
        <v>0</v>
      </c>
      <c r="N149" s="334">
        <f t="shared" ref="N149:AD149" si="179">N72/EXCHANGE_RATE</f>
        <v>0</v>
      </c>
      <c r="O149" s="334">
        <f t="shared" si="179"/>
        <v>0</v>
      </c>
      <c r="P149" s="334">
        <f t="shared" si="179"/>
        <v>0</v>
      </c>
      <c r="Q149" s="334">
        <f t="shared" si="179"/>
        <v>0</v>
      </c>
      <c r="R149" s="334">
        <f t="shared" si="179"/>
        <v>0</v>
      </c>
      <c r="S149" s="334">
        <f t="shared" si="179"/>
        <v>0</v>
      </c>
      <c r="T149" s="334">
        <f t="shared" si="179"/>
        <v>0</v>
      </c>
      <c r="U149" s="334">
        <f t="shared" si="179"/>
        <v>0</v>
      </c>
      <c r="V149" s="334">
        <f t="shared" si="179"/>
        <v>0</v>
      </c>
      <c r="W149" s="334">
        <f t="shared" si="179"/>
        <v>0</v>
      </c>
      <c r="X149" s="334">
        <f t="shared" si="179"/>
        <v>0</v>
      </c>
      <c r="Y149" s="334">
        <f t="shared" si="179"/>
        <v>0</v>
      </c>
      <c r="Z149" s="334">
        <f t="shared" si="179"/>
        <v>0</v>
      </c>
      <c r="AA149" s="334">
        <f t="shared" si="179"/>
        <v>0</v>
      </c>
      <c r="AB149" s="334">
        <f t="shared" si="179"/>
        <v>0</v>
      </c>
      <c r="AC149" s="334">
        <f t="shared" si="179"/>
        <v>0</v>
      </c>
      <c r="AD149" s="334">
        <f t="shared" si="179"/>
        <v>0</v>
      </c>
    </row>
    <row r="150" spans="5:30" ht="12" x14ac:dyDescent="0.2">
      <c r="F150" s="94" t="str">
        <f>STRAT9_IND5</f>
        <v>Objetivo estratégico 9 Indicador 5</v>
      </c>
      <c r="G150" s="94" t="str">
        <f ca="1">OFFSET(Variables_Lu!$D$10,Basic_Setup!H86,0)</f>
        <v>Nutrition-specific</v>
      </c>
      <c r="H150" s="354">
        <f t="shared" si="107"/>
        <v>0</v>
      </c>
      <c r="I150" s="355">
        <f t="shared" ref="I150:K150" si="180">I73/EXCHANGE_RATE</f>
        <v>0</v>
      </c>
      <c r="J150" s="356">
        <f t="shared" si="180"/>
        <v>0</v>
      </c>
      <c r="K150" s="334">
        <f t="shared" si="180"/>
        <v>0</v>
      </c>
      <c r="L150" s="334">
        <f t="shared" ref="L150:M150" si="181">L73/EXCHANGE_RATE</f>
        <v>0</v>
      </c>
      <c r="M150" s="334">
        <f t="shared" si="181"/>
        <v>0</v>
      </c>
      <c r="N150" s="334">
        <f t="shared" ref="N150:AD150" si="182">N73/EXCHANGE_RATE</f>
        <v>0</v>
      </c>
      <c r="O150" s="334">
        <f t="shared" si="182"/>
        <v>0</v>
      </c>
      <c r="P150" s="334">
        <f t="shared" si="182"/>
        <v>0</v>
      </c>
      <c r="Q150" s="334">
        <f t="shared" si="182"/>
        <v>0</v>
      </c>
      <c r="R150" s="334">
        <f t="shared" si="182"/>
        <v>0</v>
      </c>
      <c r="S150" s="334">
        <f t="shared" si="182"/>
        <v>0</v>
      </c>
      <c r="T150" s="334">
        <f t="shared" si="182"/>
        <v>0</v>
      </c>
      <c r="U150" s="334">
        <f t="shared" si="182"/>
        <v>0</v>
      </c>
      <c r="V150" s="334">
        <f t="shared" si="182"/>
        <v>0</v>
      </c>
      <c r="W150" s="334">
        <f t="shared" si="182"/>
        <v>0</v>
      </c>
      <c r="X150" s="334">
        <f t="shared" si="182"/>
        <v>0</v>
      </c>
      <c r="Y150" s="334">
        <f t="shared" si="182"/>
        <v>0</v>
      </c>
      <c r="Z150" s="334">
        <f t="shared" si="182"/>
        <v>0</v>
      </c>
      <c r="AA150" s="334">
        <f t="shared" si="182"/>
        <v>0</v>
      </c>
      <c r="AB150" s="334">
        <f t="shared" si="182"/>
        <v>0</v>
      </c>
      <c r="AC150" s="334">
        <f t="shared" si="182"/>
        <v>0</v>
      </c>
      <c r="AD150" s="334">
        <f t="shared" si="182"/>
        <v>0</v>
      </c>
    </row>
    <row r="151" spans="5:30" x14ac:dyDescent="0.2">
      <c r="F151" s="332" t="str">
        <f>"Subtotal: "&amp;E145</f>
        <v>Subtotal: Objetivo estratégico 9: [No está en uso]</v>
      </c>
      <c r="G151" s="333"/>
      <c r="H151" s="357">
        <f t="shared" si="107"/>
        <v>0</v>
      </c>
      <c r="I151" s="358">
        <f t="shared" ref="I151:K151" si="183">I74/EXCHANGE_RATE</f>
        <v>0</v>
      </c>
      <c r="J151" s="358">
        <f t="shared" si="183"/>
        <v>0</v>
      </c>
      <c r="K151" s="337">
        <f t="shared" si="183"/>
        <v>0</v>
      </c>
      <c r="L151" s="337">
        <f t="shared" ref="L151:M151" si="184">L74/EXCHANGE_RATE</f>
        <v>0</v>
      </c>
      <c r="M151" s="337">
        <f t="shared" si="184"/>
        <v>0</v>
      </c>
      <c r="N151" s="337">
        <f t="shared" ref="N151:AD151" si="185">N74/EXCHANGE_RATE</f>
        <v>0</v>
      </c>
      <c r="O151" s="337">
        <f t="shared" si="185"/>
        <v>0</v>
      </c>
      <c r="P151" s="337">
        <f t="shared" si="185"/>
        <v>0</v>
      </c>
      <c r="Q151" s="337">
        <f t="shared" si="185"/>
        <v>0</v>
      </c>
      <c r="R151" s="337">
        <f t="shared" si="185"/>
        <v>0</v>
      </c>
      <c r="S151" s="337">
        <f t="shared" si="185"/>
        <v>0</v>
      </c>
      <c r="T151" s="337">
        <f t="shared" si="185"/>
        <v>0</v>
      </c>
      <c r="U151" s="337">
        <f t="shared" si="185"/>
        <v>0</v>
      </c>
      <c r="V151" s="337">
        <f t="shared" si="185"/>
        <v>0</v>
      </c>
      <c r="W151" s="337">
        <f t="shared" si="185"/>
        <v>0</v>
      </c>
      <c r="X151" s="337">
        <f t="shared" si="185"/>
        <v>0</v>
      </c>
      <c r="Y151" s="337">
        <f t="shared" si="185"/>
        <v>0</v>
      </c>
      <c r="Z151" s="337">
        <f t="shared" si="185"/>
        <v>0</v>
      </c>
      <c r="AA151" s="337">
        <f t="shared" si="185"/>
        <v>0</v>
      </c>
      <c r="AB151" s="337">
        <f t="shared" si="185"/>
        <v>0</v>
      </c>
      <c r="AC151" s="337">
        <f t="shared" si="185"/>
        <v>0</v>
      </c>
      <c r="AD151" s="337">
        <f t="shared" si="185"/>
        <v>0</v>
      </c>
    </row>
    <row r="152" spans="5:30" ht="12" x14ac:dyDescent="0.2">
      <c r="E152" s="301" t="str">
        <f>Strategy10</f>
        <v>Objetivo estratégico 10: [No está en uso]</v>
      </c>
      <c r="G152" s="94"/>
      <c r="H152" s="354"/>
      <c r="I152" s="355"/>
      <c r="J152" s="359"/>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5:30" ht="12" x14ac:dyDescent="0.2">
      <c r="F153" s="94" t="str">
        <f>STRAT10_IND1</f>
        <v>Objetivo estratégico 10 Indicador 1</v>
      </c>
      <c r="G153" s="94" t="str">
        <f ca="1">OFFSET(Variables_Lu!$D$10,Basic_Setup!H88,0)</f>
        <v>Nutrition-specific</v>
      </c>
      <c r="H153" s="354">
        <f t="shared" si="107"/>
        <v>0</v>
      </c>
      <c r="I153" s="355">
        <f t="shared" ref="I153:K153" si="186">I76/EXCHANGE_RATE</f>
        <v>0</v>
      </c>
      <c r="J153" s="356">
        <f t="shared" si="186"/>
        <v>0</v>
      </c>
      <c r="K153" s="334">
        <f t="shared" si="186"/>
        <v>0</v>
      </c>
      <c r="L153" s="334">
        <f t="shared" ref="L153:M153" si="187">L76/EXCHANGE_RATE</f>
        <v>0</v>
      </c>
      <c r="M153" s="334">
        <f t="shared" si="187"/>
        <v>0</v>
      </c>
      <c r="N153" s="334">
        <f t="shared" ref="N153:AD153" si="188">N76/EXCHANGE_RATE</f>
        <v>0</v>
      </c>
      <c r="O153" s="334">
        <f t="shared" si="188"/>
        <v>0</v>
      </c>
      <c r="P153" s="334">
        <f t="shared" si="188"/>
        <v>0</v>
      </c>
      <c r="Q153" s="334">
        <f t="shared" si="188"/>
        <v>0</v>
      </c>
      <c r="R153" s="334">
        <f t="shared" si="188"/>
        <v>0</v>
      </c>
      <c r="S153" s="334">
        <f t="shared" si="188"/>
        <v>0</v>
      </c>
      <c r="T153" s="334">
        <f t="shared" si="188"/>
        <v>0</v>
      </c>
      <c r="U153" s="334">
        <f t="shared" si="188"/>
        <v>0</v>
      </c>
      <c r="V153" s="334">
        <f t="shared" si="188"/>
        <v>0</v>
      </c>
      <c r="W153" s="334">
        <f t="shared" si="188"/>
        <v>0</v>
      </c>
      <c r="X153" s="334">
        <f t="shared" si="188"/>
        <v>0</v>
      </c>
      <c r="Y153" s="334">
        <f t="shared" si="188"/>
        <v>0</v>
      </c>
      <c r="Z153" s="334">
        <f t="shared" si="188"/>
        <v>0</v>
      </c>
      <c r="AA153" s="334">
        <f t="shared" si="188"/>
        <v>0</v>
      </c>
      <c r="AB153" s="334">
        <f t="shared" si="188"/>
        <v>0</v>
      </c>
      <c r="AC153" s="334">
        <f t="shared" si="188"/>
        <v>0</v>
      </c>
      <c r="AD153" s="334">
        <f t="shared" si="188"/>
        <v>0</v>
      </c>
    </row>
    <row r="154" spans="5:30" ht="12" x14ac:dyDescent="0.2">
      <c r="F154" s="94" t="str">
        <f>STRAT10_IND2</f>
        <v>Objetivo estratégico 10 Indicador 2</v>
      </c>
      <c r="G154" s="94" t="str">
        <f ca="1">OFFSET(Variables_Lu!$D$10,Basic_Setup!H89,0)</f>
        <v>Nutrition-specific</v>
      </c>
      <c r="H154" s="354">
        <f t="shared" ref="H154:H158" si="189">H77/EXCHANGE_RATE</f>
        <v>0</v>
      </c>
      <c r="I154" s="355">
        <f t="shared" ref="I154:K154" si="190">I77/EXCHANGE_RATE</f>
        <v>0</v>
      </c>
      <c r="J154" s="356">
        <f t="shared" si="190"/>
        <v>0</v>
      </c>
      <c r="K154" s="334">
        <f t="shared" si="190"/>
        <v>0</v>
      </c>
      <c r="L154" s="334">
        <f t="shared" ref="L154:M154" si="191">L77/EXCHANGE_RATE</f>
        <v>0</v>
      </c>
      <c r="M154" s="334">
        <f t="shared" si="191"/>
        <v>0</v>
      </c>
      <c r="N154" s="334">
        <f t="shared" ref="N154:AD154" si="192">N77/EXCHANGE_RATE</f>
        <v>0</v>
      </c>
      <c r="O154" s="334">
        <f t="shared" si="192"/>
        <v>0</v>
      </c>
      <c r="P154" s="334">
        <f t="shared" si="192"/>
        <v>0</v>
      </c>
      <c r="Q154" s="334">
        <f t="shared" si="192"/>
        <v>0</v>
      </c>
      <c r="R154" s="334">
        <f t="shared" si="192"/>
        <v>0</v>
      </c>
      <c r="S154" s="334">
        <f t="shared" si="192"/>
        <v>0</v>
      </c>
      <c r="T154" s="334">
        <f t="shared" si="192"/>
        <v>0</v>
      </c>
      <c r="U154" s="334">
        <f t="shared" si="192"/>
        <v>0</v>
      </c>
      <c r="V154" s="334">
        <f t="shared" si="192"/>
        <v>0</v>
      </c>
      <c r="W154" s="334">
        <f t="shared" si="192"/>
        <v>0</v>
      </c>
      <c r="X154" s="334">
        <f t="shared" si="192"/>
        <v>0</v>
      </c>
      <c r="Y154" s="334">
        <f t="shared" si="192"/>
        <v>0</v>
      </c>
      <c r="Z154" s="334">
        <f t="shared" si="192"/>
        <v>0</v>
      </c>
      <c r="AA154" s="334">
        <f t="shared" si="192"/>
        <v>0</v>
      </c>
      <c r="AB154" s="334">
        <f t="shared" si="192"/>
        <v>0</v>
      </c>
      <c r="AC154" s="334">
        <f t="shared" si="192"/>
        <v>0</v>
      </c>
      <c r="AD154" s="334">
        <f t="shared" si="192"/>
        <v>0</v>
      </c>
    </row>
    <row r="155" spans="5:30" ht="12" x14ac:dyDescent="0.2">
      <c r="F155" s="94" t="str">
        <f>STRAT10_IND3</f>
        <v>Objetivo estratégico 10 Indicador 3</v>
      </c>
      <c r="G155" s="94" t="str">
        <f ca="1">OFFSET(Variables_Lu!$D$10,Basic_Setup!H90,0)</f>
        <v>Nutrition-specific</v>
      </c>
      <c r="H155" s="354">
        <f t="shared" si="189"/>
        <v>0</v>
      </c>
      <c r="I155" s="355">
        <f t="shared" ref="I155:K155" si="193">I78/EXCHANGE_RATE</f>
        <v>0</v>
      </c>
      <c r="J155" s="356">
        <f t="shared" si="193"/>
        <v>0</v>
      </c>
      <c r="K155" s="334">
        <f t="shared" si="193"/>
        <v>0</v>
      </c>
      <c r="L155" s="334">
        <f t="shared" ref="L155:M155" si="194">L78/EXCHANGE_RATE</f>
        <v>0</v>
      </c>
      <c r="M155" s="334">
        <f t="shared" si="194"/>
        <v>0</v>
      </c>
      <c r="N155" s="334">
        <f t="shared" ref="N155:AD155" si="195">N78/EXCHANGE_RATE</f>
        <v>0</v>
      </c>
      <c r="O155" s="334">
        <f t="shared" si="195"/>
        <v>0</v>
      </c>
      <c r="P155" s="334">
        <f t="shared" si="195"/>
        <v>0</v>
      </c>
      <c r="Q155" s="334">
        <f t="shared" si="195"/>
        <v>0</v>
      </c>
      <c r="R155" s="334">
        <f t="shared" si="195"/>
        <v>0</v>
      </c>
      <c r="S155" s="334">
        <f t="shared" si="195"/>
        <v>0</v>
      </c>
      <c r="T155" s="334">
        <f t="shared" si="195"/>
        <v>0</v>
      </c>
      <c r="U155" s="334">
        <f t="shared" si="195"/>
        <v>0</v>
      </c>
      <c r="V155" s="334">
        <f t="shared" si="195"/>
        <v>0</v>
      </c>
      <c r="W155" s="334">
        <f t="shared" si="195"/>
        <v>0</v>
      </c>
      <c r="X155" s="334">
        <f t="shared" si="195"/>
        <v>0</v>
      </c>
      <c r="Y155" s="334">
        <f t="shared" si="195"/>
        <v>0</v>
      </c>
      <c r="Z155" s="334">
        <f t="shared" si="195"/>
        <v>0</v>
      </c>
      <c r="AA155" s="334">
        <f t="shared" si="195"/>
        <v>0</v>
      </c>
      <c r="AB155" s="334">
        <f t="shared" si="195"/>
        <v>0</v>
      </c>
      <c r="AC155" s="334">
        <f t="shared" si="195"/>
        <v>0</v>
      </c>
      <c r="AD155" s="334">
        <f t="shared" si="195"/>
        <v>0</v>
      </c>
    </row>
    <row r="156" spans="5:30" ht="12" x14ac:dyDescent="0.2">
      <c r="F156" s="94" t="str">
        <f>STRAT10_IND4</f>
        <v>Objetivo estratégico 10 Indicador 4</v>
      </c>
      <c r="G156" s="94" t="str">
        <f ca="1">OFFSET(Variables_Lu!$D$10,Basic_Setup!H91,0)</f>
        <v>Nutrition-specific</v>
      </c>
      <c r="H156" s="354">
        <f t="shared" si="189"/>
        <v>0</v>
      </c>
      <c r="I156" s="355">
        <f t="shared" ref="I156:K156" si="196">I79/EXCHANGE_RATE</f>
        <v>0</v>
      </c>
      <c r="J156" s="356">
        <f t="shared" si="196"/>
        <v>0</v>
      </c>
      <c r="K156" s="334">
        <f t="shared" si="196"/>
        <v>0</v>
      </c>
      <c r="L156" s="334">
        <f t="shared" ref="L156:M156" si="197">L79/EXCHANGE_RATE</f>
        <v>0</v>
      </c>
      <c r="M156" s="334">
        <f t="shared" si="197"/>
        <v>0</v>
      </c>
      <c r="N156" s="334">
        <f t="shared" ref="N156:AD156" si="198">N79/EXCHANGE_RATE</f>
        <v>0</v>
      </c>
      <c r="O156" s="334">
        <f t="shared" si="198"/>
        <v>0</v>
      </c>
      <c r="P156" s="334">
        <f t="shared" si="198"/>
        <v>0</v>
      </c>
      <c r="Q156" s="334">
        <f t="shared" si="198"/>
        <v>0</v>
      </c>
      <c r="R156" s="334">
        <f t="shared" si="198"/>
        <v>0</v>
      </c>
      <c r="S156" s="334">
        <f t="shared" si="198"/>
        <v>0</v>
      </c>
      <c r="T156" s="334">
        <f t="shared" si="198"/>
        <v>0</v>
      </c>
      <c r="U156" s="334">
        <f t="shared" si="198"/>
        <v>0</v>
      </c>
      <c r="V156" s="334">
        <f t="shared" si="198"/>
        <v>0</v>
      </c>
      <c r="W156" s="334">
        <f t="shared" si="198"/>
        <v>0</v>
      </c>
      <c r="X156" s="334">
        <f t="shared" si="198"/>
        <v>0</v>
      </c>
      <c r="Y156" s="334">
        <f t="shared" si="198"/>
        <v>0</v>
      </c>
      <c r="Z156" s="334">
        <f t="shared" si="198"/>
        <v>0</v>
      </c>
      <c r="AA156" s="334">
        <f t="shared" si="198"/>
        <v>0</v>
      </c>
      <c r="AB156" s="334">
        <f t="shared" si="198"/>
        <v>0</v>
      </c>
      <c r="AC156" s="334">
        <f t="shared" si="198"/>
        <v>0</v>
      </c>
      <c r="AD156" s="334">
        <f t="shared" si="198"/>
        <v>0</v>
      </c>
    </row>
    <row r="157" spans="5:30" ht="12" x14ac:dyDescent="0.2">
      <c r="F157" s="94" t="str">
        <f>STRAT10_IND5</f>
        <v>Objetivo estratégico 10 Indicador 5</v>
      </c>
      <c r="G157" s="94" t="str">
        <f ca="1">OFFSET(Variables_Lu!$D$10,Basic_Setup!H92,0)</f>
        <v>Nutrition-specific</v>
      </c>
      <c r="H157" s="354">
        <f t="shared" si="189"/>
        <v>0</v>
      </c>
      <c r="I157" s="355">
        <f t="shared" ref="I157:K157" si="199">I80/EXCHANGE_RATE</f>
        <v>0</v>
      </c>
      <c r="J157" s="356">
        <f t="shared" si="199"/>
        <v>0</v>
      </c>
      <c r="K157" s="334">
        <f t="shared" si="199"/>
        <v>0</v>
      </c>
      <c r="L157" s="334">
        <f t="shared" ref="L157:M157" si="200">L80/EXCHANGE_RATE</f>
        <v>0</v>
      </c>
      <c r="M157" s="334">
        <f t="shared" si="200"/>
        <v>0</v>
      </c>
      <c r="N157" s="334">
        <f t="shared" ref="N157:AD157" si="201">N80/EXCHANGE_RATE</f>
        <v>0</v>
      </c>
      <c r="O157" s="334">
        <f t="shared" si="201"/>
        <v>0</v>
      </c>
      <c r="P157" s="334">
        <f t="shared" si="201"/>
        <v>0</v>
      </c>
      <c r="Q157" s="334">
        <f t="shared" si="201"/>
        <v>0</v>
      </c>
      <c r="R157" s="334">
        <f t="shared" si="201"/>
        <v>0</v>
      </c>
      <c r="S157" s="334">
        <f t="shared" si="201"/>
        <v>0</v>
      </c>
      <c r="T157" s="334">
        <f t="shared" si="201"/>
        <v>0</v>
      </c>
      <c r="U157" s="334">
        <f t="shared" si="201"/>
        <v>0</v>
      </c>
      <c r="V157" s="334">
        <f t="shared" si="201"/>
        <v>0</v>
      </c>
      <c r="W157" s="334">
        <f t="shared" si="201"/>
        <v>0</v>
      </c>
      <c r="X157" s="334">
        <f t="shared" si="201"/>
        <v>0</v>
      </c>
      <c r="Y157" s="334">
        <f t="shared" si="201"/>
        <v>0</v>
      </c>
      <c r="Z157" s="334">
        <f t="shared" si="201"/>
        <v>0</v>
      </c>
      <c r="AA157" s="334">
        <f t="shared" si="201"/>
        <v>0</v>
      </c>
      <c r="AB157" s="334">
        <f t="shared" si="201"/>
        <v>0</v>
      </c>
      <c r="AC157" s="334">
        <f t="shared" si="201"/>
        <v>0</v>
      </c>
      <c r="AD157" s="334">
        <f t="shared" si="201"/>
        <v>0</v>
      </c>
    </row>
    <row r="158" spans="5:30" ht="12.75" customHeight="1" x14ac:dyDescent="0.2">
      <c r="F158" s="332" t="str">
        <f>"Subtotal: "&amp;E152</f>
        <v>Subtotal: Objetivo estratégico 10: [No está en uso]</v>
      </c>
      <c r="G158" s="333"/>
      <c r="H158" s="357">
        <f t="shared" si="189"/>
        <v>0</v>
      </c>
      <c r="I158" s="358">
        <f t="shared" ref="I158:K158" si="202">I81/EXCHANGE_RATE</f>
        <v>0</v>
      </c>
      <c r="J158" s="358">
        <f t="shared" si="202"/>
        <v>0</v>
      </c>
      <c r="K158" s="337">
        <f t="shared" si="202"/>
        <v>0</v>
      </c>
      <c r="L158" s="337">
        <f t="shared" ref="L158:M158" si="203">L81/EXCHANGE_RATE</f>
        <v>0</v>
      </c>
      <c r="M158" s="337">
        <f t="shared" si="203"/>
        <v>0</v>
      </c>
      <c r="N158" s="337">
        <f t="shared" ref="N158:AD158" si="204">N81/EXCHANGE_RATE</f>
        <v>0</v>
      </c>
      <c r="O158" s="337">
        <f t="shared" si="204"/>
        <v>0</v>
      </c>
      <c r="P158" s="337">
        <f t="shared" si="204"/>
        <v>0</v>
      </c>
      <c r="Q158" s="337">
        <f t="shared" si="204"/>
        <v>0</v>
      </c>
      <c r="R158" s="337">
        <f t="shared" si="204"/>
        <v>0</v>
      </c>
      <c r="S158" s="337">
        <f t="shared" si="204"/>
        <v>0</v>
      </c>
      <c r="T158" s="337">
        <f t="shared" si="204"/>
        <v>0</v>
      </c>
      <c r="U158" s="337">
        <f t="shared" si="204"/>
        <v>0</v>
      </c>
      <c r="V158" s="337">
        <f t="shared" si="204"/>
        <v>0</v>
      </c>
      <c r="W158" s="337">
        <f t="shared" si="204"/>
        <v>0</v>
      </c>
      <c r="X158" s="337">
        <f t="shared" si="204"/>
        <v>0</v>
      </c>
      <c r="Y158" s="337">
        <f t="shared" si="204"/>
        <v>0</v>
      </c>
      <c r="Z158" s="337">
        <f t="shared" si="204"/>
        <v>0</v>
      </c>
      <c r="AA158" s="337">
        <f t="shared" si="204"/>
        <v>0</v>
      </c>
      <c r="AB158" s="337">
        <f t="shared" si="204"/>
        <v>0</v>
      </c>
      <c r="AC158" s="337">
        <f t="shared" si="204"/>
        <v>0</v>
      </c>
      <c r="AD158" s="337">
        <f t="shared" si="204"/>
        <v>0</v>
      </c>
    </row>
    <row r="159" spans="5:30" ht="12" x14ac:dyDescent="0.2">
      <c r="F159" s="142" t="str">
        <f>"Total "&amp;" ("&amp;E85&amp;")"</f>
        <v>Total  (USD)</v>
      </c>
      <c r="G159" s="142"/>
      <c r="H159" s="360">
        <f t="shared" ref="H159:AD159" si="205">H82/EXCHANGE_RATE</f>
        <v>450524156.89564317</v>
      </c>
      <c r="I159" s="360">
        <f t="shared" si="205"/>
        <v>207364111.55398691</v>
      </c>
      <c r="J159" s="361">
        <f t="shared" si="205"/>
        <v>243160045.34165627</v>
      </c>
      <c r="K159" s="336">
        <f t="shared" si="205"/>
        <v>11873655.833375001</v>
      </c>
      <c r="L159" s="336">
        <f t="shared" si="205"/>
        <v>1362323.7095937501</v>
      </c>
      <c r="M159" s="336">
        <f t="shared" si="205"/>
        <v>3575000</v>
      </c>
      <c r="N159" s="336">
        <f t="shared" si="205"/>
        <v>382686.31062500004</v>
      </c>
      <c r="O159" s="336">
        <f t="shared" si="205"/>
        <v>164637.04149999999</v>
      </c>
      <c r="P159" s="336">
        <f t="shared" si="205"/>
        <v>57860199.286812499</v>
      </c>
      <c r="Q159" s="336">
        <f t="shared" si="205"/>
        <v>7206357.8664999995</v>
      </c>
      <c r="R159" s="336">
        <f t="shared" si="205"/>
        <v>354277.29324999999</v>
      </c>
      <c r="S159" s="336">
        <f t="shared" si="205"/>
        <v>0</v>
      </c>
      <c r="T159" s="336">
        <f t="shared" si="205"/>
        <v>0</v>
      </c>
      <c r="U159" s="336">
        <f t="shared" si="205"/>
        <v>38040000</v>
      </c>
      <c r="V159" s="336">
        <f t="shared" si="205"/>
        <v>100000</v>
      </c>
      <c r="W159" s="336">
        <f t="shared" si="205"/>
        <v>100332548</v>
      </c>
      <c r="X159" s="336">
        <f t="shared" si="205"/>
        <v>2783360</v>
      </c>
      <c r="Y159" s="336">
        <f t="shared" si="205"/>
        <v>19125000</v>
      </c>
      <c r="Z159" s="336">
        <f t="shared" si="205"/>
        <v>0</v>
      </c>
      <c r="AA159" s="336">
        <f t="shared" si="205"/>
        <v>0</v>
      </c>
      <c r="AB159" s="336">
        <f t="shared" si="205"/>
        <v>0</v>
      </c>
      <c r="AC159" s="336">
        <f t="shared" si="205"/>
        <v>0</v>
      </c>
      <c r="AD159" s="336">
        <f t="shared" si="205"/>
        <v>0</v>
      </c>
    </row>
    <row r="160" spans="5:30" x14ac:dyDescent="0.2">
      <c r="H160" s="335"/>
      <c r="I160" s="335"/>
      <c r="J160" s="335"/>
      <c r="K160" s="335"/>
      <c r="L160" s="335"/>
      <c r="M160" s="335"/>
      <c r="N160" s="335"/>
      <c r="O160" s="335"/>
      <c r="P160" s="335"/>
      <c r="Q160" s="335"/>
      <c r="R160" s="335"/>
      <c r="S160" s="335"/>
      <c r="T160" s="335"/>
      <c r="U160" s="335"/>
      <c r="V160" s="335"/>
      <c r="W160" s="335"/>
      <c r="X160" s="335"/>
      <c r="Y160" s="335"/>
      <c r="Z160" s="335"/>
      <c r="AA160" s="335"/>
      <c r="AB160" s="335"/>
      <c r="AC160" s="335"/>
      <c r="AD160" s="335"/>
    </row>
    <row r="161" spans="1:30" s="1" customFormat="1" ht="17.399999999999999" x14ac:dyDescent="0.2">
      <c r="A161" s="35" t="s">
        <v>77</v>
      </c>
      <c r="B161" s="1" t="str">
        <f>"Detailed Report of Financial Requirements, Financing Available (by Contributor), and Financial Gap -"&amp;Ts_First_Fin_Yr</f>
        <v>Detailed Report of Financial Requirements, Financing Available (by Contributor), and Financial Gap -2019</v>
      </c>
      <c r="E161" s="304"/>
      <c r="F161" s="99"/>
      <c r="G161" s="99"/>
    </row>
    <row r="163" spans="1:30" ht="17.399999999999999" x14ac:dyDescent="0.2">
      <c r="E163" s="305" t="str">
        <f>CURR_LCU_ABBR</f>
        <v>GOZ</v>
      </c>
      <c r="K163" s="384"/>
    </row>
    <row r="165" spans="1:30" ht="84" x14ac:dyDescent="0.2">
      <c r="E165" s="303" t="s">
        <v>140</v>
      </c>
      <c r="F165" s="10"/>
      <c r="G165" s="302" t="s">
        <v>482</v>
      </c>
      <c r="H165" s="340" t="s">
        <v>143</v>
      </c>
      <c r="I165" s="341" t="s">
        <v>565</v>
      </c>
      <c r="J165" s="342" t="s">
        <v>141</v>
      </c>
      <c r="K165" s="339" t="str">
        <f>Government1</f>
        <v>Ministerio de Agricultura y Ganadería</v>
      </c>
      <c r="L165" s="339" t="str">
        <f>Government2</f>
        <v>Ministerio de Energía y Minas</v>
      </c>
      <c r="M165" s="339" t="str">
        <f>Government3</f>
        <v>Ministerio de Educación Nacional, de Educación Superior e Investigación Científica</v>
      </c>
      <c r="N165" s="339" t="str">
        <f>Government4</f>
        <v>Ministerio de Medioambiente</v>
      </c>
      <c r="O165" s="339" t="str">
        <f>Government5</f>
        <v>Ministerio de Servicio Público</v>
      </c>
      <c r="P165" s="339" t="str">
        <f>Government6</f>
        <v>Ministerio de Salud Pública y Lucha contra el SIDA</v>
      </c>
      <c r="Q165" s="339" t="str">
        <f>Government7</f>
        <v xml:space="preserve">Ministerio de Derechos Humanos, Asuntos Sociales y Género </v>
      </c>
      <c r="R165" s="339" t="str">
        <f>Government8</f>
        <v>Ministerio de Desarrollo Municipal</v>
      </c>
      <c r="S165" s="339" t="str">
        <f>Government9</f>
        <v>[No está en uso]</v>
      </c>
      <c r="T165" s="339" t="str">
        <f>Government10</f>
        <v>[No está en uso]</v>
      </c>
      <c r="U165" s="97" t="str">
        <f>Partner1</f>
        <v>UNICEF</v>
      </c>
      <c r="V165" s="97" t="str">
        <f>Partner2</f>
        <v>Organización Mundial de la Salud</v>
      </c>
      <c r="W165" s="97" t="str">
        <f>Partner3</f>
        <v>Banco Mundial</v>
      </c>
      <c r="X165" s="97" t="str">
        <f>Partner4</f>
        <v>Organización de las Naciones Unidas para la Alimentación y la Agricultura</v>
      </c>
      <c r="Y165" s="97" t="str">
        <f>Partner5</f>
        <v>Programa Mundial de Alimentos</v>
      </c>
      <c r="Z165" s="97" t="str">
        <f>Partner6</f>
        <v>[No está en uso]</v>
      </c>
      <c r="AA165" s="97" t="str">
        <f>Partner7</f>
        <v>[No está en uso]</v>
      </c>
      <c r="AB165" s="97" t="str">
        <f>Partner8</f>
        <v>[No está en uso]</v>
      </c>
      <c r="AC165" s="97" t="str">
        <f>Partner9</f>
        <v>[No está en uso]</v>
      </c>
      <c r="AD165" s="97" t="str">
        <f>Partner10</f>
        <v>[No está en uso]</v>
      </c>
    </row>
    <row r="166" spans="1:30" x14ac:dyDescent="0.2">
      <c r="H166" s="372"/>
      <c r="I166" s="372"/>
      <c r="J166" s="372"/>
    </row>
    <row r="167" spans="1:30" ht="12" x14ac:dyDescent="0.2">
      <c r="E167" s="301" t="str">
        <f>Strategy1</f>
        <v>Objetivo estratégico 1: Fortalecer la gobernanza de la nutrición</v>
      </c>
      <c r="H167" s="343"/>
      <c r="I167" s="344"/>
      <c r="J167" s="345"/>
      <c r="K167" s="368"/>
      <c r="L167" s="368"/>
      <c r="M167" s="368"/>
      <c r="N167" s="368"/>
      <c r="O167" s="368"/>
      <c r="P167" s="368"/>
      <c r="Q167" s="368"/>
      <c r="R167" s="368"/>
      <c r="S167" s="368"/>
      <c r="T167" s="368"/>
      <c r="U167" s="179"/>
      <c r="V167" s="179"/>
      <c r="W167" s="179"/>
      <c r="X167" s="179"/>
      <c r="Y167" s="179"/>
      <c r="Z167" s="179"/>
      <c r="AA167" s="179"/>
      <c r="AB167" s="179"/>
      <c r="AC167" s="179"/>
      <c r="AD167" s="179"/>
    </row>
    <row r="168" spans="1:30" ht="12" x14ac:dyDescent="0.2">
      <c r="F168" s="94" t="str">
        <f>STRAT1_IND1</f>
        <v>Se refuerza la coordinación multisectorial en materia de nutrición</v>
      </c>
      <c r="G168" s="94" t="str">
        <f ca="1">OFFSET(Variables_Lu!$D$10,Basic_Setup!H34,0)</f>
        <v>Governance</v>
      </c>
      <c r="H168" s="346">
        <f>'Financial Req'!$J20</f>
        <v>566870425</v>
      </c>
      <c r="I168" s="347">
        <f>H168-J168</f>
        <v>-292711170.77719855</v>
      </c>
      <c r="J168" s="345">
        <f>SUM(K168:AD168)</f>
        <v>859581595.77719855</v>
      </c>
      <c r="K168" s="365">
        <f>Government1!$J20</f>
        <v>1709806.440006</v>
      </c>
      <c r="L168" s="365">
        <f>Government2!$J20</f>
        <v>196174.61418150002</v>
      </c>
      <c r="M168" s="365">
        <f>Government3!$J20</f>
        <v>514800</v>
      </c>
      <c r="N168" s="365">
        <f>Government4!$J20</f>
        <v>55106.828730000001</v>
      </c>
      <c r="O168" s="365">
        <f>Government5!$J20</f>
        <v>23707.733976</v>
      </c>
      <c r="P168" s="365">
        <f>Government6!$J20</f>
        <v>8331868.6973009994</v>
      </c>
      <c r="Q168" s="365">
        <f>Government7!$J20</f>
        <v>1037715.5327760001</v>
      </c>
      <c r="R168" s="365">
        <f>Government8!$J20</f>
        <v>51015.930227999997</v>
      </c>
      <c r="S168" s="365">
        <f>Government9!$J20</f>
        <v>0</v>
      </c>
      <c r="T168" s="365">
        <f>Government10!$J20</f>
        <v>0</v>
      </c>
      <c r="U168" s="179">
        <f>Partner1!$J91</f>
        <v>8640000</v>
      </c>
      <c r="V168" s="179">
        <f>Partner2!$J91</f>
        <v>9000000</v>
      </c>
      <c r="W168" s="179">
        <f>Partner3!$J91</f>
        <v>510971400</v>
      </c>
      <c r="X168" s="179">
        <f>Partner4!$J91</f>
        <v>49050000</v>
      </c>
      <c r="Y168" s="179">
        <f>Partner5!$J91</f>
        <v>270000000</v>
      </c>
      <c r="Z168" s="179">
        <f>Partner6!$J91</f>
        <v>0</v>
      </c>
      <c r="AA168" s="179">
        <f>Partner7!$J91</f>
        <v>0</v>
      </c>
      <c r="AB168" s="179">
        <f>Partner8!$J91</f>
        <v>0</v>
      </c>
      <c r="AC168" s="179">
        <f>Partner9!$J91</f>
        <v>0</v>
      </c>
      <c r="AD168" s="179">
        <f>Partner10!$J91</f>
        <v>0</v>
      </c>
    </row>
    <row r="169" spans="1:30" ht="22.8" x14ac:dyDescent="0.2">
      <c r="F169" s="94" t="str">
        <f>STRAT1_IND2</f>
        <v>Está en funcionamiento el sistema multisectorial de información sobre nutrición para la adopción de decisiones eficaces.</v>
      </c>
      <c r="G169" s="94" t="str">
        <f ca="1">OFFSET(Variables_Lu!$D$10,Basic_Setup!H35,0)</f>
        <v>Governance</v>
      </c>
      <c r="H169" s="346">
        <f>'Financial Req'!$J21</f>
        <v>566870425</v>
      </c>
      <c r="I169" s="347">
        <f>H169-J169</f>
        <v>523450229.22280151</v>
      </c>
      <c r="J169" s="345">
        <f>SUM(K169:AD169)</f>
        <v>43420195.777198501</v>
      </c>
      <c r="K169" s="365">
        <f>Government1!$J21</f>
        <v>1709806.440006</v>
      </c>
      <c r="L169" s="365">
        <f>Government2!$J21</f>
        <v>196174.61418150002</v>
      </c>
      <c r="M169" s="365">
        <f>Government3!$J21</f>
        <v>514800</v>
      </c>
      <c r="N169" s="365">
        <f>Government4!$J21</f>
        <v>55106.828730000001</v>
      </c>
      <c r="O169" s="365">
        <f>Government5!$J21</f>
        <v>23707.733976</v>
      </c>
      <c r="P169" s="365">
        <f>Government6!$J21</f>
        <v>8331868.6973009994</v>
      </c>
      <c r="Q169" s="365">
        <f>Government7!$J21</f>
        <v>1037715.5327760001</v>
      </c>
      <c r="R169" s="365">
        <f>Government8!$J21</f>
        <v>51015.930227999997</v>
      </c>
      <c r="S169" s="365">
        <f>Government9!$J21</f>
        <v>0</v>
      </c>
      <c r="T169" s="365">
        <f>Government10!$J21</f>
        <v>0</v>
      </c>
      <c r="U169" s="179">
        <f>Partner1!$J92</f>
        <v>1440000</v>
      </c>
      <c r="V169" s="179">
        <f>Partner2!$J92</f>
        <v>0</v>
      </c>
      <c r="W169" s="179">
        <f>Partner3!$J92</f>
        <v>0</v>
      </c>
      <c r="X169" s="179">
        <f>Partner4!$J92</f>
        <v>30060000</v>
      </c>
      <c r="Y169" s="179">
        <f>Partner5!$J92</f>
        <v>0</v>
      </c>
      <c r="Z169" s="179">
        <f>Partner6!$J92</f>
        <v>0</v>
      </c>
      <c r="AA169" s="179">
        <f>Partner7!$J92</f>
        <v>0</v>
      </c>
      <c r="AB169" s="179">
        <f>Partner8!$J92</f>
        <v>0</v>
      </c>
      <c r="AC169" s="179">
        <f>Partner9!$J92</f>
        <v>0</v>
      </c>
      <c r="AD169" s="179">
        <f>Partner10!$J92</f>
        <v>0</v>
      </c>
    </row>
    <row r="170" spans="1:30" ht="22.8" x14ac:dyDescent="0.2">
      <c r="F170" s="94" t="str">
        <f>STRAT1_IND3</f>
        <v>La investigación en nutrición se utiliza para aclarar que la toma de decisiones se mejora y se refuerza.</v>
      </c>
      <c r="G170" s="94" t="str">
        <f ca="1">OFFSET(Variables_Lu!$D$10,Basic_Setup!H36,0)</f>
        <v>Governance</v>
      </c>
      <c r="H170" s="346">
        <f>'Financial Req'!$J22</f>
        <v>566870425</v>
      </c>
      <c r="I170" s="347">
        <f>H170-J170</f>
        <v>552070229.22280145</v>
      </c>
      <c r="J170" s="345">
        <f>SUM(K170:AD170)</f>
        <v>14800195.777198501</v>
      </c>
      <c r="K170" s="365">
        <f>Government1!$J22</f>
        <v>1709806.440006</v>
      </c>
      <c r="L170" s="365">
        <f>Government2!$J22</f>
        <v>196174.61418150002</v>
      </c>
      <c r="M170" s="365">
        <f>Government3!$J22</f>
        <v>514800</v>
      </c>
      <c r="N170" s="365">
        <f>Government4!$J22</f>
        <v>55106.828730000001</v>
      </c>
      <c r="O170" s="365">
        <f>Government5!$J22</f>
        <v>23707.733976</v>
      </c>
      <c r="P170" s="365">
        <f>Government6!$J22</f>
        <v>8331868.6973009994</v>
      </c>
      <c r="Q170" s="365">
        <f>Government7!$J22</f>
        <v>1037715.5327760001</v>
      </c>
      <c r="R170" s="365">
        <f>Government8!$J22</f>
        <v>51015.930227999997</v>
      </c>
      <c r="S170" s="365">
        <f>Government9!$J22</f>
        <v>0</v>
      </c>
      <c r="T170" s="365">
        <f>Government10!$J22</f>
        <v>0</v>
      </c>
      <c r="U170" s="179">
        <f>Partner1!$J93</f>
        <v>2880000</v>
      </c>
      <c r="V170" s="179">
        <f>Partner2!$J93</f>
        <v>0</v>
      </c>
      <c r="W170" s="179">
        <f>Partner3!$J93</f>
        <v>0</v>
      </c>
      <c r="X170" s="179">
        <f>Partner4!$J93</f>
        <v>0</v>
      </c>
      <c r="Y170" s="179">
        <f>Partner5!$J93</f>
        <v>0</v>
      </c>
      <c r="Z170" s="179">
        <f>Partner6!$J93</f>
        <v>0</v>
      </c>
      <c r="AA170" s="179">
        <f>Partner7!$J93</f>
        <v>0</v>
      </c>
      <c r="AB170" s="179">
        <f>Partner8!$J93</f>
        <v>0</v>
      </c>
      <c r="AC170" s="179">
        <f>Partner9!$J93</f>
        <v>0</v>
      </c>
      <c r="AD170" s="179">
        <f>Partner10!$J93</f>
        <v>0</v>
      </c>
    </row>
    <row r="171" spans="1:30" ht="22.8" x14ac:dyDescent="0.2">
      <c r="F171" s="94" t="str">
        <f>STRAT1_IND4</f>
        <v>El marco legislativo y reglamentario de la nutrición se ha fortalecido y está en funcionamiento.</v>
      </c>
      <c r="G171" s="94" t="str">
        <f ca="1">OFFSET(Variables_Lu!$D$10,Basic_Setup!H37,0)</f>
        <v>Governance</v>
      </c>
      <c r="H171" s="346">
        <f>'Financial Req'!$J23</f>
        <v>566870425</v>
      </c>
      <c r="I171" s="347">
        <f>H171-J171</f>
        <v>553510229.22280145</v>
      </c>
      <c r="J171" s="345">
        <f>SUM(K171:AD171)</f>
        <v>13360195.777198501</v>
      </c>
      <c r="K171" s="365">
        <f>Government1!$J23</f>
        <v>1709806.440006</v>
      </c>
      <c r="L171" s="365">
        <f>Government2!$J23</f>
        <v>196174.61418150002</v>
      </c>
      <c r="M171" s="365">
        <f>Government3!$J23</f>
        <v>514800</v>
      </c>
      <c r="N171" s="365">
        <f>Government4!$J23</f>
        <v>55106.828730000001</v>
      </c>
      <c r="O171" s="365">
        <f>Government5!$J23</f>
        <v>23707.733976</v>
      </c>
      <c r="P171" s="365">
        <f>Government6!$J23</f>
        <v>8331868.6973009994</v>
      </c>
      <c r="Q171" s="365">
        <f>Government7!$J23</f>
        <v>1037715.5327760001</v>
      </c>
      <c r="R171" s="365">
        <f>Government8!$J23</f>
        <v>51015.930227999997</v>
      </c>
      <c r="S171" s="365">
        <f>Government9!$J23</f>
        <v>0</v>
      </c>
      <c r="T171" s="365">
        <f>Government10!$J23</f>
        <v>0</v>
      </c>
      <c r="U171" s="179">
        <f>Partner1!$J94</f>
        <v>1440000</v>
      </c>
      <c r="V171" s="179">
        <f>Partner2!$J94</f>
        <v>0</v>
      </c>
      <c r="W171" s="179">
        <f>Partner3!$J94</f>
        <v>0</v>
      </c>
      <c r="X171" s="179">
        <f>Partner4!$J94</f>
        <v>0</v>
      </c>
      <c r="Y171" s="179">
        <f>Partner5!$J94</f>
        <v>0</v>
      </c>
      <c r="Z171" s="179">
        <f>Partner6!$J94</f>
        <v>0</v>
      </c>
      <c r="AA171" s="179">
        <f>Partner7!$J94</f>
        <v>0</v>
      </c>
      <c r="AB171" s="179">
        <f>Partner8!$J94</f>
        <v>0</v>
      </c>
      <c r="AC171" s="179">
        <f>Partner9!$J94</f>
        <v>0</v>
      </c>
      <c r="AD171" s="179">
        <f>Partner10!$J94</f>
        <v>0</v>
      </c>
    </row>
    <row r="172" spans="1:30" ht="12" x14ac:dyDescent="0.2">
      <c r="F172" s="94" t="str">
        <f>STRAT1_IND5</f>
        <v>Objetivo estratégico 1 Indicador 5</v>
      </c>
      <c r="G172" s="94" t="str">
        <f ca="1">OFFSET(Variables_Lu!$D$10,Basic_Setup!H38,0)</f>
        <v>Governance</v>
      </c>
      <c r="H172" s="346">
        <f>'Financial Req'!$J24</f>
        <v>0</v>
      </c>
      <c r="I172" s="347">
        <f>H172-J172</f>
        <v>0</v>
      </c>
      <c r="J172" s="345">
        <f>SUM(K172:AD172)</f>
        <v>0</v>
      </c>
      <c r="K172" s="365">
        <f>Government1!$J24</f>
        <v>0</v>
      </c>
      <c r="L172" s="365">
        <f>Government2!$J24</f>
        <v>0</v>
      </c>
      <c r="M172" s="365">
        <f>Government3!$J24</f>
        <v>0</v>
      </c>
      <c r="N172" s="365">
        <f>Government4!$J24</f>
        <v>0</v>
      </c>
      <c r="O172" s="365">
        <f>Government5!$J24</f>
        <v>0</v>
      </c>
      <c r="P172" s="365">
        <f>Government6!$J24</f>
        <v>0</v>
      </c>
      <c r="Q172" s="365">
        <f>Government7!$J24</f>
        <v>0</v>
      </c>
      <c r="R172" s="365">
        <f>Government8!$J24</f>
        <v>0</v>
      </c>
      <c r="S172" s="365">
        <f>Government9!$J24</f>
        <v>0</v>
      </c>
      <c r="T172" s="365">
        <f>Government10!$J24</f>
        <v>0</v>
      </c>
      <c r="U172" s="179">
        <f>Partner1!$J95</f>
        <v>0</v>
      </c>
      <c r="V172" s="179">
        <f>Partner2!$J95</f>
        <v>0</v>
      </c>
      <c r="W172" s="179">
        <f>Partner3!$J95</f>
        <v>0</v>
      </c>
      <c r="X172" s="179">
        <f>Partner4!$J95</f>
        <v>0</v>
      </c>
      <c r="Y172" s="179">
        <f>Partner5!$J95</f>
        <v>0</v>
      </c>
      <c r="Z172" s="179">
        <f>Partner6!$J95</f>
        <v>0</v>
      </c>
      <c r="AA172" s="179">
        <f>Partner7!$J95</f>
        <v>0</v>
      </c>
      <c r="AB172" s="179">
        <f>Partner8!$J95</f>
        <v>0</v>
      </c>
      <c r="AC172" s="179">
        <f>Partner9!$J95</f>
        <v>0</v>
      </c>
      <c r="AD172" s="179">
        <f>Partner10!$J95</f>
        <v>0</v>
      </c>
    </row>
    <row r="173" spans="1:30" ht="22.8" x14ac:dyDescent="0.2">
      <c r="F173" s="332" t="str">
        <f>"Subtotal: "&amp;E167</f>
        <v>Subtotal: Objetivo estratégico 1: Fortalecer la gobernanza de la nutrición</v>
      </c>
      <c r="G173" s="333"/>
      <c r="H173" s="348">
        <f>'Financial Req'!$J25</f>
        <v>2267481700</v>
      </c>
      <c r="I173" s="349">
        <f>SUM(I168:I172)</f>
        <v>1336319516.8912058</v>
      </c>
      <c r="J173" s="350">
        <f>SUM(J168:J172)</f>
        <v>931162183.10879421</v>
      </c>
      <c r="K173" s="366">
        <f>Government1!$J25</f>
        <v>6839225.760024</v>
      </c>
      <c r="L173" s="366">
        <f>Government2!$J25</f>
        <v>784698.45672600006</v>
      </c>
      <c r="M173" s="366">
        <f>Government3!$J25</f>
        <v>2059200</v>
      </c>
      <c r="N173" s="366">
        <f>Government4!$J25</f>
        <v>220427.31492</v>
      </c>
      <c r="O173" s="366">
        <f>Government5!$J25</f>
        <v>94830.935903999998</v>
      </c>
      <c r="P173" s="366">
        <f>Government6!$J25</f>
        <v>33327474.789203998</v>
      </c>
      <c r="Q173" s="366">
        <f>Government7!$J25</f>
        <v>4150862.1311040004</v>
      </c>
      <c r="R173" s="366">
        <f>Government8!$J25</f>
        <v>204063.72091199999</v>
      </c>
      <c r="S173" s="366">
        <f>Government9!$J25</f>
        <v>0</v>
      </c>
      <c r="T173" s="366">
        <f>Government10!$J25</f>
        <v>0</v>
      </c>
      <c r="U173" s="331">
        <f>Partner1!$J96</f>
        <v>14400000</v>
      </c>
      <c r="V173" s="331">
        <f>Partner2!$J96</f>
        <v>9000000</v>
      </c>
      <c r="W173" s="331">
        <f>Partner3!$J96</f>
        <v>510971400</v>
      </c>
      <c r="X173" s="331">
        <f>Partner4!$J96</f>
        <v>79110000</v>
      </c>
      <c r="Y173" s="331">
        <f>Partner5!$J96</f>
        <v>270000000</v>
      </c>
      <c r="Z173" s="331">
        <f>Partner6!$J96</f>
        <v>0</v>
      </c>
      <c r="AA173" s="331">
        <f>Partner7!$J96</f>
        <v>0</v>
      </c>
      <c r="AB173" s="331">
        <f>Partner8!$J96</f>
        <v>0</v>
      </c>
      <c r="AC173" s="331">
        <f>Partner9!$J96</f>
        <v>0</v>
      </c>
      <c r="AD173" s="331">
        <f>Partner10!$J96</f>
        <v>0</v>
      </c>
    </row>
    <row r="174" spans="1:30" ht="12" x14ac:dyDescent="0.2">
      <c r="E174" s="301" t="str">
        <f>Strategy2</f>
        <v>Objetivo estratégico 2: Fortalecer el acceso al tratamiento y a los servicios de salud y nutrición de calidad, así como al tratamiento de todas las formas de malnutrición</v>
      </c>
      <c r="G174" s="94"/>
      <c r="H174" s="343"/>
      <c r="I174" s="344"/>
      <c r="J174" s="345"/>
      <c r="K174" s="365"/>
      <c r="L174" s="365"/>
      <c r="M174" s="365"/>
      <c r="N174" s="365"/>
      <c r="O174" s="365"/>
      <c r="P174" s="365"/>
      <c r="Q174" s="365"/>
      <c r="R174" s="365"/>
      <c r="S174" s="365"/>
      <c r="T174" s="365"/>
      <c r="U174" s="179"/>
      <c r="V174" s="179"/>
      <c r="W174" s="179"/>
      <c r="X174" s="179"/>
      <c r="Y174" s="179"/>
      <c r="Z174" s="179"/>
      <c r="AA174" s="179"/>
      <c r="AB174" s="179"/>
      <c r="AC174" s="179"/>
      <c r="AD174" s="179"/>
    </row>
    <row r="175" spans="1:30" ht="34.200000000000003" x14ac:dyDescent="0.2">
      <c r="F175" s="94" t="str">
        <f>STRAT2_IND1</f>
        <v>Se fortalece el acceso y la utilización sostenible de los servicios de salud y nutrición para los niños menores de 5 años, los adolescentes, las mujeres embarazadas y lactantes, y los demás grupos vulnerables</v>
      </c>
      <c r="G175" s="94" t="str">
        <f ca="1">OFFSET(Variables_Lu!$D$10,Basic_Setup!H40,0)</f>
        <v>Nutrition-specific</v>
      </c>
      <c r="H175" s="346">
        <f>'Financial Req'!$J26</f>
        <v>7240809386.7095003</v>
      </c>
      <c r="I175" s="347">
        <f>H175-J175</f>
        <v>-1498967639.8339205</v>
      </c>
      <c r="J175" s="345">
        <f>SUM(K175:AD175)</f>
        <v>8739777026.5434208</v>
      </c>
      <c r="K175" s="365">
        <f>Government1!$J26</f>
        <v>90477257.450317502</v>
      </c>
      <c r="L175" s="365">
        <f>Government2!$J26</f>
        <v>10380906.667104376</v>
      </c>
      <c r="M175" s="365">
        <f>Government3!$J26</f>
        <v>27241500</v>
      </c>
      <c r="N175" s="365">
        <f>Government4!$J26</f>
        <v>2916069.6869624997</v>
      </c>
      <c r="O175" s="365">
        <f>Government5!$J26</f>
        <v>1254534.2562299999</v>
      </c>
      <c r="P175" s="365">
        <f>Government6!$J26</f>
        <v>440894718.56551123</v>
      </c>
      <c r="Q175" s="365">
        <f>Government7!$J26</f>
        <v>54912446.942730002</v>
      </c>
      <c r="R175" s="365">
        <f>Government8!$J26</f>
        <v>2699592.9745649998</v>
      </c>
      <c r="S175" s="365">
        <f>Government9!$J26</f>
        <v>0</v>
      </c>
      <c r="T175" s="365">
        <f>Government10!$J26</f>
        <v>0</v>
      </c>
      <c r="U175" s="179">
        <f>Partner1!$J97</f>
        <v>5400000000</v>
      </c>
      <c r="V175" s="179">
        <f>Partner2!$J97</f>
        <v>9000000</v>
      </c>
      <c r="W175" s="179">
        <f>Partner3!$J97</f>
        <v>0</v>
      </c>
      <c r="X175" s="179">
        <f>Partner4!$J97</f>
        <v>0</v>
      </c>
      <c r="Y175" s="179">
        <f>Partner5!$J97</f>
        <v>2700000000</v>
      </c>
      <c r="Z175" s="179">
        <f>Partner6!$J97</f>
        <v>0</v>
      </c>
      <c r="AA175" s="179">
        <f>Partner7!$J97</f>
        <v>0</v>
      </c>
      <c r="AB175" s="179">
        <f>Partner8!$J97</f>
        <v>0</v>
      </c>
      <c r="AC175" s="179">
        <f>Partner9!$J97</f>
        <v>0</v>
      </c>
      <c r="AD175" s="179">
        <f>Partner10!$J97</f>
        <v>0</v>
      </c>
    </row>
    <row r="176" spans="1:30" ht="45.6" x14ac:dyDescent="0.2">
      <c r="F176" s="94" t="str">
        <f>STRAT2_IND2</f>
        <v xml:space="preserve">Se reduce la prevalencia de enfermedades relacionadas con la prevalencia de la malnutrición (paludismo, diarrea, neumonía, parásitos intestinales, VIH, TNM) en lactantes, adolescentes y mujeres en edad reproductiva. </v>
      </c>
      <c r="G176" s="94" t="str">
        <f ca="1">OFFSET(Variables_Lu!$D$10,Basic_Setup!H41,0)</f>
        <v>Nutrition-sensitive</v>
      </c>
      <c r="H176" s="346">
        <f>'Financial Req'!$J27</f>
        <v>7240809386.7095003</v>
      </c>
      <c r="I176" s="347">
        <f>H176-J176</f>
        <v>610534260.16607952</v>
      </c>
      <c r="J176" s="345">
        <f>SUM(K176:AD176)</f>
        <v>6630275126.5434208</v>
      </c>
      <c r="K176" s="365">
        <f>Government1!$J27</f>
        <v>90477257.450317502</v>
      </c>
      <c r="L176" s="365">
        <f>Government2!$J27</f>
        <v>10380906.667104376</v>
      </c>
      <c r="M176" s="365">
        <f>Government3!$J27</f>
        <v>27241500</v>
      </c>
      <c r="N176" s="365">
        <f>Government4!$J27</f>
        <v>2916069.6869624997</v>
      </c>
      <c r="O176" s="365">
        <f>Government5!$J27</f>
        <v>1254534.2562299999</v>
      </c>
      <c r="P176" s="365">
        <f>Government6!$J27</f>
        <v>440894718.56551123</v>
      </c>
      <c r="Q176" s="365">
        <f>Government7!$J27</f>
        <v>54912446.942730002</v>
      </c>
      <c r="R176" s="365">
        <f>Government8!$J27</f>
        <v>2699592.9745649998</v>
      </c>
      <c r="S176" s="365">
        <f>Government9!$J27</f>
        <v>0</v>
      </c>
      <c r="T176" s="365">
        <f>Government10!$J27</f>
        <v>0</v>
      </c>
      <c r="U176" s="179">
        <f>Partner1!$J98</f>
        <v>900000000</v>
      </c>
      <c r="V176" s="179">
        <f>Partner2!$J98</f>
        <v>18000000</v>
      </c>
      <c r="W176" s="179">
        <f>Partner3!$J98</f>
        <v>5081498100</v>
      </c>
      <c r="X176" s="179">
        <f>Partner4!$J98</f>
        <v>0</v>
      </c>
      <c r="Y176" s="179">
        <f>Partner5!$J98</f>
        <v>0</v>
      </c>
      <c r="Z176" s="179">
        <f>Partner6!$J98</f>
        <v>0</v>
      </c>
      <c r="AA176" s="179">
        <f>Partner7!$J98</f>
        <v>0</v>
      </c>
      <c r="AB176" s="179">
        <f>Partner8!$J98</f>
        <v>0</v>
      </c>
      <c r="AC176" s="179">
        <f>Partner9!$J98</f>
        <v>0</v>
      </c>
      <c r="AD176" s="179">
        <f>Partner10!$J98</f>
        <v>0</v>
      </c>
    </row>
    <row r="177" spans="5:30" ht="12" x14ac:dyDescent="0.2">
      <c r="F177" s="94" t="str">
        <f>STRAT2_IND3</f>
        <v>Se refuerzan las intervenciones comunitarias en materia de nutrición.</v>
      </c>
      <c r="G177" s="94" t="str">
        <f ca="1">OFFSET(Variables_Lu!$D$10,Basic_Setup!H42,0)</f>
        <v>Nutrition-specific</v>
      </c>
      <c r="H177" s="346">
        <f>'Financial Req'!$J28</f>
        <v>7240809386.7095003</v>
      </c>
      <c r="I177" s="347">
        <f>H177-J177</f>
        <v>4270032360.1660795</v>
      </c>
      <c r="J177" s="345">
        <f>SUM(K177:AD177)</f>
        <v>2970777026.5434208</v>
      </c>
      <c r="K177" s="365">
        <f>Government1!$J28</f>
        <v>90477257.450317502</v>
      </c>
      <c r="L177" s="365">
        <f>Government2!$J28</f>
        <v>10380906.667104376</v>
      </c>
      <c r="M177" s="365">
        <f>Government3!$J28</f>
        <v>27241500</v>
      </c>
      <c r="N177" s="365">
        <f>Government4!$J28</f>
        <v>2916069.6869624997</v>
      </c>
      <c r="O177" s="365">
        <f>Government5!$J28</f>
        <v>1254534.2562299999</v>
      </c>
      <c r="P177" s="365">
        <f>Government6!$J28</f>
        <v>440894718.56551123</v>
      </c>
      <c r="Q177" s="365">
        <f>Government7!$J28</f>
        <v>54912446.942730002</v>
      </c>
      <c r="R177" s="365">
        <f>Government8!$J28</f>
        <v>2699592.9745649998</v>
      </c>
      <c r="S177" s="365">
        <f>Government9!$J28</f>
        <v>0</v>
      </c>
      <c r="T177" s="365">
        <f>Government10!$J28</f>
        <v>0</v>
      </c>
      <c r="U177" s="179">
        <f>Partner1!$J99</f>
        <v>2340000000</v>
      </c>
      <c r="V177" s="179">
        <f>Partner2!$J99</f>
        <v>0</v>
      </c>
      <c r="W177" s="179">
        <f>Partner3!$J99</f>
        <v>0</v>
      </c>
      <c r="X177" s="179">
        <f>Partner4!$J99</f>
        <v>0</v>
      </c>
      <c r="Y177" s="179">
        <f>Partner5!$J99</f>
        <v>0</v>
      </c>
      <c r="Z177" s="179">
        <f>Partner6!$J99</f>
        <v>0</v>
      </c>
      <c r="AA177" s="179">
        <f>Partner7!$J99</f>
        <v>0</v>
      </c>
      <c r="AB177" s="179">
        <f>Partner8!$J99</f>
        <v>0</v>
      </c>
      <c r="AC177" s="179">
        <f>Partner9!$J99</f>
        <v>0</v>
      </c>
      <c r="AD177" s="179">
        <f>Partner10!$J99</f>
        <v>0</v>
      </c>
    </row>
    <row r="178" spans="5:30" ht="12" x14ac:dyDescent="0.2">
      <c r="F178" s="94" t="str">
        <f>STRAT2_IND4</f>
        <v>Objetivo estratégico 2 Indicador 4</v>
      </c>
      <c r="G178" s="94" t="str">
        <f ca="1">OFFSET(Variables_Lu!$D$10,Basic_Setup!H43,0)</f>
        <v>Nutrition-specific</v>
      </c>
      <c r="H178" s="346">
        <f>'Financial Req'!$J29</f>
        <v>0</v>
      </c>
      <c r="I178" s="347">
        <f>H178-J178</f>
        <v>0</v>
      </c>
      <c r="J178" s="345">
        <f>SUM(K178:AD178)</f>
        <v>0</v>
      </c>
      <c r="K178" s="365">
        <f>Government1!$J29</f>
        <v>0</v>
      </c>
      <c r="L178" s="365">
        <f>Government2!$J29</f>
        <v>0</v>
      </c>
      <c r="M178" s="365">
        <f>Government3!$J29</f>
        <v>0</v>
      </c>
      <c r="N178" s="365">
        <f>Government4!$J29</f>
        <v>0</v>
      </c>
      <c r="O178" s="365">
        <f>Government5!$J29</f>
        <v>0</v>
      </c>
      <c r="P178" s="365">
        <f>Government6!$J29</f>
        <v>0</v>
      </c>
      <c r="Q178" s="365">
        <f>Government7!$J29</f>
        <v>0</v>
      </c>
      <c r="R178" s="365">
        <f>Government8!$J29</f>
        <v>0</v>
      </c>
      <c r="S178" s="365">
        <f>Government9!$J29</f>
        <v>0</v>
      </c>
      <c r="T178" s="365">
        <f>Government10!$J29</f>
        <v>0</v>
      </c>
      <c r="U178" s="179">
        <f>Partner1!$J100</f>
        <v>0</v>
      </c>
      <c r="V178" s="179">
        <f>Partner2!$J100</f>
        <v>0</v>
      </c>
      <c r="W178" s="179">
        <f>Partner3!$J100</f>
        <v>0</v>
      </c>
      <c r="X178" s="179">
        <f>Partner4!$J100</f>
        <v>0</v>
      </c>
      <c r="Y178" s="179">
        <f>Partner5!$J100</f>
        <v>0</v>
      </c>
      <c r="Z178" s="179">
        <f>Partner6!$J100</f>
        <v>0</v>
      </c>
      <c r="AA178" s="179">
        <f>Partner7!$J100</f>
        <v>0</v>
      </c>
      <c r="AB178" s="179">
        <f>Partner8!$J100</f>
        <v>0</v>
      </c>
      <c r="AC178" s="179">
        <f>Partner9!$J100</f>
        <v>0</v>
      </c>
      <c r="AD178" s="179">
        <f>Partner10!$J100</f>
        <v>0</v>
      </c>
    </row>
    <row r="179" spans="5:30" ht="12" x14ac:dyDescent="0.2">
      <c r="F179" s="94" t="str">
        <f>STRAT2_IND5</f>
        <v>Objetivo estratégico 2 Indicador 5</v>
      </c>
      <c r="G179" s="94" t="str">
        <f ca="1">OFFSET(Variables_Lu!$D$10,Basic_Setup!H44,0)</f>
        <v>Nutrition-specific</v>
      </c>
      <c r="H179" s="346">
        <f>'Financial Req'!$J30</f>
        <v>0</v>
      </c>
      <c r="I179" s="347">
        <f>H179-J179</f>
        <v>0</v>
      </c>
      <c r="J179" s="345">
        <f>SUM(K179:AD179)</f>
        <v>0</v>
      </c>
      <c r="K179" s="365">
        <f>Government1!$J30</f>
        <v>0</v>
      </c>
      <c r="L179" s="365">
        <f>Government2!$J30</f>
        <v>0</v>
      </c>
      <c r="M179" s="365">
        <f>Government3!$J30</f>
        <v>0</v>
      </c>
      <c r="N179" s="365">
        <f>Government4!$J30</f>
        <v>0</v>
      </c>
      <c r="O179" s="365">
        <f>Government5!$J30</f>
        <v>0</v>
      </c>
      <c r="P179" s="365">
        <f>Government6!$J30</f>
        <v>0</v>
      </c>
      <c r="Q179" s="365">
        <f>Government7!$J30</f>
        <v>0</v>
      </c>
      <c r="R179" s="365">
        <f>Government8!$J30</f>
        <v>0</v>
      </c>
      <c r="S179" s="365">
        <f>Government9!$J30</f>
        <v>0</v>
      </c>
      <c r="T179" s="365">
        <f>Government10!$J30</f>
        <v>0</v>
      </c>
      <c r="U179" s="179">
        <f>Partner1!$J101</f>
        <v>0</v>
      </c>
      <c r="V179" s="179">
        <f>Partner2!$J101</f>
        <v>0</v>
      </c>
      <c r="W179" s="179">
        <f>Partner3!$J101</f>
        <v>0</v>
      </c>
      <c r="X179" s="179">
        <f>Partner4!$J101</f>
        <v>0</v>
      </c>
      <c r="Y179" s="179">
        <f>Partner5!$J101</f>
        <v>0</v>
      </c>
      <c r="Z179" s="179">
        <f>Partner6!$J101</f>
        <v>0</v>
      </c>
      <c r="AA179" s="179">
        <f>Partner7!$J101</f>
        <v>0</v>
      </c>
      <c r="AB179" s="179">
        <f>Partner8!$J101</f>
        <v>0</v>
      </c>
      <c r="AC179" s="179">
        <f>Partner9!$J101</f>
        <v>0</v>
      </c>
      <c r="AD179" s="179">
        <f>Partner10!$J101</f>
        <v>0</v>
      </c>
    </row>
    <row r="180" spans="5:30" ht="34.200000000000003" x14ac:dyDescent="0.2">
      <c r="F180" s="332" t="str">
        <f>"Subtotal: "&amp;E174</f>
        <v>Subtotal: Objetivo estratégico 2: Fortalecer el acceso al tratamiento y a los servicios de salud y nutrición de calidad, así como al tratamiento de todas las formas de malnutrición</v>
      </c>
      <c r="G180" s="333"/>
      <c r="H180" s="348">
        <f>'Financial Req'!$J31</f>
        <v>21722428160.128502</v>
      </c>
      <c r="I180" s="349">
        <f>SUM(I175:I179)</f>
        <v>3381598980.4982386</v>
      </c>
      <c r="J180" s="350">
        <f>SUM(J175:J179)</f>
        <v>18340829179.630264</v>
      </c>
      <c r="K180" s="366">
        <f>Government1!$J31</f>
        <v>271431772.35095251</v>
      </c>
      <c r="L180" s="366">
        <f>Government2!$J31</f>
        <v>31142720.001313128</v>
      </c>
      <c r="M180" s="366">
        <f>Government3!$J31</f>
        <v>81724500</v>
      </c>
      <c r="N180" s="366">
        <f>Government4!$J31</f>
        <v>8748209.0608874988</v>
      </c>
      <c r="O180" s="366">
        <f>Government5!$J31</f>
        <v>3763602.7686899998</v>
      </c>
      <c r="P180" s="366">
        <f>Government6!$J31</f>
        <v>1322684155.6965337</v>
      </c>
      <c r="Q180" s="366">
        <f>Government7!$J31</f>
        <v>164737340.82819</v>
      </c>
      <c r="R180" s="366">
        <f>Government8!$J31</f>
        <v>8098778.9236949999</v>
      </c>
      <c r="S180" s="366">
        <f>Government9!$J31</f>
        <v>0</v>
      </c>
      <c r="T180" s="366">
        <f>Government10!$J31</f>
        <v>0</v>
      </c>
      <c r="U180" s="331">
        <f>Partner1!$J102</f>
        <v>8640000000</v>
      </c>
      <c r="V180" s="331">
        <f>Partner2!$J102</f>
        <v>27000000</v>
      </c>
      <c r="W180" s="331">
        <f>Partner3!$J102</f>
        <v>5081498100</v>
      </c>
      <c r="X180" s="331">
        <f>Partner4!$J102</f>
        <v>0</v>
      </c>
      <c r="Y180" s="331">
        <f>Partner5!$J102</f>
        <v>2700000000</v>
      </c>
      <c r="Z180" s="331">
        <f>Partner6!$J102</f>
        <v>0</v>
      </c>
      <c r="AA180" s="331">
        <f>Partner7!$J102</f>
        <v>0</v>
      </c>
      <c r="AB180" s="331">
        <f>Partner8!$J102</f>
        <v>0</v>
      </c>
      <c r="AC180" s="331">
        <f>Partner9!$J102</f>
        <v>0</v>
      </c>
      <c r="AD180" s="331">
        <f>Partner10!$J102</f>
        <v>0</v>
      </c>
    </row>
    <row r="181" spans="5:30" ht="12" x14ac:dyDescent="0.2">
      <c r="E181" s="301" t="str">
        <f>Strategy3</f>
        <v>Objetivo estratégico 3: Aumentar la disponibilidad y el acceso a alimentos nutritivos de alto valor, seguros y diversificados</v>
      </c>
      <c r="G181" s="94"/>
      <c r="H181" s="343"/>
      <c r="I181" s="344"/>
      <c r="J181" s="345"/>
      <c r="K181" s="365"/>
      <c r="L181" s="365"/>
      <c r="M181" s="365"/>
      <c r="N181" s="365"/>
      <c r="O181" s="365"/>
      <c r="P181" s="365"/>
      <c r="Q181" s="365"/>
      <c r="R181" s="365"/>
      <c r="S181" s="365"/>
      <c r="T181" s="365"/>
      <c r="U181" s="179"/>
      <c r="V181" s="179"/>
      <c r="W181" s="179"/>
      <c r="X181" s="179"/>
      <c r="Y181" s="179"/>
      <c r="Z181" s="179"/>
      <c r="AA181" s="179"/>
      <c r="AB181" s="179"/>
      <c r="AC181" s="179"/>
      <c r="AD181" s="179"/>
    </row>
    <row r="182" spans="5:30" ht="33" customHeight="1" x14ac:dyDescent="0.2">
      <c r="F182" s="94" t="str">
        <f>STRAT3_IND1</f>
        <v xml:space="preserve">Aumenta la disponibilidad y el acceso a alimentos de alto valor nutritivo en los hogares. </v>
      </c>
      <c r="G182" s="94" t="str">
        <f ca="1">OFFSET(Variables_Lu!$D$10,Basic_Setup!H46,0)</f>
        <v>Nutrition-specific</v>
      </c>
      <c r="H182" s="346">
        <f>'Financial Req'!$J32</f>
        <v>42739025267.124352</v>
      </c>
      <c r="I182" s="347">
        <f>H182-J182</f>
        <v>-680167240.45761108</v>
      </c>
      <c r="J182" s="345">
        <f>SUM(K182:AD182)</f>
        <v>43419192507.581963</v>
      </c>
      <c r="K182" s="365">
        <f>Government1!$J32</f>
        <v>1069911379.8337545</v>
      </c>
      <c r="L182" s="365">
        <f>Government2!$J32</f>
        <v>122756264.82407364</v>
      </c>
      <c r="M182" s="365">
        <f>Government3!$J32</f>
        <v>322136100</v>
      </c>
      <c r="N182" s="365">
        <f>Government4!$J32</f>
        <v>34483098.077797502</v>
      </c>
      <c r="O182" s="365">
        <f>Government5!$J32</f>
        <v>14835114.535482001</v>
      </c>
      <c r="P182" s="365">
        <f>Government6!$J32</f>
        <v>5213666837.3361006</v>
      </c>
      <c r="Q182" s="365">
        <f>Government7!$J32</f>
        <v>649350494.63458204</v>
      </c>
      <c r="R182" s="365">
        <f>Government8!$J32</f>
        <v>31923218.340171002</v>
      </c>
      <c r="S182" s="365">
        <f>Government9!$J32</f>
        <v>0</v>
      </c>
      <c r="T182" s="365">
        <f>Government10!$J32</f>
        <v>0</v>
      </c>
      <c r="U182" s="179">
        <f>Partner1!$J103</f>
        <v>0</v>
      </c>
      <c r="V182" s="179">
        <f>Partner2!$J103</f>
        <v>0</v>
      </c>
      <c r="W182" s="179">
        <f>Partner3!$J103</f>
        <v>32463720000</v>
      </c>
      <c r="X182" s="179">
        <f>Partner4!$J103</f>
        <v>2371410000</v>
      </c>
      <c r="Y182" s="179">
        <f>Partner5!$J103</f>
        <v>1125000000</v>
      </c>
      <c r="Z182" s="179">
        <f>Partner6!$J103</f>
        <v>0</v>
      </c>
      <c r="AA182" s="179">
        <f>Partner7!$J103</f>
        <v>0</v>
      </c>
      <c r="AB182" s="179">
        <f>Partner8!$J103</f>
        <v>0</v>
      </c>
      <c r="AC182" s="179">
        <f>Partner9!$J103</f>
        <v>0</v>
      </c>
      <c r="AD182" s="179">
        <f>Partner10!$J103</f>
        <v>0</v>
      </c>
    </row>
    <row r="183" spans="5:30" ht="13.5" customHeight="1" x14ac:dyDescent="0.2">
      <c r="F183" s="94" t="str">
        <f>STRAT3_IND2</f>
        <v xml:space="preserve"> La seguridad alimentaria está garantizada para toda la nación.</v>
      </c>
      <c r="G183" s="94" t="str">
        <f ca="1">OFFSET(Variables_Lu!$D$10,Basic_Setup!H47,0)</f>
        <v>Nutrition-sensitive</v>
      </c>
      <c r="H183" s="346">
        <f>'Financial Req'!$J33</f>
        <v>42739025267.124352</v>
      </c>
      <c r="I183" s="347">
        <f>H183-J183</f>
        <v>35279962759.542389</v>
      </c>
      <c r="J183" s="345">
        <f>SUM(K183:AD183)</f>
        <v>7459062507.5819616</v>
      </c>
      <c r="K183" s="365">
        <f>Government1!$J33</f>
        <v>1069911379.8337545</v>
      </c>
      <c r="L183" s="365">
        <f>Government2!$J33</f>
        <v>122756264.82407364</v>
      </c>
      <c r="M183" s="365">
        <f>Government3!$J33</f>
        <v>322136100</v>
      </c>
      <c r="N183" s="365">
        <f>Government4!$J33</f>
        <v>34483098.077797502</v>
      </c>
      <c r="O183" s="365">
        <f>Government5!$J33</f>
        <v>14835114.535482001</v>
      </c>
      <c r="P183" s="365">
        <f>Government6!$J33</f>
        <v>5213666837.3361006</v>
      </c>
      <c r="Q183" s="365">
        <f>Government7!$J33</f>
        <v>649350494.63458204</v>
      </c>
      <c r="R183" s="365">
        <f>Government8!$J33</f>
        <v>31923218.340171002</v>
      </c>
      <c r="S183" s="365">
        <f>Government9!$J33</f>
        <v>0</v>
      </c>
      <c r="T183" s="365">
        <f>Government10!$J33</f>
        <v>0</v>
      </c>
      <c r="U183" s="179">
        <f>Partner1!$J104</f>
        <v>0</v>
      </c>
      <c r="V183" s="179">
        <f>Partner2!$J104</f>
        <v>0</v>
      </c>
      <c r="W183" s="179">
        <f>Partner3!$J104</f>
        <v>0</v>
      </c>
      <c r="X183" s="179">
        <f>Partner4!$J104</f>
        <v>0</v>
      </c>
      <c r="Y183" s="179">
        <f>Partner5!$J104</f>
        <v>0</v>
      </c>
      <c r="Z183" s="179">
        <f>Partner6!$J104</f>
        <v>0</v>
      </c>
      <c r="AA183" s="179">
        <f>Partner7!$J104</f>
        <v>0</v>
      </c>
      <c r="AB183" s="179">
        <f>Partner8!$J104</f>
        <v>0</v>
      </c>
      <c r="AC183" s="179">
        <f>Partner9!$J104</f>
        <v>0</v>
      </c>
      <c r="AD183" s="179">
        <f>Partner10!$J104</f>
        <v>0</v>
      </c>
    </row>
    <row r="184" spans="5:30" ht="12" x14ac:dyDescent="0.2">
      <c r="F184" s="94" t="str">
        <f>STRAT3_IND3</f>
        <v>Objetivo estratégico 3 Indicador 3</v>
      </c>
      <c r="G184" s="94" t="str">
        <f ca="1">OFFSET(Variables_Lu!$D$10,Basic_Setup!H48,0)</f>
        <v>Nutrition-specific</v>
      </c>
      <c r="H184" s="346">
        <f>'Financial Req'!$J34</f>
        <v>0</v>
      </c>
      <c r="I184" s="347">
        <f>H184-J184</f>
        <v>0</v>
      </c>
      <c r="J184" s="345">
        <f>SUM(K184:AD184)</f>
        <v>0</v>
      </c>
      <c r="K184" s="365">
        <f>Government1!$J34</f>
        <v>0</v>
      </c>
      <c r="L184" s="365">
        <f>Government2!$J34</f>
        <v>0</v>
      </c>
      <c r="M184" s="365">
        <f>Government3!$J34</f>
        <v>0</v>
      </c>
      <c r="N184" s="365">
        <f>Government4!$J34</f>
        <v>0</v>
      </c>
      <c r="O184" s="365">
        <f>Government5!$J34</f>
        <v>0</v>
      </c>
      <c r="P184" s="365">
        <f>Government6!$J34</f>
        <v>0</v>
      </c>
      <c r="Q184" s="365">
        <f>Government7!$J34</f>
        <v>0</v>
      </c>
      <c r="R184" s="365">
        <f>Government8!$J34</f>
        <v>0</v>
      </c>
      <c r="S184" s="365">
        <f>Government9!$J34</f>
        <v>0</v>
      </c>
      <c r="T184" s="365">
        <f>Government10!$J34</f>
        <v>0</v>
      </c>
      <c r="U184" s="179">
        <f>Partner1!$J105</f>
        <v>0</v>
      </c>
      <c r="V184" s="179">
        <f>Partner2!$J105</f>
        <v>0</v>
      </c>
      <c r="W184" s="179">
        <f>Partner3!$J105</f>
        <v>0</v>
      </c>
      <c r="X184" s="179">
        <f>Partner4!$J105</f>
        <v>0</v>
      </c>
      <c r="Y184" s="179">
        <f>Partner5!$J105</f>
        <v>0</v>
      </c>
      <c r="Z184" s="179">
        <f>Partner6!$J105</f>
        <v>0</v>
      </c>
      <c r="AA184" s="179">
        <f>Partner7!$J105</f>
        <v>0</v>
      </c>
      <c r="AB184" s="179">
        <f>Partner8!$J105</f>
        <v>0</v>
      </c>
      <c r="AC184" s="179">
        <f>Partner9!$J105</f>
        <v>0</v>
      </c>
      <c r="AD184" s="179">
        <f>Partner10!$J105</f>
        <v>0</v>
      </c>
    </row>
    <row r="185" spans="5:30" ht="12" x14ac:dyDescent="0.2">
      <c r="F185" s="94" t="str">
        <f>STRAT3_IND4</f>
        <v>Objetivo estratégico 3 Indicador 4</v>
      </c>
      <c r="G185" s="94" t="str">
        <f ca="1">OFFSET(Variables_Lu!$D$10,Basic_Setup!H49,0)</f>
        <v>Nutrition-specific</v>
      </c>
      <c r="H185" s="346">
        <f>'Financial Req'!$J35</f>
        <v>0</v>
      </c>
      <c r="I185" s="347">
        <f>H185-J185</f>
        <v>0</v>
      </c>
      <c r="J185" s="345">
        <f>SUM(K185:AD185)</f>
        <v>0</v>
      </c>
      <c r="K185" s="365">
        <f>Government1!$J35</f>
        <v>0</v>
      </c>
      <c r="L185" s="365">
        <f>Government2!$J35</f>
        <v>0</v>
      </c>
      <c r="M185" s="365">
        <f>Government3!$J35</f>
        <v>0</v>
      </c>
      <c r="N185" s="365">
        <f>Government4!$J35</f>
        <v>0</v>
      </c>
      <c r="O185" s="365">
        <f>Government5!$J35</f>
        <v>0</v>
      </c>
      <c r="P185" s="365">
        <f>Government6!$J35</f>
        <v>0</v>
      </c>
      <c r="Q185" s="365">
        <f>Government7!$J35</f>
        <v>0</v>
      </c>
      <c r="R185" s="365">
        <f>Government8!$J35</f>
        <v>0</v>
      </c>
      <c r="S185" s="365">
        <f>Government9!$J35</f>
        <v>0</v>
      </c>
      <c r="T185" s="365">
        <f>Government10!$J35</f>
        <v>0</v>
      </c>
      <c r="U185" s="179">
        <f>Partner1!$J106</f>
        <v>0</v>
      </c>
      <c r="V185" s="179">
        <f>Partner2!$J106</f>
        <v>0</v>
      </c>
      <c r="W185" s="179">
        <f>Partner3!$J106</f>
        <v>0</v>
      </c>
      <c r="X185" s="179">
        <f>Partner4!$J106</f>
        <v>0</v>
      </c>
      <c r="Y185" s="179">
        <f>Partner5!$J106</f>
        <v>0</v>
      </c>
      <c r="Z185" s="179">
        <f>Partner6!$J106</f>
        <v>0</v>
      </c>
      <c r="AA185" s="179">
        <f>Partner7!$J106</f>
        <v>0</v>
      </c>
      <c r="AB185" s="179">
        <f>Partner8!$J106</f>
        <v>0</v>
      </c>
      <c r="AC185" s="179">
        <f>Partner9!$J106</f>
        <v>0</v>
      </c>
      <c r="AD185" s="179">
        <f>Partner10!$J106</f>
        <v>0</v>
      </c>
    </row>
    <row r="186" spans="5:30" ht="12" x14ac:dyDescent="0.2">
      <c r="F186" s="94" t="str">
        <f>STRAT3_IND5</f>
        <v>Objetivo estratégico 3 Indicador 5</v>
      </c>
      <c r="G186" s="94" t="str">
        <f ca="1">OFFSET(Variables_Lu!$D$10,Basic_Setup!H50,0)</f>
        <v>Nutrition-specific</v>
      </c>
      <c r="H186" s="346">
        <f>'Financial Req'!$J36</f>
        <v>0</v>
      </c>
      <c r="I186" s="347">
        <f>H186-J186</f>
        <v>0</v>
      </c>
      <c r="J186" s="345">
        <f>SUM(K186:AD186)</f>
        <v>0</v>
      </c>
      <c r="K186" s="365">
        <f>Government1!$J36</f>
        <v>0</v>
      </c>
      <c r="L186" s="365">
        <f>Government2!$J36</f>
        <v>0</v>
      </c>
      <c r="M186" s="365">
        <f>Government3!$J36</f>
        <v>0</v>
      </c>
      <c r="N186" s="365">
        <f>Government4!$J36</f>
        <v>0</v>
      </c>
      <c r="O186" s="365">
        <f>Government5!$J36</f>
        <v>0</v>
      </c>
      <c r="P186" s="365">
        <f>Government6!$J36</f>
        <v>0</v>
      </c>
      <c r="Q186" s="365">
        <f>Government7!$J36</f>
        <v>0</v>
      </c>
      <c r="R186" s="365">
        <f>Government8!$J36</f>
        <v>0</v>
      </c>
      <c r="S186" s="365">
        <f>Government9!$J36</f>
        <v>0</v>
      </c>
      <c r="T186" s="365">
        <f>Government10!$J36</f>
        <v>0</v>
      </c>
      <c r="U186" s="179">
        <f>Partner1!$J107</f>
        <v>0</v>
      </c>
      <c r="V186" s="179">
        <f>Partner2!$J107</f>
        <v>0</v>
      </c>
      <c r="W186" s="179">
        <f>Partner3!$J107</f>
        <v>0</v>
      </c>
      <c r="X186" s="179">
        <f>Partner4!$J107</f>
        <v>0</v>
      </c>
      <c r="Y186" s="179">
        <f>Partner5!$J107</f>
        <v>0</v>
      </c>
      <c r="Z186" s="179">
        <f>Partner6!$J107</f>
        <v>0</v>
      </c>
      <c r="AA186" s="179">
        <f>Partner7!$J107</f>
        <v>0</v>
      </c>
      <c r="AB186" s="179">
        <f>Partner8!$J107</f>
        <v>0</v>
      </c>
      <c r="AC186" s="179">
        <f>Partner9!$J107</f>
        <v>0</v>
      </c>
      <c r="AD186" s="179">
        <f>Partner10!$J107</f>
        <v>0</v>
      </c>
    </row>
    <row r="187" spans="5:30" ht="34.200000000000003" x14ac:dyDescent="0.2">
      <c r="F187" s="332" t="str">
        <f>"Subtotal: "&amp;E181</f>
        <v>Subtotal: Objetivo estratégico 3: Aumentar la disponibilidad y el acceso a alimentos nutritivos de alto valor, seguros y diversificados</v>
      </c>
      <c r="G187" s="333"/>
      <c r="H187" s="348">
        <f>'Financial Req'!$J37</f>
        <v>85478050534.248703</v>
      </c>
      <c r="I187" s="349">
        <f>SUM(I182:I186)</f>
        <v>34599795519.084778</v>
      </c>
      <c r="J187" s="350">
        <f>SUM(J182:J186)</f>
        <v>50878255015.163925</v>
      </c>
      <c r="K187" s="366">
        <f>Government1!$J37</f>
        <v>2139822759.6675091</v>
      </c>
      <c r="L187" s="366">
        <f>Government2!$J37</f>
        <v>245512529.64814728</v>
      </c>
      <c r="M187" s="366">
        <f>Government3!$J37</f>
        <v>644272200</v>
      </c>
      <c r="N187" s="366">
        <f>Government4!$J37</f>
        <v>68966196.155595005</v>
      </c>
      <c r="O187" s="366">
        <f>Government5!$J37</f>
        <v>29670229.070964001</v>
      </c>
      <c r="P187" s="366">
        <f>Government6!$J37</f>
        <v>10427333674.672201</v>
      </c>
      <c r="Q187" s="366">
        <f>Government7!$J37</f>
        <v>1298700989.2691641</v>
      </c>
      <c r="R187" s="366">
        <f>Government8!$J37</f>
        <v>63846436.680342004</v>
      </c>
      <c r="S187" s="366">
        <f>Government9!$J37</f>
        <v>0</v>
      </c>
      <c r="T187" s="366">
        <f>Government10!$J37</f>
        <v>0</v>
      </c>
      <c r="U187" s="331">
        <f>Partner1!$J108</f>
        <v>0</v>
      </c>
      <c r="V187" s="331">
        <f>Partner2!$J108</f>
        <v>0</v>
      </c>
      <c r="W187" s="331">
        <f>Partner3!$J108</f>
        <v>32463720000</v>
      </c>
      <c r="X187" s="331">
        <f>Partner4!$J108</f>
        <v>2371410000</v>
      </c>
      <c r="Y187" s="331">
        <f>Partner5!$J108</f>
        <v>1125000000</v>
      </c>
      <c r="Z187" s="331">
        <f>Partner6!$J108</f>
        <v>0</v>
      </c>
      <c r="AA187" s="331">
        <f>Partner7!$J108</f>
        <v>0</v>
      </c>
      <c r="AB187" s="331">
        <f>Partner8!$J108</f>
        <v>0</v>
      </c>
      <c r="AC187" s="331">
        <f>Partner9!$J108</f>
        <v>0</v>
      </c>
      <c r="AD187" s="331">
        <f>Partner10!$J108</f>
        <v>0</v>
      </c>
    </row>
    <row r="188" spans="5:30" ht="12" x14ac:dyDescent="0.2">
      <c r="E188" s="301" t="str">
        <f>Strategy4</f>
        <v>Objetivo estratégico 4: Fortalecer la protección social, la resiliencia de la respuesta a las emergencias y los desastres naturales.</v>
      </c>
      <c r="G188" s="94"/>
      <c r="H188" s="343"/>
      <c r="I188" s="344"/>
      <c r="J188" s="345"/>
      <c r="K188" s="365"/>
      <c r="L188" s="365"/>
      <c r="M188" s="365"/>
      <c r="N188" s="365"/>
      <c r="O188" s="365"/>
      <c r="P188" s="365"/>
      <c r="Q188" s="365"/>
      <c r="R188" s="365"/>
      <c r="S188" s="365"/>
      <c r="T188" s="365"/>
      <c r="U188" s="179"/>
      <c r="V188" s="179"/>
      <c r="W188" s="179"/>
      <c r="X188" s="179"/>
      <c r="Y188" s="179"/>
      <c r="Z188" s="179"/>
      <c r="AA188" s="179"/>
      <c r="AB188" s="179"/>
      <c r="AC188" s="179"/>
      <c r="AD188" s="179"/>
    </row>
    <row r="189" spans="5:30" ht="22.8" x14ac:dyDescent="0.2">
      <c r="F189" s="94" t="str">
        <f>STRAT4_IND1</f>
        <v xml:space="preserve">Se garantiza la protección social de los niños menores de 5 años, los adolescentes, FE/FA y otros grupos vulnerables. </v>
      </c>
      <c r="G189" s="94" t="str">
        <f ca="1">OFFSET(Variables_Lu!$D$10,Basic_Setup!H52,0)</f>
        <v>Nutrition-sensitive</v>
      </c>
      <c r="H189" s="346">
        <f>'Financial Req'!$J38</f>
        <v>12969483931.208801</v>
      </c>
      <c r="I189" s="347">
        <f>H189-J189</f>
        <v>1529055468.69063</v>
      </c>
      <c r="J189" s="345">
        <f>SUM(K189:AD189)</f>
        <v>11440428462.518171</v>
      </c>
      <c r="K189" s="365">
        <f>Government1!$J38</f>
        <v>602279318.49211347</v>
      </c>
      <c r="L189" s="365">
        <f>Government2!$J38</f>
        <v>69102507.845433384</v>
      </c>
      <c r="M189" s="365">
        <f>Government3!$J38</f>
        <v>181338300</v>
      </c>
      <c r="N189" s="365">
        <f>Government4!$J38</f>
        <v>19411380.420142498</v>
      </c>
      <c r="O189" s="365">
        <f>Government5!$J38</f>
        <v>8351049.2930460004</v>
      </c>
      <c r="P189" s="365">
        <f>Government6!$J38</f>
        <v>2934900748.6242771</v>
      </c>
      <c r="Q189" s="365">
        <f>Government7!$J38</f>
        <v>365535296.42034602</v>
      </c>
      <c r="R189" s="365">
        <f>Government8!$J38</f>
        <v>17970361.422813002</v>
      </c>
      <c r="S189" s="365">
        <f>Government9!$J38</f>
        <v>0</v>
      </c>
      <c r="T189" s="365">
        <f>Government10!$J38</f>
        <v>0</v>
      </c>
      <c r="U189" s="179">
        <f>Partner1!$J109</f>
        <v>72000000</v>
      </c>
      <c r="V189" s="179">
        <f>Partner2!$J109</f>
        <v>0</v>
      </c>
      <c r="W189" s="179">
        <f>Partner3!$J109</f>
        <v>6269539500</v>
      </c>
      <c r="X189" s="179">
        <f>Partner4!$J109</f>
        <v>0</v>
      </c>
      <c r="Y189" s="179">
        <f>Partner5!$J109</f>
        <v>900000000</v>
      </c>
      <c r="Z189" s="179">
        <f>Partner6!$J109</f>
        <v>0</v>
      </c>
      <c r="AA189" s="179">
        <f>Partner7!$J109</f>
        <v>0</v>
      </c>
      <c r="AB189" s="179">
        <f>Partner8!$J109</f>
        <v>0</v>
      </c>
      <c r="AC189" s="179">
        <f>Partner9!$J109</f>
        <v>0</v>
      </c>
      <c r="AD189" s="179">
        <f>Partner10!$J109</f>
        <v>0</v>
      </c>
    </row>
    <row r="190" spans="5:30" ht="34.200000000000003" x14ac:dyDescent="0.2">
      <c r="F190" s="94" t="str">
        <f>STRAT4_IND2</f>
        <v xml:space="preserve">Se fortalece la capacidad de resiliencia y el estado nutricional de las poblaciones vulnerables, incluidos los niños de las zonas desfavorecidas.  </v>
      </c>
      <c r="G190" s="94" t="str">
        <f ca="1">OFFSET(Variables_Lu!$D$10,Basic_Setup!H53,0)</f>
        <v>Nutrition-specific</v>
      </c>
      <c r="H190" s="346">
        <f>'Financial Req'!$J39</f>
        <v>12969483931.208801</v>
      </c>
      <c r="I190" s="347">
        <f>H190-J190</f>
        <v>8541274968.69063</v>
      </c>
      <c r="J190" s="345">
        <f>SUM(K190:AD190)</f>
        <v>4428208962.5181713</v>
      </c>
      <c r="K190" s="365">
        <f>Government1!$J39</f>
        <v>602279318.49211347</v>
      </c>
      <c r="L190" s="365">
        <f>Government2!$J39</f>
        <v>69102507.845433384</v>
      </c>
      <c r="M190" s="365">
        <f>Government3!$J39</f>
        <v>181338300</v>
      </c>
      <c r="N190" s="365">
        <f>Government4!$J39</f>
        <v>19411380.420142498</v>
      </c>
      <c r="O190" s="365">
        <f>Government5!$J39</f>
        <v>8351049.2930460004</v>
      </c>
      <c r="P190" s="365">
        <f>Government6!$J39</f>
        <v>2934900748.6242771</v>
      </c>
      <c r="Q190" s="365">
        <f>Government7!$J39</f>
        <v>365535296.42034602</v>
      </c>
      <c r="R190" s="365">
        <f>Government8!$J39</f>
        <v>17970361.422813002</v>
      </c>
      <c r="S190" s="365">
        <f>Government9!$J39</f>
        <v>0</v>
      </c>
      <c r="T190" s="365">
        <f>Government10!$J39</f>
        <v>0</v>
      </c>
      <c r="U190" s="179">
        <f>Partner1!$J110</f>
        <v>72000000</v>
      </c>
      <c r="V190" s="179">
        <f>Partner2!$J110</f>
        <v>0</v>
      </c>
      <c r="W190" s="179">
        <f>Partner3!$J110</f>
        <v>0</v>
      </c>
      <c r="X190" s="179">
        <f>Partner4!$J110</f>
        <v>67320000</v>
      </c>
      <c r="Y190" s="179">
        <f>Partner5!$J110</f>
        <v>90000000</v>
      </c>
      <c r="Z190" s="179">
        <f>Partner6!$J110</f>
        <v>0</v>
      </c>
      <c r="AA190" s="179">
        <f>Partner7!$J110</f>
        <v>0</v>
      </c>
      <c r="AB190" s="179">
        <f>Partner8!$J110</f>
        <v>0</v>
      </c>
      <c r="AC190" s="179">
        <f>Partner9!$J110</f>
        <v>0</v>
      </c>
      <c r="AD190" s="179">
        <f>Partner10!$J110</f>
        <v>0</v>
      </c>
    </row>
    <row r="191" spans="5:30" ht="22.8" x14ac:dyDescent="0.2">
      <c r="F191" s="94" t="str">
        <f>STRAT4_IND3</f>
        <v xml:space="preserve"> Se introducen eficazmente intervenciones para emergencias y catástrofes naturales integrales de la nutrición.</v>
      </c>
      <c r="G191" s="94" t="str">
        <f ca="1">OFFSET(Variables_Lu!$D$10,Basic_Setup!H54,0)</f>
        <v>Nutrition-specific</v>
      </c>
      <c r="H191" s="346">
        <f>'Financial Req'!$J40</f>
        <v>12969483931.208801</v>
      </c>
      <c r="I191" s="347">
        <f>H191-J191</f>
        <v>8194594968.69063</v>
      </c>
      <c r="J191" s="345">
        <f>SUM(K191:AD191)</f>
        <v>4774888962.5181713</v>
      </c>
      <c r="K191" s="365">
        <f>Government1!$J40</f>
        <v>602279318.49211347</v>
      </c>
      <c r="L191" s="365">
        <f>Government2!$J40</f>
        <v>69102507.845433384</v>
      </c>
      <c r="M191" s="365">
        <f>Government3!$J40</f>
        <v>181338300</v>
      </c>
      <c r="N191" s="365">
        <f>Government4!$J40</f>
        <v>19411380.420142498</v>
      </c>
      <c r="O191" s="365">
        <f>Government5!$J40</f>
        <v>8351049.2930460004</v>
      </c>
      <c r="P191" s="365">
        <f>Government6!$J40</f>
        <v>2934900748.6242771</v>
      </c>
      <c r="Q191" s="365">
        <f>Government7!$J40</f>
        <v>365535296.42034602</v>
      </c>
      <c r="R191" s="365">
        <f>Government8!$J40</f>
        <v>17970361.422813002</v>
      </c>
      <c r="S191" s="365">
        <f>Government9!$J40</f>
        <v>0</v>
      </c>
      <c r="T191" s="365">
        <f>Government10!$J40</f>
        <v>0</v>
      </c>
      <c r="U191" s="179">
        <f>Partner1!$J111</f>
        <v>576000000</v>
      </c>
      <c r="V191" s="179">
        <f>Partner2!$J111</f>
        <v>0</v>
      </c>
      <c r="W191" s="179">
        <f>Partner3!$J111</f>
        <v>0</v>
      </c>
      <c r="X191" s="179">
        <f>Partner4!$J111</f>
        <v>0</v>
      </c>
      <c r="Y191" s="179">
        <f>Partner5!$J111</f>
        <v>0</v>
      </c>
      <c r="Z191" s="179">
        <f>Partner6!$J111</f>
        <v>0</v>
      </c>
      <c r="AA191" s="179">
        <f>Partner7!$J111</f>
        <v>0</v>
      </c>
      <c r="AB191" s="179">
        <f>Partner8!$J111</f>
        <v>0</v>
      </c>
      <c r="AC191" s="179">
        <f>Partner9!$J111</f>
        <v>0</v>
      </c>
      <c r="AD191" s="179">
        <f>Partner10!$J111</f>
        <v>0</v>
      </c>
    </row>
    <row r="192" spans="5:30" ht="12" x14ac:dyDescent="0.2">
      <c r="F192" s="94" t="str">
        <f>STRAT4_IND4</f>
        <v>Objetivo estratégico 4 Indicador 4</v>
      </c>
      <c r="G192" s="94" t="str">
        <f ca="1">OFFSET(Variables_Lu!$D$10,Basic_Setup!H55,0)</f>
        <v>Nutrition-specific</v>
      </c>
      <c r="H192" s="346">
        <f>'Financial Req'!$J41</f>
        <v>0</v>
      </c>
      <c r="I192" s="347">
        <f>H192-J192</f>
        <v>0</v>
      </c>
      <c r="J192" s="345">
        <f>SUM(K192:AD192)</f>
        <v>0</v>
      </c>
      <c r="K192" s="365">
        <f>Government1!$J41</f>
        <v>0</v>
      </c>
      <c r="L192" s="365">
        <f>Government2!$J41</f>
        <v>0</v>
      </c>
      <c r="M192" s="365">
        <f>Government3!$J41</f>
        <v>0</v>
      </c>
      <c r="N192" s="365">
        <f>Government4!$J41</f>
        <v>0</v>
      </c>
      <c r="O192" s="365">
        <f>Government5!$J41</f>
        <v>0</v>
      </c>
      <c r="P192" s="365">
        <f>Government6!$J41</f>
        <v>0</v>
      </c>
      <c r="Q192" s="365">
        <f>Government7!$J41</f>
        <v>0</v>
      </c>
      <c r="R192" s="365">
        <f>Government8!$J41</f>
        <v>0</v>
      </c>
      <c r="S192" s="365">
        <f>Government9!$J41</f>
        <v>0</v>
      </c>
      <c r="T192" s="365">
        <f>Government10!$J41</f>
        <v>0</v>
      </c>
      <c r="U192" s="179">
        <f>Partner1!$J112</f>
        <v>0</v>
      </c>
      <c r="V192" s="179">
        <f>Partner2!$J112</f>
        <v>0</v>
      </c>
      <c r="W192" s="179">
        <f>Partner3!$J112</f>
        <v>0</v>
      </c>
      <c r="X192" s="179">
        <f>Partner4!$J112</f>
        <v>0</v>
      </c>
      <c r="Y192" s="179">
        <f>Partner5!$J112</f>
        <v>0</v>
      </c>
      <c r="Z192" s="179">
        <f>Partner6!$J112</f>
        <v>0</v>
      </c>
      <c r="AA192" s="179">
        <f>Partner7!$J112</f>
        <v>0</v>
      </c>
      <c r="AB192" s="179">
        <f>Partner8!$J112</f>
        <v>0</v>
      </c>
      <c r="AC192" s="179">
        <f>Partner9!$J112</f>
        <v>0</v>
      </c>
      <c r="AD192" s="179">
        <f>Partner10!$J112</f>
        <v>0</v>
      </c>
    </row>
    <row r="193" spans="5:30" ht="12" x14ac:dyDescent="0.2">
      <c r="F193" s="94" t="str">
        <f>STRAT4_IND5</f>
        <v>Objetivo estratégico 4 Indicador 5</v>
      </c>
      <c r="G193" s="94" t="str">
        <f ca="1">OFFSET(Variables_Lu!$D$10,Basic_Setup!H56,0)</f>
        <v>Nutrition-specific</v>
      </c>
      <c r="H193" s="346">
        <f>'Financial Req'!$J42</f>
        <v>0</v>
      </c>
      <c r="I193" s="347">
        <f>H193-J193</f>
        <v>0</v>
      </c>
      <c r="J193" s="345">
        <f>SUM(K193:AD193)</f>
        <v>0</v>
      </c>
      <c r="K193" s="365">
        <f>Government1!$J42</f>
        <v>0</v>
      </c>
      <c r="L193" s="365">
        <f>Government2!$J42</f>
        <v>0</v>
      </c>
      <c r="M193" s="365">
        <f>Government3!$J42</f>
        <v>0</v>
      </c>
      <c r="N193" s="365">
        <f>Government4!$J42</f>
        <v>0</v>
      </c>
      <c r="O193" s="365">
        <f>Government5!$J42</f>
        <v>0</v>
      </c>
      <c r="P193" s="365">
        <f>Government6!$J42</f>
        <v>0</v>
      </c>
      <c r="Q193" s="365">
        <f>Government7!$J42</f>
        <v>0</v>
      </c>
      <c r="R193" s="365">
        <f>Government8!$J42</f>
        <v>0</v>
      </c>
      <c r="S193" s="365">
        <f>Government9!$J42</f>
        <v>0</v>
      </c>
      <c r="T193" s="365">
        <f>Government10!$J42</f>
        <v>0</v>
      </c>
      <c r="U193" s="179">
        <f>Partner1!$J113</f>
        <v>0</v>
      </c>
      <c r="V193" s="179">
        <f>Partner2!$J113</f>
        <v>0</v>
      </c>
      <c r="W193" s="179">
        <f>Partner3!$J113</f>
        <v>0</v>
      </c>
      <c r="X193" s="179">
        <f>Partner4!$J113</f>
        <v>0</v>
      </c>
      <c r="Y193" s="179">
        <f>Partner5!$J113</f>
        <v>0</v>
      </c>
      <c r="Z193" s="179">
        <f>Partner6!$J113</f>
        <v>0</v>
      </c>
      <c r="AA193" s="179">
        <f>Partner7!$J113</f>
        <v>0</v>
      </c>
      <c r="AB193" s="179">
        <f>Partner8!$J113</f>
        <v>0</v>
      </c>
      <c r="AC193" s="179">
        <f>Partner9!$J113</f>
        <v>0</v>
      </c>
      <c r="AD193" s="179">
        <f>Partner10!$J113</f>
        <v>0</v>
      </c>
    </row>
    <row r="194" spans="5:30" ht="34.200000000000003" x14ac:dyDescent="0.2">
      <c r="F194" s="332" t="str">
        <f>"Subtotal: "&amp;E188</f>
        <v>Subtotal: Objetivo estratégico 4: Fortalecer la protección social, la resiliencia de la respuesta a las emergencias y los desastres naturales.</v>
      </c>
      <c r="G194" s="333"/>
      <c r="H194" s="348">
        <f>'Financial Req'!$J43</f>
        <v>38908451793.626404</v>
      </c>
      <c r="I194" s="349">
        <f>SUM(I189:I193)</f>
        <v>18264925406.071892</v>
      </c>
      <c r="J194" s="350">
        <f>SUM(J189:J193)</f>
        <v>20643526387.554512</v>
      </c>
      <c r="K194" s="366">
        <f>Government1!$J43</f>
        <v>1806837955.4763403</v>
      </c>
      <c r="L194" s="366">
        <f>Government2!$J43</f>
        <v>207307523.53630015</v>
      </c>
      <c r="M194" s="366">
        <f>Government3!$J43</f>
        <v>544014900</v>
      </c>
      <c r="N194" s="366">
        <f>Government4!$J43</f>
        <v>58234141.26042749</v>
      </c>
      <c r="O194" s="366">
        <f>Government5!$J43</f>
        <v>25053147.879138</v>
      </c>
      <c r="P194" s="366">
        <f>Government6!$J43</f>
        <v>8804702245.8728313</v>
      </c>
      <c r="Q194" s="366">
        <f>Government7!$J43</f>
        <v>1096605889.2610381</v>
      </c>
      <c r="R194" s="366">
        <f>Government8!$J43</f>
        <v>53911084.26843901</v>
      </c>
      <c r="S194" s="366">
        <f>Government9!$J43</f>
        <v>0</v>
      </c>
      <c r="T194" s="366">
        <f>Government10!$J43</f>
        <v>0</v>
      </c>
      <c r="U194" s="331">
        <f>Partner1!$J114</f>
        <v>720000000</v>
      </c>
      <c r="V194" s="331">
        <f>Partner2!$J114</f>
        <v>0</v>
      </c>
      <c r="W194" s="331">
        <f>Partner3!$J114</f>
        <v>6269539500</v>
      </c>
      <c r="X194" s="331">
        <f>Partner4!$J114</f>
        <v>67320000</v>
      </c>
      <c r="Y194" s="331">
        <f>Partner5!$J114</f>
        <v>990000000</v>
      </c>
      <c r="Z194" s="331">
        <f>Partner6!$J114</f>
        <v>0</v>
      </c>
      <c r="AA194" s="331">
        <f>Partner7!$J114</f>
        <v>0</v>
      </c>
      <c r="AB194" s="331">
        <f>Partner8!$J114</f>
        <v>0</v>
      </c>
      <c r="AC194" s="331">
        <f>Partner9!$J114</f>
        <v>0</v>
      </c>
      <c r="AD194" s="331">
        <f>Partner10!$J114</f>
        <v>0</v>
      </c>
    </row>
    <row r="195" spans="5:30" ht="12" x14ac:dyDescent="0.2">
      <c r="E195" s="301" t="str">
        <f>Strategy5</f>
        <v xml:space="preserve">Objetivo estratégico 5: Promoción de prácticas favorables a una nutrición óptima, de higiene y saneamiento básico. </v>
      </c>
      <c r="G195" s="94"/>
      <c r="H195" s="343"/>
      <c r="I195" s="344"/>
      <c r="J195" s="345"/>
      <c r="K195" s="365"/>
      <c r="L195" s="365"/>
      <c r="M195" s="365"/>
      <c r="N195" s="365"/>
      <c r="O195" s="365"/>
      <c r="P195" s="365"/>
      <c r="Q195" s="365"/>
      <c r="R195" s="365"/>
      <c r="S195" s="365"/>
      <c r="T195" s="365"/>
      <c r="U195" s="179"/>
      <c r="V195" s="179"/>
      <c r="W195" s="179"/>
      <c r="X195" s="179"/>
      <c r="Y195" s="179"/>
      <c r="Z195" s="179"/>
      <c r="AA195" s="179"/>
      <c r="AB195" s="179"/>
      <c r="AC195" s="179"/>
      <c r="AD195" s="179"/>
    </row>
    <row r="196" spans="5:30" ht="34.200000000000003" x14ac:dyDescent="0.2">
      <c r="F196" s="94" t="str">
        <f>STRAT5_IND1</f>
        <v>Se mejoran las prácticas nutricionales favorables para los niños menores de 5 años, los adolescentes, las mujeres embarazadas y lactantes, y otros grupos vulnerables.</v>
      </c>
      <c r="G196" s="94" t="str">
        <f ca="1">OFFSET(Variables_Lu!$D$10,Basic_Setup!H58,0)</f>
        <v>Nutrition-specific</v>
      </c>
      <c r="H196" s="346">
        <f>'Financial Req'!$J44</f>
        <v>1819131633.88889</v>
      </c>
      <c r="I196" s="347">
        <f>H196-J196</f>
        <v>-3432863125.2906952</v>
      </c>
      <c r="J196" s="345">
        <f>SUM(K196:AD196)</f>
        <v>5251994759.1795855</v>
      </c>
      <c r="K196" s="365">
        <f>Government1!$J44</f>
        <v>16528128.920057997</v>
      </c>
      <c r="L196" s="365">
        <f>Government2!$J44</f>
        <v>1896354.6037544999</v>
      </c>
      <c r="M196" s="365">
        <f>Government3!$J44</f>
        <v>4976399.9999999991</v>
      </c>
      <c r="N196" s="365">
        <f>Government4!$J44</f>
        <v>532699.34438999987</v>
      </c>
      <c r="O196" s="365">
        <f>Government5!$J44</f>
        <v>229174.76176799997</v>
      </c>
      <c r="P196" s="365">
        <f>Government6!$J44</f>
        <v>80541397.407242998</v>
      </c>
      <c r="Q196" s="365">
        <f>Government7!$J44</f>
        <v>10031250.150168</v>
      </c>
      <c r="R196" s="365">
        <f>Government8!$J44</f>
        <v>493153.99220399995</v>
      </c>
      <c r="S196" s="365">
        <f>Government9!$J44</f>
        <v>0</v>
      </c>
      <c r="T196" s="365">
        <f>Government10!$J44</f>
        <v>0</v>
      </c>
      <c r="U196" s="179">
        <f>Partner1!$J115</f>
        <v>2160000000</v>
      </c>
      <c r="V196" s="179">
        <f>Partner2!$J115</f>
        <v>0</v>
      </c>
      <c r="W196" s="179">
        <f>Partner3!$J115</f>
        <v>510971400</v>
      </c>
      <c r="X196" s="179">
        <f>Partner4!$J115</f>
        <v>665794800</v>
      </c>
      <c r="Y196" s="179">
        <f>Partner5!$J115</f>
        <v>1800000000</v>
      </c>
      <c r="Z196" s="179">
        <f>Partner6!$J115</f>
        <v>0</v>
      </c>
      <c r="AA196" s="179">
        <f>Partner7!$J115</f>
        <v>0</v>
      </c>
      <c r="AB196" s="179">
        <f>Partner8!$J115</f>
        <v>0</v>
      </c>
      <c r="AC196" s="179">
        <f>Partner9!$J115</f>
        <v>0</v>
      </c>
      <c r="AD196" s="179">
        <f>Partner10!$J115</f>
        <v>0</v>
      </c>
    </row>
    <row r="197" spans="5:30" ht="22.8" x14ac:dyDescent="0.2">
      <c r="F197" s="94" t="str">
        <f>STRAT5_IND2</f>
        <v>Se promueven dietas saludables y estilos de vida saludables para las personas.</v>
      </c>
      <c r="G197" s="94" t="str">
        <f ca="1">OFFSET(Variables_Lu!$D$10,Basic_Setup!H59,0)</f>
        <v>Nutrition-specific</v>
      </c>
      <c r="H197" s="346">
        <f>'Financial Req'!$J45</f>
        <v>1819131633.88889</v>
      </c>
      <c r="I197" s="347">
        <f>H197-J197</f>
        <v>806423074.70930457</v>
      </c>
      <c r="J197" s="345">
        <f>SUM(K197:AD197)</f>
        <v>1012708559.1795855</v>
      </c>
      <c r="K197" s="365">
        <f>Government1!$J45</f>
        <v>16528128.920057997</v>
      </c>
      <c r="L197" s="365">
        <f>Government2!$J45</f>
        <v>1896354.6037544999</v>
      </c>
      <c r="M197" s="365">
        <f>Government3!$J45</f>
        <v>4976399.9999999991</v>
      </c>
      <c r="N197" s="365">
        <f>Government4!$J45</f>
        <v>532699.34438999987</v>
      </c>
      <c r="O197" s="365">
        <f>Government5!$J45</f>
        <v>229174.76176799997</v>
      </c>
      <c r="P197" s="365">
        <f>Government6!$J45</f>
        <v>80541397.407242998</v>
      </c>
      <c r="Q197" s="365">
        <f>Government7!$J45</f>
        <v>10031250.150168</v>
      </c>
      <c r="R197" s="365">
        <f>Government8!$J45</f>
        <v>493153.99220399995</v>
      </c>
      <c r="S197" s="365">
        <f>Government9!$J45</f>
        <v>0</v>
      </c>
      <c r="T197" s="365">
        <f>Government10!$J45</f>
        <v>0</v>
      </c>
      <c r="U197" s="179">
        <f>Partner1!$J116</f>
        <v>864000000</v>
      </c>
      <c r="V197" s="179">
        <f>Partner2!$J116</f>
        <v>0</v>
      </c>
      <c r="W197" s="179">
        <f>Partner3!$J116</f>
        <v>0</v>
      </c>
      <c r="X197" s="179">
        <f>Partner4!$J116</f>
        <v>33480000</v>
      </c>
      <c r="Y197" s="179">
        <f>Partner5!$J116</f>
        <v>0</v>
      </c>
      <c r="Z197" s="179">
        <f>Partner6!$J116</f>
        <v>0</v>
      </c>
      <c r="AA197" s="179">
        <f>Partner7!$J116</f>
        <v>0</v>
      </c>
      <c r="AB197" s="179">
        <f>Partner8!$J116</f>
        <v>0</v>
      </c>
      <c r="AC197" s="179">
        <f>Partner9!$J116</f>
        <v>0</v>
      </c>
      <c r="AD197" s="179">
        <f>Partner10!$J116</f>
        <v>0</v>
      </c>
    </row>
    <row r="198" spans="5:30" ht="22.8" x14ac:dyDescent="0.2">
      <c r="F198" s="94" t="str">
        <f>STRAT5_IND3</f>
        <v>Se promueven las buenas prácticas WASH a nivel comunitario y doméstico</v>
      </c>
      <c r="G198" s="94" t="str">
        <f ca="1">OFFSET(Variables_Lu!$D$10,Basic_Setup!H60,0)</f>
        <v>Nutrition-sensitive</v>
      </c>
      <c r="H198" s="346">
        <f>'Financial Req'!$J46</f>
        <v>1819131633.88889</v>
      </c>
      <c r="I198" s="347">
        <f>H198-J198</f>
        <v>407903074.70930457</v>
      </c>
      <c r="J198" s="345">
        <f>SUM(K198:AD198)</f>
        <v>1411228559.1795855</v>
      </c>
      <c r="K198" s="365">
        <f>Government1!$J46</f>
        <v>16528128.920057997</v>
      </c>
      <c r="L198" s="365">
        <f>Government2!$J46</f>
        <v>1896354.6037544999</v>
      </c>
      <c r="M198" s="365">
        <f>Government3!$J46</f>
        <v>4976399.9999999991</v>
      </c>
      <c r="N198" s="365">
        <f>Government4!$J46</f>
        <v>532699.34438999987</v>
      </c>
      <c r="O198" s="365">
        <f>Government5!$J46</f>
        <v>229174.76176799997</v>
      </c>
      <c r="P198" s="365">
        <f>Government6!$J46</f>
        <v>80541397.407242998</v>
      </c>
      <c r="Q198" s="365">
        <f>Government7!$J46</f>
        <v>10031250.150168</v>
      </c>
      <c r="R198" s="365">
        <f>Government8!$J46</f>
        <v>493153.99220399995</v>
      </c>
      <c r="S198" s="365">
        <f>Government9!$J46</f>
        <v>0</v>
      </c>
      <c r="T198" s="365">
        <f>Government10!$J46</f>
        <v>0</v>
      </c>
      <c r="U198" s="179">
        <f>Partner1!$J117</f>
        <v>1296000000</v>
      </c>
      <c r="V198" s="179">
        <f>Partner2!$J117</f>
        <v>0</v>
      </c>
      <c r="W198" s="179">
        <f>Partner3!$J117</f>
        <v>0</v>
      </c>
      <c r="X198" s="179">
        <f>Partner4!$J117</f>
        <v>0</v>
      </c>
      <c r="Y198" s="179">
        <f>Partner5!$J117</f>
        <v>0</v>
      </c>
      <c r="Z198" s="179">
        <f>Partner6!$J117</f>
        <v>0</v>
      </c>
      <c r="AA198" s="179">
        <f>Partner7!$J117</f>
        <v>0</v>
      </c>
      <c r="AB198" s="179">
        <f>Partner8!$J117</f>
        <v>0</v>
      </c>
      <c r="AC198" s="179">
        <f>Partner9!$J117</f>
        <v>0</v>
      </c>
      <c r="AD198" s="179">
        <f>Partner10!$J117</f>
        <v>0</v>
      </c>
    </row>
    <row r="199" spans="5:30" ht="12" x14ac:dyDescent="0.2">
      <c r="F199" s="94" t="str">
        <f>STRAT5_IND4</f>
        <v>Objetivo estratégico 5 Indicador 4</v>
      </c>
      <c r="G199" s="94" t="str">
        <f ca="1">OFFSET(Variables_Lu!$D$10,Basic_Setup!H61,0)</f>
        <v>Nutrition-specific</v>
      </c>
      <c r="H199" s="346">
        <f>'Financial Req'!$J47</f>
        <v>0</v>
      </c>
      <c r="I199" s="347">
        <f>H199-J199</f>
        <v>0</v>
      </c>
      <c r="J199" s="345">
        <f>SUM(K199:AD199)</f>
        <v>0</v>
      </c>
      <c r="K199" s="365">
        <f>Government1!$J47</f>
        <v>0</v>
      </c>
      <c r="L199" s="365">
        <f>Government2!$J47</f>
        <v>0</v>
      </c>
      <c r="M199" s="365">
        <f>Government3!$J47</f>
        <v>0</v>
      </c>
      <c r="N199" s="365">
        <f>Government4!$J47</f>
        <v>0</v>
      </c>
      <c r="O199" s="365">
        <f>Government5!$J47</f>
        <v>0</v>
      </c>
      <c r="P199" s="365">
        <f>Government6!$J47</f>
        <v>0</v>
      </c>
      <c r="Q199" s="365">
        <f>Government7!$J47</f>
        <v>0</v>
      </c>
      <c r="R199" s="365">
        <f>Government8!$J47</f>
        <v>0</v>
      </c>
      <c r="S199" s="365">
        <f>Government9!$J47</f>
        <v>0</v>
      </c>
      <c r="T199" s="365">
        <f>Government10!$J47</f>
        <v>0</v>
      </c>
      <c r="U199" s="179">
        <f>Partner1!$J118</f>
        <v>0</v>
      </c>
      <c r="V199" s="179">
        <f>Partner2!$J118</f>
        <v>0</v>
      </c>
      <c r="W199" s="179">
        <f>Partner3!$J118</f>
        <v>0</v>
      </c>
      <c r="X199" s="179">
        <f>Partner4!$J118</f>
        <v>0</v>
      </c>
      <c r="Y199" s="179">
        <f>Partner5!$J118</f>
        <v>0</v>
      </c>
      <c r="Z199" s="179">
        <f>Partner6!$J118</f>
        <v>0</v>
      </c>
      <c r="AA199" s="179">
        <f>Partner7!$J118</f>
        <v>0</v>
      </c>
      <c r="AB199" s="179">
        <f>Partner8!$J118</f>
        <v>0</v>
      </c>
      <c r="AC199" s="179">
        <f>Partner9!$J118</f>
        <v>0</v>
      </c>
      <c r="AD199" s="179">
        <f>Partner10!$J118</f>
        <v>0</v>
      </c>
    </row>
    <row r="200" spans="5:30" ht="12" x14ac:dyDescent="0.2">
      <c r="F200" s="94" t="str">
        <f>STRAT5_IND5</f>
        <v>Objetivo estratégico 5 Indicador 5</v>
      </c>
      <c r="G200" s="94" t="str">
        <f ca="1">OFFSET(Variables_Lu!$D$10,Basic_Setup!H62,0)</f>
        <v>Nutrition-specific</v>
      </c>
      <c r="H200" s="346">
        <f>'Financial Req'!$J48</f>
        <v>0</v>
      </c>
      <c r="I200" s="347">
        <f>H200-J200</f>
        <v>0</v>
      </c>
      <c r="J200" s="345">
        <f>SUM(K200:AD200)</f>
        <v>0</v>
      </c>
      <c r="K200" s="365">
        <f>Government1!$J48</f>
        <v>0</v>
      </c>
      <c r="L200" s="365">
        <f>Government2!$J48</f>
        <v>0</v>
      </c>
      <c r="M200" s="365">
        <f>Government3!$J48</f>
        <v>0</v>
      </c>
      <c r="N200" s="365">
        <f>Government4!$J48</f>
        <v>0</v>
      </c>
      <c r="O200" s="365">
        <f>Government5!$J48</f>
        <v>0</v>
      </c>
      <c r="P200" s="365">
        <f>Government6!$J48</f>
        <v>0</v>
      </c>
      <c r="Q200" s="365">
        <f>Government7!$J48</f>
        <v>0</v>
      </c>
      <c r="R200" s="365">
        <f>Government8!$J48</f>
        <v>0</v>
      </c>
      <c r="S200" s="365">
        <f>Government9!$J48</f>
        <v>0</v>
      </c>
      <c r="T200" s="365">
        <f>Government10!$J48</f>
        <v>0</v>
      </c>
      <c r="U200" s="179">
        <f>Partner1!$J119</f>
        <v>0</v>
      </c>
      <c r="V200" s="179">
        <f>Partner2!$J119</f>
        <v>0</v>
      </c>
      <c r="W200" s="179">
        <f>Partner3!$J119</f>
        <v>0</v>
      </c>
      <c r="X200" s="179">
        <f>Partner4!$J119</f>
        <v>0</v>
      </c>
      <c r="Y200" s="179">
        <f>Partner5!$J119</f>
        <v>0</v>
      </c>
      <c r="Z200" s="179">
        <f>Partner6!$J119</f>
        <v>0</v>
      </c>
      <c r="AA200" s="179">
        <f>Partner7!$J119</f>
        <v>0</v>
      </c>
      <c r="AB200" s="179">
        <f>Partner8!$J119</f>
        <v>0</v>
      </c>
      <c r="AC200" s="179">
        <f>Partner9!$J119</f>
        <v>0</v>
      </c>
      <c r="AD200" s="179">
        <f>Partner10!$J119</f>
        <v>0</v>
      </c>
    </row>
    <row r="201" spans="5:30" ht="34.200000000000003" x14ac:dyDescent="0.2">
      <c r="F201" s="332" t="str">
        <f>"Subtotal: "&amp;E195</f>
        <v xml:space="preserve">Subtotal: Objetivo estratégico 5: Promoción de prácticas favorables a una nutrición óptima, de higiene y saneamiento básico. </v>
      </c>
      <c r="G201" s="333"/>
      <c r="H201" s="348">
        <f>'Financial Req'!$J49</f>
        <v>5457394901.6666698</v>
      </c>
      <c r="I201" s="349">
        <f>SUM(I196:I200)</f>
        <v>-2218536975.8720856</v>
      </c>
      <c r="J201" s="350">
        <f>SUM(J196:J200)</f>
        <v>7675931877.5387564</v>
      </c>
      <c r="K201" s="366">
        <f>Government1!$J49</f>
        <v>49584386.760173991</v>
      </c>
      <c r="L201" s="366">
        <f>Government2!$J49</f>
        <v>5689063.8112634998</v>
      </c>
      <c r="M201" s="366">
        <f>Government3!$J49</f>
        <v>14929199.999999996</v>
      </c>
      <c r="N201" s="366">
        <f>Government4!$J49</f>
        <v>1598098.0331699997</v>
      </c>
      <c r="O201" s="366">
        <f>Government5!$J49</f>
        <v>687524.2853039999</v>
      </c>
      <c r="P201" s="366">
        <f>Government6!$J49</f>
        <v>241624192.22172898</v>
      </c>
      <c r="Q201" s="366">
        <f>Government7!$J49</f>
        <v>30093750.450503998</v>
      </c>
      <c r="R201" s="366">
        <f>Government8!$J49</f>
        <v>1479461.9766119998</v>
      </c>
      <c r="S201" s="366">
        <f>Government9!$J49</f>
        <v>0</v>
      </c>
      <c r="T201" s="366">
        <f>Government10!$J49</f>
        <v>0</v>
      </c>
      <c r="U201" s="331">
        <f>Partner1!$J120</f>
        <v>4320000000</v>
      </c>
      <c r="V201" s="331">
        <f>Partner2!$J120</f>
        <v>0</v>
      </c>
      <c r="W201" s="331">
        <f>Partner3!$J120</f>
        <v>510971400</v>
      </c>
      <c r="X201" s="331">
        <f>Partner4!$J120</f>
        <v>699274800</v>
      </c>
      <c r="Y201" s="331">
        <f>Partner5!$J120</f>
        <v>1800000000</v>
      </c>
      <c r="Z201" s="331">
        <f>Partner6!$J120</f>
        <v>0</v>
      </c>
      <c r="AA201" s="331">
        <f>Partner7!$J120</f>
        <v>0</v>
      </c>
      <c r="AB201" s="331">
        <f>Partner8!$J120</f>
        <v>0</v>
      </c>
      <c r="AC201" s="331">
        <f>Partner9!$J120</f>
        <v>0</v>
      </c>
      <c r="AD201" s="331">
        <f>Partner10!$J120</f>
        <v>0</v>
      </c>
    </row>
    <row r="202" spans="5:30" ht="12" x14ac:dyDescent="0.2">
      <c r="E202" s="301" t="str">
        <f>Strategy6</f>
        <v>Objetivo estratégico 6: [No está en uso]</v>
      </c>
      <c r="G202" s="94"/>
      <c r="H202" s="343"/>
      <c r="I202" s="344"/>
      <c r="J202" s="345"/>
      <c r="K202" s="365"/>
      <c r="L202" s="365"/>
      <c r="M202" s="365"/>
      <c r="N202" s="365"/>
      <c r="O202" s="365"/>
      <c r="P202" s="365"/>
      <c r="Q202" s="365"/>
      <c r="R202" s="365"/>
      <c r="S202" s="365"/>
      <c r="T202" s="365"/>
      <c r="U202" s="179"/>
      <c r="V202" s="179"/>
      <c r="W202" s="179"/>
      <c r="X202" s="179"/>
      <c r="Y202" s="179"/>
      <c r="Z202" s="179"/>
      <c r="AA202" s="179"/>
      <c r="AB202" s="179"/>
      <c r="AC202" s="179"/>
      <c r="AD202" s="179"/>
    </row>
    <row r="203" spans="5:30" ht="12" x14ac:dyDescent="0.2">
      <c r="F203" s="94" t="str">
        <f>STRAT6_IND1</f>
        <v>Objetivo estratégico 6 Indicador 1</v>
      </c>
      <c r="G203" s="94" t="str">
        <f ca="1">OFFSET(Variables_Lu!$D$10,Basic_Setup!H64,0)</f>
        <v>Nutrition-specific</v>
      </c>
      <c r="H203" s="346">
        <f>'Financial Req'!$J50</f>
        <v>0</v>
      </c>
      <c r="I203" s="347">
        <f>H203-J203</f>
        <v>0</v>
      </c>
      <c r="J203" s="345">
        <f>SUM(K203:AD203)</f>
        <v>0</v>
      </c>
      <c r="K203" s="365">
        <f>Government1!$J50</f>
        <v>0</v>
      </c>
      <c r="L203" s="365">
        <f>Government2!$J50</f>
        <v>0</v>
      </c>
      <c r="M203" s="365">
        <f>Government3!$J50</f>
        <v>0</v>
      </c>
      <c r="N203" s="365">
        <f>Government4!$J50</f>
        <v>0</v>
      </c>
      <c r="O203" s="365">
        <f>Government5!$J50</f>
        <v>0</v>
      </c>
      <c r="P203" s="365">
        <f>Government6!$J50</f>
        <v>0</v>
      </c>
      <c r="Q203" s="365">
        <f>Government7!$J50</f>
        <v>0</v>
      </c>
      <c r="R203" s="365">
        <f>Government8!$J50</f>
        <v>0</v>
      </c>
      <c r="S203" s="365">
        <f>Government9!$J50</f>
        <v>0</v>
      </c>
      <c r="T203" s="365">
        <f>Government10!$J50</f>
        <v>0</v>
      </c>
      <c r="U203" s="179">
        <f>Partner1!$J121</f>
        <v>0</v>
      </c>
      <c r="V203" s="179">
        <f>Partner2!$J121</f>
        <v>0</v>
      </c>
      <c r="W203" s="179">
        <f>Partner3!$J121</f>
        <v>0</v>
      </c>
      <c r="X203" s="179">
        <f>Partner4!$J121</f>
        <v>0</v>
      </c>
      <c r="Y203" s="179">
        <f>Partner5!$J121</f>
        <v>0</v>
      </c>
      <c r="Z203" s="179">
        <f>Partner6!$J121</f>
        <v>0</v>
      </c>
      <c r="AA203" s="179">
        <f>Partner7!$J121</f>
        <v>0</v>
      </c>
      <c r="AB203" s="179">
        <f>Partner8!$J121</f>
        <v>0</v>
      </c>
      <c r="AC203" s="179">
        <f>Partner9!$J121</f>
        <v>0</v>
      </c>
      <c r="AD203" s="179">
        <f>Partner10!$J121</f>
        <v>0</v>
      </c>
    </row>
    <row r="204" spans="5:30" ht="12" x14ac:dyDescent="0.2">
      <c r="F204" s="94" t="str">
        <f>STRAT6_IND2</f>
        <v>Objetivo estratégico 6 Indicador 2</v>
      </c>
      <c r="G204" s="94" t="str">
        <f ca="1">OFFSET(Variables_Lu!$D$10,Basic_Setup!H65,0)</f>
        <v>Nutrition-specific</v>
      </c>
      <c r="H204" s="346">
        <f>'Financial Req'!$J51</f>
        <v>0</v>
      </c>
      <c r="I204" s="347">
        <f>H204-J204</f>
        <v>0</v>
      </c>
      <c r="J204" s="345">
        <f>SUM(K204:AD204)</f>
        <v>0</v>
      </c>
      <c r="K204" s="365">
        <f>Government1!$J51</f>
        <v>0</v>
      </c>
      <c r="L204" s="365">
        <f>Government2!$J51</f>
        <v>0</v>
      </c>
      <c r="M204" s="365">
        <f>Government3!$J51</f>
        <v>0</v>
      </c>
      <c r="N204" s="365">
        <f>Government4!$J51</f>
        <v>0</v>
      </c>
      <c r="O204" s="365">
        <f>Government5!$J51</f>
        <v>0</v>
      </c>
      <c r="P204" s="365">
        <f>Government6!$J51</f>
        <v>0</v>
      </c>
      <c r="Q204" s="365">
        <f>Government7!$J51</f>
        <v>0</v>
      </c>
      <c r="R204" s="365">
        <f>Government8!$J51</f>
        <v>0</v>
      </c>
      <c r="S204" s="365">
        <f>Government9!$J51</f>
        <v>0</v>
      </c>
      <c r="T204" s="365">
        <f>Government10!$J51</f>
        <v>0</v>
      </c>
      <c r="U204" s="179">
        <f>Partner1!$J122</f>
        <v>0</v>
      </c>
      <c r="V204" s="179">
        <f>Partner2!$J122</f>
        <v>0</v>
      </c>
      <c r="W204" s="179">
        <f>Partner3!$J122</f>
        <v>0</v>
      </c>
      <c r="X204" s="179">
        <f>Partner4!$J122</f>
        <v>0</v>
      </c>
      <c r="Y204" s="179">
        <f>Partner5!$J122</f>
        <v>0</v>
      </c>
      <c r="Z204" s="179">
        <f>Partner6!$J122</f>
        <v>0</v>
      </c>
      <c r="AA204" s="179">
        <f>Partner7!$J122</f>
        <v>0</v>
      </c>
      <c r="AB204" s="179">
        <f>Partner8!$J122</f>
        <v>0</v>
      </c>
      <c r="AC204" s="179">
        <f>Partner9!$J122</f>
        <v>0</v>
      </c>
      <c r="AD204" s="179">
        <f>Partner10!$J122</f>
        <v>0</v>
      </c>
    </row>
    <row r="205" spans="5:30" ht="12" x14ac:dyDescent="0.2">
      <c r="F205" s="94" t="str">
        <f>STRAT6_IND3</f>
        <v>Objetivo estratégico 6 Indicador 3</v>
      </c>
      <c r="G205" s="94" t="str">
        <f ca="1">OFFSET(Variables_Lu!$D$10,Basic_Setup!H66,0)</f>
        <v>Nutrition-specific</v>
      </c>
      <c r="H205" s="346">
        <f>'Financial Req'!$J52</f>
        <v>0</v>
      </c>
      <c r="I205" s="347">
        <f>H205-J205</f>
        <v>0</v>
      </c>
      <c r="J205" s="345">
        <f>SUM(K205:AD205)</f>
        <v>0</v>
      </c>
      <c r="K205" s="365">
        <f>Government1!$J52</f>
        <v>0</v>
      </c>
      <c r="L205" s="365">
        <f>Government2!$J52</f>
        <v>0</v>
      </c>
      <c r="M205" s="365">
        <f>Government3!$J52</f>
        <v>0</v>
      </c>
      <c r="N205" s="365">
        <f>Government4!$J52</f>
        <v>0</v>
      </c>
      <c r="O205" s="365">
        <f>Government5!$J52</f>
        <v>0</v>
      </c>
      <c r="P205" s="365">
        <f>Government6!$J52</f>
        <v>0</v>
      </c>
      <c r="Q205" s="365">
        <f>Government7!$J52</f>
        <v>0</v>
      </c>
      <c r="R205" s="365">
        <f>Government8!$J52</f>
        <v>0</v>
      </c>
      <c r="S205" s="365">
        <f>Government9!$J52</f>
        <v>0</v>
      </c>
      <c r="T205" s="365">
        <f>Government10!$J52</f>
        <v>0</v>
      </c>
      <c r="U205" s="179">
        <f>Partner1!$J123</f>
        <v>0</v>
      </c>
      <c r="V205" s="179">
        <f>Partner2!$J123</f>
        <v>0</v>
      </c>
      <c r="W205" s="179">
        <f>Partner3!$J123</f>
        <v>0</v>
      </c>
      <c r="X205" s="179">
        <f>Partner4!$J123</f>
        <v>0</v>
      </c>
      <c r="Y205" s="179">
        <f>Partner5!$J123</f>
        <v>0</v>
      </c>
      <c r="Z205" s="179">
        <f>Partner6!$J123</f>
        <v>0</v>
      </c>
      <c r="AA205" s="179">
        <f>Partner7!$J123</f>
        <v>0</v>
      </c>
      <c r="AB205" s="179">
        <f>Partner8!$J123</f>
        <v>0</v>
      </c>
      <c r="AC205" s="179">
        <f>Partner9!$J123</f>
        <v>0</v>
      </c>
      <c r="AD205" s="179">
        <f>Partner10!$J123</f>
        <v>0</v>
      </c>
    </row>
    <row r="206" spans="5:30" ht="12" x14ac:dyDescent="0.2">
      <c r="F206" s="94" t="str">
        <f>STRAT6_IND4</f>
        <v>Objetivo estratégico 6 Indicador 4</v>
      </c>
      <c r="G206" s="94" t="str">
        <f ca="1">OFFSET(Variables_Lu!$D$10,Basic_Setup!H67,0)</f>
        <v>Nutrition-specific</v>
      </c>
      <c r="H206" s="346">
        <f>'Financial Req'!$J53</f>
        <v>0</v>
      </c>
      <c r="I206" s="347">
        <f>H206-J206</f>
        <v>0</v>
      </c>
      <c r="J206" s="345">
        <f>SUM(K206:AD206)</f>
        <v>0</v>
      </c>
      <c r="K206" s="365">
        <f>Government1!$J53</f>
        <v>0</v>
      </c>
      <c r="L206" s="365">
        <f>Government2!$J53</f>
        <v>0</v>
      </c>
      <c r="M206" s="365">
        <f>Government3!$J53</f>
        <v>0</v>
      </c>
      <c r="N206" s="365">
        <f>Government4!$J53</f>
        <v>0</v>
      </c>
      <c r="O206" s="365">
        <f>Government5!$J53</f>
        <v>0</v>
      </c>
      <c r="P206" s="365">
        <f>Government6!$J53</f>
        <v>0</v>
      </c>
      <c r="Q206" s="365">
        <f>Government7!$J53</f>
        <v>0</v>
      </c>
      <c r="R206" s="365">
        <f>Government8!$J53</f>
        <v>0</v>
      </c>
      <c r="S206" s="365">
        <f>Government9!$J53</f>
        <v>0</v>
      </c>
      <c r="T206" s="365">
        <f>Government10!$J53</f>
        <v>0</v>
      </c>
      <c r="U206" s="179">
        <f>Partner1!$J124</f>
        <v>0</v>
      </c>
      <c r="V206" s="179">
        <f>Partner2!$J124</f>
        <v>0</v>
      </c>
      <c r="W206" s="179">
        <f>Partner3!$J124</f>
        <v>0</v>
      </c>
      <c r="X206" s="179">
        <f>Partner4!$J124</f>
        <v>0</v>
      </c>
      <c r="Y206" s="179">
        <f>Partner5!$J124</f>
        <v>0</v>
      </c>
      <c r="Z206" s="179">
        <f>Partner6!$J124</f>
        <v>0</v>
      </c>
      <c r="AA206" s="179">
        <f>Partner7!$J124</f>
        <v>0</v>
      </c>
      <c r="AB206" s="179">
        <f>Partner8!$J124</f>
        <v>0</v>
      </c>
      <c r="AC206" s="179">
        <f>Partner9!$J124</f>
        <v>0</v>
      </c>
      <c r="AD206" s="179">
        <f>Partner10!$J124</f>
        <v>0</v>
      </c>
    </row>
    <row r="207" spans="5:30" ht="12" x14ac:dyDescent="0.2">
      <c r="F207" s="94" t="str">
        <f>STRAT6_IND5</f>
        <v>Objetivo estratégico 6 Indicador 5</v>
      </c>
      <c r="G207" s="94" t="str">
        <f ca="1">OFFSET(Variables_Lu!$D$10,Basic_Setup!H68,0)</f>
        <v>Nutrition-specific</v>
      </c>
      <c r="H207" s="346">
        <f>'Financial Req'!$J54</f>
        <v>0</v>
      </c>
      <c r="I207" s="347">
        <f>H207-J207</f>
        <v>0</v>
      </c>
      <c r="J207" s="345">
        <f>SUM(K207:AD207)</f>
        <v>0</v>
      </c>
      <c r="K207" s="365">
        <f>Government1!$J54</f>
        <v>0</v>
      </c>
      <c r="L207" s="365">
        <f>Government2!$J54</f>
        <v>0</v>
      </c>
      <c r="M207" s="365">
        <f>Government3!$J54</f>
        <v>0</v>
      </c>
      <c r="N207" s="365">
        <f>Government4!$J54</f>
        <v>0</v>
      </c>
      <c r="O207" s="365">
        <f>Government5!$J54</f>
        <v>0</v>
      </c>
      <c r="P207" s="365">
        <f>Government6!$J54</f>
        <v>0</v>
      </c>
      <c r="Q207" s="365">
        <f>Government7!$J54</f>
        <v>0</v>
      </c>
      <c r="R207" s="365">
        <f>Government8!$J54</f>
        <v>0</v>
      </c>
      <c r="S207" s="365">
        <f>Government9!$J54</f>
        <v>0</v>
      </c>
      <c r="T207" s="365">
        <f>Government10!$J54</f>
        <v>0</v>
      </c>
      <c r="U207" s="179">
        <f>Partner1!$J125</f>
        <v>0</v>
      </c>
      <c r="V207" s="179">
        <f>Partner2!$J125</f>
        <v>0</v>
      </c>
      <c r="W207" s="179">
        <f>Partner3!$J125</f>
        <v>0</v>
      </c>
      <c r="X207" s="179">
        <f>Partner4!$J125</f>
        <v>0</v>
      </c>
      <c r="Y207" s="179">
        <f>Partner5!$J125</f>
        <v>0</v>
      </c>
      <c r="Z207" s="179">
        <f>Partner6!$J125</f>
        <v>0</v>
      </c>
      <c r="AA207" s="179">
        <f>Partner7!$J125</f>
        <v>0</v>
      </c>
      <c r="AB207" s="179">
        <f>Partner8!$J125</f>
        <v>0</v>
      </c>
      <c r="AC207" s="179">
        <f>Partner9!$J125</f>
        <v>0</v>
      </c>
      <c r="AD207" s="179">
        <f>Partner10!$J125</f>
        <v>0</v>
      </c>
    </row>
    <row r="208" spans="5:30" x14ac:dyDescent="0.2">
      <c r="F208" s="332" t="str">
        <f>"Subtotal: "&amp;E202</f>
        <v>Subtotal: Objetivo estratégico 6: [No está en uso]</v>
      </c>
      <c r="G208" s="333"/>
      <c r="H208" s="348">
        <f>'Financial Req'!$J55</f>
        <v>0</v>
      </c>
      <c r="I208" s="349">
        <f>SUM(I203:I207)</f>
        <v>0</v>
      </c>
      <c r="J208" s="350">
        <f>SUM(J203:J207)</f>
        <v>0</v>
      </c>
      <c r="K208" s="366">
        <f>Government1!$J55</f>
        <v>0</v>
      </c>
      <c r="L208" s="366">
        <f>Government2!$J55</f>
        <v>0</v>
      </c>
      <c r="M208" s="366">
        <f>Government3!$J55</f>
        <v>0</v>
      </c>
      <c r="N208" s="366">
        <f>Government4!$J55</f>
        <v>0</v>
      </c>
      <c r="O208" s="366">
        <f>Government5!$J55</f>
        <v>0</v>
      </c>
      <c r="P208" s="366">
        <f>Government6!$J55</f>
        <v>0</v>
      </c>
      <c r="Q208" s="366">
        <f>Government7!$J55</f>
        <v>0</v>
      </c>
      <c r="R208" s="366">
        <f>Government8!$J55</f>
        <v>0</v>
      </c>
      <c r="S208" s="366">
        <f>Government9!$J55</f>
        <v>0</v>
      </c>
      <c r="T208" s="366">
        <f>Government10!$J55</f>
        <v>0</v>
      </c>
      <c r="U208" s="331">
        <f>Partner1!$J126</f>
        <v>0</v>
      </c>
      <c r="V208" s="331">
        <f>Partner2!$J126</f>
        <v>0</v>
      </c>
      <c r="W208" s="331">
        <f>Partner3!$J126</f>
        <v>0</v>
      </c>
      <c r="X208" s="331">
        <f>Partner4!$J126</f>
        <v>0</v>
      </c>
      <c r="Y208" s="331">
        <f>Partner5!$J126</f>
        <v>0</v>
      </c>
      <c r="Z208" s="331">
        <f>Partner6!$J126</f>
        <v>0</v>
      </c>
      <c r="AA208" s="331">
        <f>Partner7!$J126</f>
        <v>0</v>
      </c>
      <c r="AB208" s="331">
        <f>Partner8!$J126</f>
        <v>0</v>
      </c>
      <c r="AC208" s="331">
        <f>Partner9!$J126</f>
        <v>0</v>
      </c>
      <c r="AD208" s="331">
        <f>Partner10!$J126</f>
        <v>0</v>
      </c>
    </row>
    <row r="209" spans="5:30" ht="12" x14ac:dyDescent="0.2">
      <c r="E209" s="301" t="str">
        <f>Strategy7</f>
        <v>Objetivo estratégico 7: [No está en uso]</v>
      </c>
      <c r="G209" s="94"/>
      <c r="H209" s="343"/>
      <c r="I209" s="344"/>
      <c r="J209" s="345"/>
      <c r="K209" s="365"/>
      <c r="L209" s="365"/>
      <c r="M209" s="365"/>
      <c r="N209" s="365"/>
      <c r="O209" s="365"/>
      <c r="P209" s="365"/>
      <c r="Q209" s="365"/>
      <c r="R209" s="365"/>
      <c r="S209" s="365"/>
      <c r="T209" s="365"/>
      <c r="U209" s="179"/>
      <c r="V209" s="179"/>
      <c r="W209" s="179"/>
      <c r="X209" s="179"/>
      <c r="Y209" s="179"/>
      <c r="Z209" s="179"/>
      <c r="AA209" s="179"/>
      <c r="AB209" s="179"/>
      <c r="AC209" s="179"/>
      <c r="AD209" s="179"/>
    </row>
    <row r="210" spans="5:30" ht="12" x14ac:dyDescent="0.2">
      <c r="F210" s="94" t="str">
        <f>STRAT7_IND1</f>
        <v>Objetivo estratégico 7 Indicador 1</v>
      </c>
      <c r="G210" s="94" t="str">
        <f ca="1">OFFSET(Variables_Lu!$D$10,Basic_Setup!H70,0)</f>
        <v>Nutrition-specific</v>
      </c>
      <c r="H210" s="346">
        <f>'Financial Req'!$J56</f>
        <v>0</v>
      </c>
      <c r="I210" s="347">
        <f>H210-J210</f>
        <v>0</v>
      </c>
      <c r="J210" s="345">
        <f>SUM(K210:AD210)</f>
        <v>0</v>
      </c>
      <c r="K210" s="365">
        <f>Government1!$J56</f>
        <v>0</v>
      </c>
      <c r="L210" s="365">
        <f>Government2!$J56</f>
        <v>0</v>
      </c>
      <c r="M210" s="365">
        <f>Government3!$J56</f>
        <v>0</v>
      </c>
      <c r="N210" s="365">
        <f>Government4!$J56</f>
        <v>0</v>
      </c>
      <c r="O210" s="365">
        <f>Government5!$J56</f>
        <v>0</v>
      </c>
      <c r="P210" s="365">
        <f>Government6!$J56</f>
        <v>0</v>
      </c>
      <c r="Q210" s="365">
        <f>Government7!$J56</f>
        <v>0</v>
      </c>
      <c r="R210" s="365">
        <f>Government8!$J56</f>
        <v>0</v>
      </c>
      <c r="S210" s="365">
        <f>Government9!$J56</f>
        <v>0</v>
      </c>
      <c r="T210" s="365">
        <f>Government10!$J56</f>
        <v>0</v>
      </c>
      <c r="U210" s="179">
        <f>Partner1!$J127</f>
        <v>0</v>
      </c>
      <c r="V210" s="179">
        <f>Partner2!$J127</f>
        <v>0</v>
      </c>
      <c r="W210" s="179">
        <f>Partner3!$J127</f>
        <v>0</v>
      </c>
      <c r="X210" s="179">
        <f>Partner4!$J127</f>
        <v>0</v>
      </c>
      <c r="Y210" s="179">
        <f>Partner5!$J127</f>
        <v>0</v>
      </c>
      <c r="Z210" s="179">
        <f>Partner6!$J127</f>
        <v>0</v>
      </c>
      <c r="AA210" s="179">
        <f>Partner7!$J127</f>
        <v>0</v>
      </c>
      <c r="AB210" s="179">
        <f>Partner8!$J127</f>
        <v>0</v>
      </c>
      <c r="AC210" s="179">
        <f>Partner9!$J127</f>
        <v>0</v>
      </c>
      <c r="AD210" s="179">
        <f>Partner10!$J127</f>
        <v>0</v>
      </c>
    </row>
    <row r="211" spans="5:30" ht="12" x14ac:dyDescent="0.2">
      <c r="F211" s="94" t="str">
        <f>STRAT7_IND2</f>
        <v>Objetivo estratégico 7 Indicador 2</v>
      </c>
      <c r="G211" s="94" t="str">
        <f ca="1">OFFSET(Variables_Lu!$D$10,Basic_Setup!H71,0)</f>
        <v>Nutrition-specific</v>
      </c>
      <c r="H211" s="346">
        <f>'Financial Req'!$J57</f>
        <v>0</v>
      </c>
      <c r="I211" s="347">
        <f>H211-J211</f>
        <v>0</v>
      </c>
      <c r="J211" s="345">
        <f>SUM(K211:AD211)</f>
        <v>0</v>
      </c>
      <c r="K211" s="365">
        <f>Government1!$J57</f>
        <v>0</v>
      </c>
      <c r="L211" s="365">
        <f>Government2!$J57</f>
        <v>0</v>
      </c>
      <c r="M211" s="365">
        <f>Government3!$J57</f>
        <v>0</v>
      </c>
      <c r="N211" s="365">
        <f>Government4!$J57</f>
        <v>0</v>
      </c>
      <c r="O211" s="365">
        <f>Government5!$J57</f>
        <v>0</v>
      </c>
      <c r="P211" s="365">
        <f>Government6!$J57</f>
        <v>0</v>
      </c>
      <c r="Q211" s="365">
        <f>Government7!$J57</f>
        <v>0</v>
      </c>
      <c r="R211" s="365">
        <f>Government8!$J57</f>
        <v>0</v>
      </c>
      <c r="S211" s="365">
        <f>Government9!$J57</f>
        <v>0</v>
      </c>
      <c r="T211" s="365">
        <f>Government10!$J57</f>
        <v>0</v>
      </c>
      <c r="U211" s="179">
        <f>Partner1!$J128</f>
        <v>0</v>
      </c>
      <c r="V211" s="179">
        <f>Partner2!$J128</f>
        <v>0</v>
      </c>
      <c r="W211" s="179">
        <f>Partner3!$J128</f>
        <v>0</v>
      </c>
      <c r="X211" s="179">
        <f>Partner4!$J128</f>
        <v>0</v>
      </c>
      <c r="Y211" s="179">
        <f>Partner5!$J128</f>
        <v>0</v>
      </c>
      <c r="Z211" s="179">
        <f>Partner6!$J128</f>
        <v>0</v>
      </c>
      <c r="AA211" s="179">
        <f>Partner7!$J128</f>
        <v>0</v>
      </c>
      <c r="AB211" s="179">
        <f>Partner8!$J128</f>
        <v>0</v>
      </c>
      <c r="AC211" s="179">
        <f>Partner9!$J128</f>
        <v>0</v>
      </c>
      <c r="AD211" s="179">
        <f>Partner10!$J128</f>
        <v>0</v>
      </c>
    </row>
    <row r="212" spans="5:30" ht="12" x14ac:dyDescent="0.2">
      <c r="F212" s="94" t="str">
        <f>STRAT7_IND3</f>
        <v>Objetivo estratégico 7 Indicador 3</v>
      </c>
      <c r="G212" s="94" t="str">
        <f ca="1">OFFSET(Variables_Lu!$D$10,Basic_Setup!H72,0)</f>
        <v>Nutrition-specific</v>
      </c>
      <c r="H212" s="346">
        <f>'Financial Req'!$J58</f>
        <v>0</v>
      </c>
      <c r="I212" s="347">
        <f>H212-J212</f>
        <v>0</v>
      </c>
      <c r="J212" s="345">
        <f>SUM(K212:AD212)</f>
        <v>0</v>
      </c>
      <c r="K212" s="365">
        <f>Government1!$J58</f>
        <v>0</v>
      </c>
      <c r="L212" s="365">
        <f>Government2!$J58</f>
        <v>0</v>
      </c>
      <c r="M212" s="365">
        <f>Government3!$J58</f>
        <v>0</v>
      </c>
      <c r="N212" s="365">
        <f>Government4!$J58</f>
        <v>0</v>
      </c>
      <c r="O212" s="365">
        <f>Government5!$J58</f>
        <v>0</v>
      </c>
      <c r="P212" s="365">
        <f>Government6!$J58</f>
        <v>0</v>
      </c>
      <c r="Q212" s="365">
        <f>Government7!$J58</f>
        <v>0</v>
      </c>
      <c r="R212" s="365">
        <f>Government8!$J58</f>
        <v>0</v>
      </c>
      <c r="S212" s="365">
        <f>Government9!$J58</f>
        <v>0</v>
      </c>
      <c r="T212" s="365">
        <f>Government10!$J58</f>
        <v>0</v>
      </c>
      <c r="U212" s="179">
        <f>Partner1!$J129</f>
        <v>0</v>
      </c>
      <c r="V212" s="179">
        <f>Partner2!$J129</f>
        <v>0</v>
      </c>
      <c r="W212" s="179">
        <f>Partner3!$J129</f>
        <v>0</v>
      </c>
      <c r="X212" s="179">
        <f>Partner4!$J129</f>
        <v>0</v>
      </c>
      <c r="Y212" s="179">
        <f>Partner5!$J129</f>
        <v>0</v>
      </c>
      <c r="Z212" s="179">
        <f>Partner6!$J129</f>
        <v>0</v>
      </c>
      <c r="AA212" s="179">
        <f>Partner7!$J129</f>
        <v>0</v>
      </c>
      <c r="AB212" s="179">
        <f>Partner8!$J129</f>
        <v>0</v>
      </c>
      <c r="AC212" s="179">
        <f>Partner9!$J129</f>
        <v>0</v>
      </c>
      <c r="AD212" s="179">
        <f>Partner10!$J129</f>
        <v>0</v>
      </c>
    </row>
    <row r="213" spans="5:30" ht="12" x14ac:dyDescent="0.2">
      <c r="F213" s="94" t="str">
        <f>STRAT7_IND4</f>
        <v>Objetivo estratégico 7 Indicador 4</v>
      </c>
      <c r="G213" s="94" t="str">
        <f ca="1">OFFSET(Variables_Lu!$D$10,Basic_Setup!H73,0)</f>
        <v>Nutrition-specific</v>
      </c>
      <c r="H213" s="346">
        <f>'Financial Req'!$J59</f>
        <v>0</v>
      </c>
      <c r="I213" s="347">
        <f>H213-J213</f>
        <v>0</v>
      </c>
      <c r="J213" s="345">
        <f>SUM(K213:AD213)</f>
        <v>0</v>
      </c>
      <c r="K213" s="365">
        <f>Government1!$J59</f>
        <v>0</v>
      </c>
      <c r="L213" s="365">
        <f>Government2!$J59</f>
        <v>0</v>
      </c>
      <c r="M213" s="365">
        <f>Government3!$J59</f>
        <v>0</v>
      </c>
      <c r="N213" s="365">
        <f>Government4!$J59</f>
        <v>0</v>
      </c>
      <c r="O213" s="365">
        <f>Government5!$J59</f>
        <v>0</v>
      </c>
      <c r="P213" s="365">
        <f>Government6!$J59</f>
        <v>0</v>
      </c>
      <c r="Q213" s="365">
        <f>Government7!$J59</f>
        <v>0</v>
      </c>
      <c r="R213" s="365">
        <f>Government8!$J59</f>
        <v>0</v>
      </c>
      <c r="S213" s="365">
        <f>Government9!$J59</f>
        <v>0</v>
      </c>
      <c r="T213" s="365">
        <f>Government10!$J59</f>
        <v>0</v>
      </c>
      <c r="U213" s="179">
        <f>Partner1!$J130</f>
        <v>0</v>
      </c>
      <c r="V213" s="179">
        <f>Partner2!$J130</f>
        <v>0</v>
      </c>
      <c r="W213" s="179">
        <f>Partner3!$J130</f>
        <v>0</v>
      </c>
      <c r="X213" s="179">
        <f>Partner4!$J130</f>
        <v>0</v>
      </c>
      <c r="Y213" s="179">
        <f>Partner5!$J130</f>
        <v>0</v>
      </c>
      <c r="Z213" s="179">
        <f>Partner6!$J130</f>
        <v>0</v>
      </c>
      <c r="AA213" s="179">
        <f>Partner7!$J130</f>
        <v>0</v>
      </c>
      <c r="AB213" s="179">
        <f>Partner8!$J130</f>
        <v>0</v>
      </c>
      <c r="AC213" s="179">
        <f>Partner9!$J130</f>
        <v>0</v>
      </c>
      <c r="AD213" s="179">
        <f>Partner10!$J130</f>
        <v>0</v>
      </c>
    </row>
    <row r="214" spans="5:30" ht="12" x14ac:dyDescent="0.2">
      <c r="F214" s="94" t="str">
        <f>STRAT7_IND5</f>
        <v>Objetivo estratégico 7 Indicador 5</v>
      </c>
      <c r="G214" s="94" t="str">
        <f ca="1">OFFSET(Variables_Lu!$D$10,Basic_Setup!H74,0)</f>
        <v>Nutrition-specific</v>
      </c>
      <c r="H214" s="346">
        <f>'Financial Req'!$J60</f>
        <v>0</v>
      </c>
      <c r="I214" s="347">
        <f>H214-J214</f>
        <v>0</v>
      </c>
      <c r="J214" s="345">
        <f>SUM(K214:AD214)</f>
        <v>0</v>
      </c>
      <c r="K214" s="365">
        <f>Government1!$J60</f>
        <v>0</v>
      </c>
      <c r="L214" s="365">
        <f>Government2!$J60</f>
        <v>0</v>
      </c>
      <c r="M214" s="365">
        <f>Government3!$J60</f>
        <v>0</v>
      </c>
      <c r="N214" s="365">
        <f>Government4!$J60</f>
        <v>0</v>
      </c>
      <c r="O214" s="365">
        <f>Government5!$J60</f>
        <v>0</v>
      </c>
      <c r="P214" s="365">
        <f>Government6!$J60</f>
        <v>0</v>
      </c>
      <c r="Q214" s="365">
        <f>Government7!$J60</f>
        <v>0</v>
      </c>
      <c r="R214" s="365">
        <f>Government8!$J60</f>
        <v>0</v>
      </c>
      <c r="S214" s="365">
        <f>Government9!$J60</f>
        <v>0</v>
      </c>
      <c r="T214" s="365">
        <f>Government10!$J60</f>
        <v>0</v>
      </c>
      <c r="U214" s="179">
        <f>Partner1!$J131</f>
        <v>0</v>
      </c>
      <c r="V214" s="179">
        <f>Partner2!$J131</f>
        <v>0</v>
      </c>
      <c r="W214" s="179">
        <f>Partner3!$J131</f>
        <v>0</v>
      </c>
      <c r="X214" s="179">
        <f>Partner4!$J131</f>
        <v>0</v>
      </c>
      <c r="Y214" s="179">
        <f>Partner5!$J131</f>
        <v>0</v>
      </c>
      <c r="Z214" s="179">
        <f>Partner6!$J131</f>
        <v>0</v>
      </c>
      <c r="AA214" s="179">
        <f>Partner7!$J131</f>
        <v>0</v>
      </c>
      <c r="AB214" s="179">
        <f>Partner8!$J131</f>
        <v>0</v>
      </c>
      <c r="AC214" s="179">
        <f>Partner9!$J131</f>
        <v>0</v>
      </c>
      <c r="AD214" s="179">
        <f>Partner10!$J131</f>
        <v>0</v>
      </c>
    </row>
    <row r="215" spans="5:30" x14ac:dyDescent="0.2">
      <c r="F215" s="332" t="str">
        <f>"Subtotal: "&amp;E209</f>
        <v>Subtotal: Objetivo estratégico 7: [No está en uso]</v>
      </c>
      <c r="G215" s="333"/>
      <c r="H215" s="348">
        <f>'Financial Req'!$J61</f>
        <v>0</v>
      </c>
      <c r="I215" s="349">
        <f>SUM(I210:I214)</f>
        <v>0</v>
      </c>
      <c r="J215" s="350">
        <f>SUM(J210:J214)</f>
        <v>0</v>
      </c>
      <c r="K215" s="366">
        <f>Government1!$J61</f>
        <v>0</v>
      </c>
      <c r="L215" s="366">
        <f>Government2!$J61</f>
        <v>0</v>
      </c>
      <c r="M215" s="366">
        <f>Government3!$J61</f>
        <v>0</v>
      </c>
      <c r="N215" s="366">
        <f>Government4!$J61</f>
        <v>0</v>
      </c>
      <c r="O215" s="366">
        <f>Government5!$J61</f>
        <v>0</v>
      </c>
      <c r="P215" s="366">
        <f>Government6!$J61</f>
        <v>0</v>
      </c>
      <c r="Q215" s="366">
        <f>Government7!$J61</f>
        <v>0</v>
      </c>
      <c r="R215" s="366">
        <f>Government8!$J61</f>
        <v>0</v>
      </c>
      <c r="S215" s="366">
        <f>Government9!$J61</f>
        <v>0</v>
      </c>
      <c r="T215" s="366">
        <f>Government10!$J61</f>
        <v>0</v>
      </c>
      <c r="U215" s="331">
        <f>Partner1!$J132</f>
        <v>0</v>
      </c>
      <c r="V215" s="331">
        <f>Partner2!$J132</f>
        <v>0</v>
      </c>
      <c r="W215" s="331">
        <f>Partner3!$J132</f>
        <v>0</v>
      </c>
      <c r="X215" s="331">
        <f>Partner4!$J132</f>
        <v>0</v>
      </c>
      <c r="Y215" s="331">
        <f>Partner5!$J132</f>
        <v>0</v>
      </c>
      <c r="Z215" s="331">
        <f>Partner6!$J132</f>
        <v>0</v>
      </c>
      <c r="AA215" s="331">
        <f>Partner7!$J132</f>
        <v>0</v>
      </c>
      <c r="AB215" s="331">
        <f>Partner8!$J132</f>
        <v>0</v>
      </c>
      <c r="AC215" s="331">
        <f>Partner9!$J132</f>
        <v>0</v>
      </c>
      <c r="AD215" s="331">
        <f>Partner10!$J132</f>
        <v>0</v>
      </c>
    </row>
    <row r="216" spans="5:30" ht="12" x14ac:dyDescent="0.2">
      <c r="E216" s="301" t="str">
        <f>Strategy8</f>
        <v>Objetivo estratégico 8: [No está en uso]</v>
      </c>
      <c r="G216" s="94"/>
      <c r="H216" s="343"/>
      <c r="I216" s="344"/>
      <c r="J216" s="345"/>
      <c r="K216" s="365"/>
      <c r="L216" s="365"/>
      <c r="M216" s="365"/>
      <c r="N216" s="365"/>
      <c r="O216" s="365"/>
      <c r="P216" s="365"/>
      <c r="Q216" s="365"/>
      <c r="R216" s="365"/>
      <c r="S216" s="365"/>
      <c r="T216" s="365"/>
      <c r="U216" s="179"/>
      <c r="V216" s="179"/>
      <c r="W216" s="179"/>
      <c r="X216" s="179"/>
      <c r="Y216" s="179"/>
      <c r="Z216" s="179"/>
      <c r="AA216" s="179"/>
      <c r="AB216" s="179"/>
      <c r="AC216" s="179"/>
      <c r="AD216" s="179"/>
    </row>
    <row r="217" spans="5:30" ht="12" x14ac:dyDescent="0.2">
      <c r="F217" s="94" t="str">
        <f>STRAT8_IND1</f>
        <v>Objetivo estratégico 8 Indicador 1</v>
      </c>
      <c r="G217" s="94" t="str">
        <f ca="1">OFFSET(Variables_Lu!$D$10,Basic_Setup!H76,0)</f>
        <v>Nutrition-specific</v>
      </c>
      <c r="H217" s="346">
        <f>'Financial Req'!$J62</f>
        <v>0</v>
      </c>
      <c r="I217" s="347">
        <f>H217-J217</f>
        <v>0</v>
      </c>
      <c r="J217" s="345">
        <f>SUM(K217:AD217)</f>
        <v>0</v>
      </c>
      <c r="K217" s="365">
        <f>Government1!$J62</f>
        <v>0</v>
      </c>
      <c r="L217" s="365">
        <f>Government2!$J62</f>
        <v>0</v>
      </c>
      <c r="M217" s="365">
        <f>Government3!$J62</f>
        <v>0</v>
      </c>
      <c r="N217" s="365">
        <f>Government4!$J62</f>
        <v>0</v>
      </c>
      <c r="O217" s="365">
        <f>Government5!$J62</f>
        <v>0</v>
      </c>
      <c r="P217" s="365">
        <f>Government6!$J62</f>
        <v>0</v>
      </c>
      <c r="Q217" s="365">
        <f>Government7!$J62</f>
        <v>0</v>
      </c>
      <c r="R217" s="365">
        <f>Government8!$J62</f>
        <v>0</v>
      </c>
      <c r="S217" s="365">
        <f>Government9!$J62</f>
        <v>0</v>
      </c>
      <c r="T217" s="365">
        <f>Government10!$J62</f>
        <v>0</v>
      </c>
      <c r="U217" s="179">
        <f>Partner1!$J133</f>
        <v>0</v>
      </c>
      <c r="V217" s="179">
        <f>Partner2!$J133</f>
        <v>0</v>
      </c>
      <c r="W217" s="179">
        <f>Partner3!$J133</f>
        <v>0</v>
      </c>
      <c r="X217" s="179">
        <f>Partner4!$J133</f>
        <v>0</v>
      </c>
      <c r="Y217" s="179">
        <f>Partner5!$J133</f>
        <v>0</v>
      </c>
      <c r="Z217" s="179">
        <f>Partner6!$J133</f>
        <v>0</v>
      </c>
      <c r="AA217" s="179">
        <f>Partner7!$J133</f>
        <v>0</v>
      </c>
      <c r="AB217" s="179">
        <f>Partner8!$J133</f>
        <v>0</v>
      </c>
      <c r="AC217" s="179">
        <f>Partner9!$J133</f>
        <v>0</v>
      </c>
      <c r="AD217" s="179">
        <f>Partner10!$J133</f>
        <v>0</v>
      </c>
    </row>
    <row r="218" spans="5:30" ht="12" x14ac:dyDescent="0.2">
      <c r="F218" s="94" t="str">
        <f>STRAT8_IND2</f>
        <v>Objetivo estratégico 8 Indicador 2</v>
      </c>
      <c r="G218" s="94" t="str">
        <f ca="1">OFFSET(Variables_Lu!$D$10,Basic_Setup!H77,0)</f>
        <v>Nutrition-specific</v>
      </c>
      <c r="H218" s="346">
        <f>'Financial Req'!$J63</f>
        <v>0</v>
      </c>
      <c r="I218" s="347">
        <f>H218-J218</f>
        <v>0</v>
      </c>
      <c r="J218" s="345">
        <f>SUM(K218:AD218)</f>
        <v>0</v>
      </c>
      <c r="K218" s="365">
        <f>Government1!$J63</f>
        <v>0</v>
      </c>
      <c r="L218" s="365">
        <f>Government2!$J63</f>
        <v>0</v>
      </c>
      <c r="M218" s="365">
        <f>Government3!$J63</f>
        <v>0</v>
      </c>
      <c r="N218" s="365">
        <f>Government4!$J63</f>
        <v>0</v>
      </c>
      <c r="O218" s="365">
        <f>Government5!$J63</f>
        <v>0</v>
      </c>
      <c r="P218" s="365">
        <f>Government6!$J63</f>
        <v>0</v>
      </c>
      <c r="Q218" s="365">
        <f>Government7!$J63</f>
        <v>0</v>
      </c>
      <c r="R218" s="365">
        <f>Government8!$J63</f>
        <v>0</v>
      </c>
      <c r="S218" s="365">
        <f>Government9!$J63</f>
        <v>0</v>
      </c>
      <c r="T218" s="365">
        <f>Government10!$J63</f>
        <v>0</v>
      </c>
      <c r="U218" s="179">
        <f>Partner1!$J134</f>
        <v>0</v>
      </c>
      <c r="V218" s="179">
        <f>Partner2!$J134</f>
        <v>0</v>
      </c>
      <c r="W218" s="179">
        <f>Partner3!$J134</f>
        <v>0</v>
      </c>
      <c r="X218" s="179">
        <f>Partner4!$J134</f>
        <v>0</v>
      </c>
      <c r="Y218" s="179">
        <f>Partner5!$J134</f>
        <v>0</v>
      </c>
      <c r="Z218" s="179">
        <f>Partner6!$J134</f>
        <v>0</v>
      </c>
      <c r="AA218" s="179">
        <f>Partner7!$J134</f>
        <v>0</v>
      </c>
      <c r="AB218" s="179">
        <f>Partner8!$J134</f>
        <v>0</v>
      </c>
      <c r="AC218" s="179">
        <f>Partner9!$J134</f>
        <v>0</v>
      </c>
      <c r="AD218" s="179">
        <f>Partner10!$J134</f>
        <v>0</v>
      </c>
    </row>
    <row r="219" spans="5:30" ht="12" x14ac:dyDescent="0.2">
      <c r="F219" s="94" t="str">
        <f>STRAT8_IND3</f>
        <v>Objetivo estratégico 8 Indicador 3</v>
      </c>
      <c r="G219" s="94" t="str">
        <f ca="1">OFFSET(Variables_Lu!$D$10,Basic_Setup!H78,0)</f>
        <v>Nutrition-specific</v>
      </c>
      <c r="H219" s="346">
        <f>'Financial Req'!$J64</f>
        <v>0</v>
      </c>
      <c r="I219" s="347">
        <f>H219-J219</f>
        <v>0</v>
      </c>
      <c r="J219" s="345">
        <f>SUM(K219:AD219)</f>
        <v>0</v>
      </c>
      <c r="K219" s="365">
        <f>Government1!$J64</f>
        <v>0</v>
      </c>
      <c r="L219" s="365">
        <f>Government2!$J64</f>
        <v>0</v>
      </c>
      <c r="M219" s="365">
        <f>Government3!$J64</f>
        <v>0</v>
      </c>
      <c r="N219" s="365">
        <f>Government4!$J64</f>
        <v>0</v>
      </c>
      <c r="O219" s="365">
        <f>Government5!$J64</f>
        <v>0</v>
      </c>
      <c r="P219" s="365">
        <f>Government6!$J64</f>
        <v>0</v>
      </c>
      <c r="Q219" s="365">
        <f>Government7!$J64</f>
        <v>0</v>
      </c>
      <c r="R219" s="365">
        <f>Government8!$J64</f>
        <v>0</v>
      </c>
      <c r="S219" s="365">
        <f>Government9!$J64</f>
        <v>0</v>
      </c>
      <c r="T219" s="365">
        <f>Government10!$J64</f>
        <v>0</v>
      </c>
      <c r="U219" s="179">
        <f>Partner1!$J135</f>
        <v>0</v>
      </c>
      <c r="V219" s="179">
        <f>Partner2!$J135</f>
        <v>0</v>
      </c>
      <c r="W219" s="179">
        <f>Partner3!$J135</f>
        <v>0</v>
      </c>
      <c r="X219" s="179">
        <f>Partner4!$J135</f>
        <v>0</v>
      </c>
      <c r="Y219" s="179">
        <f>Partner5!$J135</f>
        <v>0</v>
      </c>
      <c r="Z219" s="179">
        <f>Partner6!$J135</f>
        <v>0</v>
      </c>
      <c r="AA219" s="179">
        <f>Partner7!$J135</f>
        <v>0</v>
      </c>
      <c r="AB219" s="179">
        <f>Partner8!$J135</f>
        <v>0</v>
      </c>
      <c r="AC219" s="179">
        <f>Partner9!$J135</f>
        <v>0</v>
      </c>
      <c r="AD219" s="179">
        <f>Partner10!$J135</f>
        <v>0</v>
      </c>
    </row>
    <row r="220" spans="5:30" ht="12" x14ac:dyDescent="0.2">
      <c r="F220" s="94" t="str">
        <f>STRAT8_IND4</f>
        <v>Objetivo estratégico 8 Indicador 4</v>
      </c>
      <c r="G220" s="94" t="str">
        <f ca="1">OFFSET(Variables_Lu!$D$10,Basic_Setup!H79,0)</f>
        <v>Nutrition-specific</v>
      </c>
      <c r="H220" s="346">
        <f>'Financial Req'!$J65</f>
        <v>0</v>
      </c>
      <c r="I220" s="347">
        <f>H220-J220</f>
        <v>0</v>
      </c>
      <c r="J220" s="345">
        <f>SUM(K220:AD220)</f>
        <v>0</v>
      </c>
      <c r="K220" s="365">
        <f>Government1!$J65</f>
        <v>0</v>
      </c>
      <c r="L220" s="365">
        <f>Government2!$J65</f>
        <v>0</v>
      </c>
      <c r="M220" s="365">
        <f>Government3!$J65</f>
        <v>0</v>
      </c>
      <c r="N220" s="365">
        <f>Government4!$J65</f>
        <v>0</v>
      </c>
      <c r="O220" s="365">
        <f>Government5!$J65</f>
        <v>0</v>
      </c>
      <c r="P220" s="365">
        <f>Government6!$J65</f>
        <v>0</v>
      </c>
      <c r="Q220" s="365">
        <f>Government7!$J65</f>
        <v>0</v>
      </c>
      <c r="R220" s="365">
        <f>Government8!$J65</f>
        <v>0</v>
      </c>
      <c r="S220" s="365">
        <f>Government9!$J65</f>
        <v>0</v>
      </c>
      <c r="T220" s="365">
        <f>Government10!$J65</f>
        <v>0</v>
      </c>
      <c r="U220" s="179">
        <f>Partner1!$J136</f>
        <v>0</v>
      </c>
      <c r="V220" s="179">
        <f>Partner2!$J136</f>
        <v>0</v>
      </c>
      <c r="W220" s="179">
        <f>Partner3!$J136</f>
        <v>0</v>
      </c>
      <c r="X220" s="179">
        <f>Partner4!$J136</f>
        <v>0</v>
      </c>
      <c r="Y220" s="179">
        <f>Partner5!$J136</f>
        <v>0</v>
      </c>
      <c r="Z220" s="179">
        <f>Partner6!$J136</f>
        <v>0</v>
      </c>
      <c r="AA220" s="179">
        <f>Partner7!$J136</f>
        <v>0</v>
      </c>
      <c r="AB220" s="179">
        <f>Partner8!$J136</f>
        <v>0</v>
      </c>
      <c r="AC220" s="179">
        <f>Partner9!$J136</f>
        <v>0</v>
      </c>
      <c r="AD220" s="179">
        <f>Partner10!$J136</f>
        <v>0</v>
      </c>
    </row>
    <row r="221" spans="5:30" ht="12" x14ac:dyDescent="0.2">
      <c r="F221" s="94" t="str">
        <f>STRAT8_IND5</f>
        <v>Objetivo estratégico 8 Indicador 5</v>
      </c>
      <c r="G221" s="94" t="str">
        <f ca="1">OFFSET(Variables_Lu!$D$10,Basic_Setup!H80,0)</f>
        <v>Nutrition-specific</v>
      </c>
      <c r="H221" s="346">
        <f>'Financial Req'!$J66</f>
        <v>0</v>
      </c>
      <c r="I221" s="347">
        <f>H221-J221</f>
        <v>0</v>
      </c>
      <c r="J221" s="345">
        <f>SUM(K221:AD221)</f>
        <v>0</v>
      </c>
      <c r="K221" s="365">
        <f>Government1!$J66</f>
        <v>0</v>
      </c>
      <c r="L221" s="365">
        <f>Government2!$J66</f>
        <v>0</v>
      </c>
      <c r="M221" s="365">
        <f>Government3!$J66</f>
        <v>0</v>
      </c>
      <c r="N221" s="365">
        <f>Government4!$J66</f>
        <v>0</v>
      </c>
      <c r="O221" s="365">
        <f>Government5!$J66</f>
        <v>0</v>
      </c>
      <c r="P221" s="365">
        <f>Government6!$J66</f>
        <v>0</v>
      </c>
      <c r="Q221" s="365">
        <f>Government7!$J66</f>
        <v>0</v>
      </c>
      <c r="R221" s="365">
        <f>Government8!$J66</f>
        <v>0</v>
      </c>
      <c r="S221" s="365">
        <f>Government9!$J66</f>
        <v>0</v>
      </c>
      <c r="T221" s="365">
        <f>Government10!$J66</f>
        <v>0</v>
      </c>
      <c r="U221" s="179">
        <f>Partner1!$J137</f>
        <v>0</v>
      </c>
      <c r="V221" s="179">
        <f>Partner2!$J137</f>
        <v>0</v>
      </c>
      <c r="W221" s="179">
        <f>Partner3!$J137</f>
        <v>0</v>
      </c>
      <c r="X221" s="179">
        <f>Partner4!$J137</f>
        <v>0</v>
      </c>
      <c r="Y221" s="179">
        <f>Partner5!$J137</f>
        <v>0</v>
      </c>
      <c r="Z221" s="179">
        <f>Partner6!$J137</f>
        <v>0</v>
      </c>
      <c r="AA221" s="179">
        <f>Partner7!$J137</f>
        <v>0</v>
      </c>
      <c r="AB221" s="179">
        <f>Partner8!$J137</f>
        <v>0</v>
      </c>
      <c r="AC221" s="179">
        <f>Partner9!$J137</f>
        <v>0</v>
      </c>
      <c r="AD221" s="179">
        <f>Partner10!$J137</f>
        <v>0</v>
      </c>
    </row>
    <row r="222" spans="5:30" x14ac:dyDescent="0.2">
      <c r="F222" s="332" t="str">
        <f>"Subtotal: "&amp;E216</f>
        <v>Subtotal: Objetivo estratégico 8: [No está en uso]</v>
      </c>
      <c r="G222" s="333"/>
      <c r="H222" s="348">
        <f>'Financial Req'!$J67</f>
        <v>0</v>
      </c>
      <c r="I222" s="349">
        <f>SUM(I217:I221)</f>
        <v>0</v>
      </c>
      <c r="J222" s="350">
        <f>SUM(J217:J221)</f>
        <v>0</v>
      </c>
      <c r="K222" s="366">
        <f>Government1!$J67</f>
        <v>0</v>
      </c>
      <c r="L222" s="366">
        <f>Government2!$J67</f>
        <v>0</v>
      </c>
      <c r="M222" s="366">
        <f>Government3!$J67</f>
        <v>0</v>
      </c>
      <c r="N222" s="366">
        <f>Government4!$J67</f>
        <v>0</v>
      </c>
      <c r="O222" s="366">
        <f>Government5!$J67</f>
        <v>0</v>
      </c>
      <c r="P222" s="366">
        <f>Government6!$J67</f>
        <v>0</v>
      </c>
      <c r="Q222" s="366">
        <f>Government7!$J67</f>
        <v>0</v>
      </c>
      <c r="R222" s="366">
        <f>Government8!$J67</f>
        <v>0</v>
      </c>
      <c r="S222" s="366">
        <f>Government9!$J67</f>
        <v>0</v>
      </c>
      <c r="T222" s="366">
        <f>Government10!$J67</f>
        <v>0</v>
      </c>
      <c r="U222" s="331">
        <f>Partner1!$J138</f>
        <v>0</v>
      </c>
      <c r="V222" s="331">
        <f>Partner2!$J138</f>
        <v>0</v>
      </c>
      <c r="W222" s="331">
        <f>Partner3!$J138</f>
        <v>0</v>
      </c>
      <c r="X222" s="331">
        <f>Partner4!$J138</f>
        <v>0</v>
      </c>
      <c r="Y222" s="331">
        <f>Partner5!$J138</f>
        <v>0</v>
      </c>
      <c r="Z222" s="331">
        <f>Partner6!$J138</f>
        <v>0</v>
      </c>
      <c r="AA222" s="331">
        <f>Partner7!$J138</f>
        <v>0</v>
      </c>
      <c r="AB222" s="331">
        <f>Partner8!$J138</f>
        <v>0</v>
      </c>
      <c r="AC222" s="331">
        <f>Partner9!$J138</f>
        <v>0</v>
      </c>
      <c r="AD222" s="331">
        <f>Partner10!$J138</f>
        <v>0</v>
      </c>
    </row>
    <row r="223" spans="5:30" ht="12" x14ac:dyDescent="0.2">
      <c r="E223" s="301" t="str">
        <f>Strategy9</f>
        <v>Objetivo estratégico 9: [No está en uso]</v>
      </c>
      <c r="G223" s="94"/>
      <c r="H223" s="343"/>
      <c r="I223" s="344"/>
      <c r="J223" s="345"/>
      <c r="K223" s="365"/>
      <c r="L223" s="365"/>
      <c r="M223" s="365"/>
      <c r="N223" s="365"/>
      <c r="O223" s="365"/>
      <c r="P223" s="365"/>
      <c r="Q223" s="365"/>
      <c r="R223" s="365"/>
      <c r="S223" s="365"/>
      <c r="T223" s="365"/>
      <c r="U223" s="179"/>
      <c r="V223" s="179"/>
      <c r="W223" s="179"/>
      <c r="X223" s="179"/>
      <c r="Y223" s="179"/>
      <c r="Z223" s="179"/>
      <c r="AA223" s="179"/>
      <c r="AB223" s="179"/>
      <c r="AC223" s="179"/>
      <c r="AD223" s="179"/>
    </row>
    <row r="224" spans="5:30" ht="12" x14ac:dyDescent="0.2">
      <c r="F224" s="94" t="str">
        <f>STRAT9_IND1</f>
        <v>Objetivo estratégico 9 Indicador 1</v>
      </c>
      <c r="G224" s="94" t="str">
        <f ca="1">OFFSET(Variables_Lu!$D$10,Basic_Setup!H82,0)</f>
        <v>Nutrition-specific</v>
      </c>
      <c r="H224" s="346">
        <f>'Financial Req'!$J68</f>
        <v>0</v>
      </c>
      <c r="I224" s="347">
        <f>H224-J224</f>
        <v>0</v>
      </c>
      <c r="J224" s="345">
        <f>SUM(K224:AD224)</f>
        <v>0</v>
      </c>
      <c r="K224" s="365">
        <f>Government1!$J68</f>
        <v>0</v>
      </c>
      <c r="L224" s="365">
        <f>Government2!$J68</f>
        <v>0</v>
      </c>
      <c r="M224" s="365">
        <f>Government3!$J68</f>
        <v>0</v>
      </c>
      <c r="N224" s="365">
        <f>Government4!$J68</f>
        <v>0</v>
      </c>
      <c r="O224" s="365">
        <f>Government5!$J68</f>
        <v>0</v>
      </c>
      <c r="P224" s="365">
        <f>Government6!$J68</f>
        <v>0</v>
      </c>
      <c r="Q224" s="365">
        <f>Government7!$J68</f>
        <v>0</v>
      </c>
      <c r="R224" s="365">
        <f>Government8!$J68</f>
        <v>0</v>
      </c>
      <c r="S224" s="365">
        <f>Government9!$J68</f>
        <v>0</v>
      </c>
      <c r="T224" s="365">
        <f>Government10!$J68</f>
        <v>0</v>
      </c>
      <c r="U224" s="179">
        <f>Partner1!$J139</f>
        <v>0</v>
      </c>
      <c r="V224" s="179">
        <f>Partner2!$J139</f>
        <v>0</v>
      </c>
      <c r="W224" s="179">
        <f>Partner3!$J139</f>
        <v>0</v>
      </c>
      <c r="X224" s="179">
        <f>Partner4!$J139</f>
        <v>0</v>
      </c>
      <c r="Y224" s="179">
        <f>Partner5!$J139</f>
        <v>0</v>
      </c>
      <c r="Z224" s="179">
        <f>Partner6!$J139</f>
        <v>0</v>
      </c>
      <c r="AA224" s="179">
        <f>Partner7!$J139</f>
        <v>0</v>
      </c>
      <c r="AB224" s="179">
        <f>Partner8!$J139</f>
        <v>0</v>
      </c>
      <c r="AC224" s="179">
        <f>Partner9!$J139</f>
        <v>0</v>
      </c>
      <c r="AD224" s="179">
        <f>Partner10!$J139</f>
        <v>0</v>
      </c>
    </row>
    <row r="225" spans="5:30" ht="12" x14ac:dyDescent="0.2">
      <c r="F225" s="94" t="str">
        <f>STRAT9_IND2</f>
        <v>Objetivo estratégico 9 Indicador 2</v>
      </c>
      <c r="G225" s="94" t="str">
        <f ca="1">OFFSET(Variables_Lu!$D$10,Basic_Setup!H83,0)</f>
        <v>Nutrition-specific</v>
      </c>
      <c r="H225" s="346">
        <f>'Financial Req'!$J69</f>
        <v>0</v>
      </c>
      <c r="I225" s="347">
        <f>H225-J225</f>
        <v>0</v>
      </c>
      <c r="J225" s="345">
        <f>SUM(K225:AD225)</f>
        <v>0</v>
      </c>
      <c r="K225" s="365">
        <f>Government1!$J69</f>
        <v>0</v>
      </c>
      <c r="L225" s="365">
        <f>Government2!$J69</f>
        <v>0</v>
      </c>
      <c r="M225" s="365">
        <f>Government3!$J69</f>
        <v>0</v>
      </c>
      <c r="N225" s="365">
        <f>Government4!$J69</f>
        <v>0</v>
      </c>
      <c r="O225" s="365">
        <f>Government5!$J69</f>
        <v>0</v>
      </c>
      <c r="P225" s="365">
        <f>Government6!$J69</f>
        <v>0</v>
      </c>
      <c r="Q225" s="365">
        <f>Government7!$J69</f>
        <v>0</v>
      </c>
      <c r="R225" s="365">
        <f>Government8!$J69</f>
        <v>0</v>
      </c>
      <c r="S225" s="365">
        <f>Government9!$J69</f>
        <v>0</v>
      </c>
      <c r="T225" s="365">
        <f>Government10!$J69</f>
        <v>0</v>
      </c>
      <c r="U225" s="179">
        <f>Partner1!$J140</f>
        <v>0</v>
      </c>
      <c r="V225" s="179">
        <f>Partner2!$J140</f>
        <v>0</v>
      </c>
      <c r="W225" s="179">
        <f>Partner3!$J140</f>
        <v>0</v>
      </c>
      <c r="X225" s="179">
        <f>Partner4!$J140</f>
        <v>0</v>
      </c>
      <c r="Y225" s="179">
        <f>Partner5!$J140</f>
        <v>0</v>
      </c>
      <c r="Z225" s="179">
        <f>Partner6!$J140</f>
        <v>0</v>
      </c>
      <c r="AA225" s="179">
        <f>Partner7!$J140</f>
        <v>0</v>
      </c>
      <c r="AB225" s="179">
        <f>Partner8!$J140</f>
        <v>0</v>
      </c>
      <c r="AC225" s="179">
        <f>Partner9!$J140</f>
        <v>0</v>
      </c>
      <c r="AD225" s="179">
        <f>Partner10!$J140</f>
        <v>0</v>
      </c>
    </row>
    <row r="226" spans="5:30" ht="12" x14ac:dyDescent="0.2">
      <c r="F226" s="94" t="str">
        <f>STRAT9_IND3</f>
        <v>Objetivo estratégico 9 Indicador 3</v>
      </c>
      <c r="G226" s="94" t="str">
        <f ca="1">OFFSET(Variables_Lu!$D$10,Basic_Setup!H84,0)</f>
        <v>Nutrition-specific</v>
      </c>
      <c r="H226" s="346">
        <f>'Financial Req'!$J70</f>
        <v>0</v>
      </c>
      <c r="I226" s="347">
        <f>H226-J226</f>
        <v>0</v>
      </c>
      <c r="J226" s="345">
        <f>SUM(K226:AD226)</f>
        <v>0</v>
      </c>
      <c r="K226" s="365">
        <f>Government1!$J70</f>
        <v>0</v>
      </c>
      <c r="L226" s="365">
        <f>Government2!$J70</f>
        <v>0</v>
      </c>
      <c r="M226" s="365">
        <f>Government3!$J70</f>
        <v>0</v>
      </c>
      <c r="N226" s="365">
        <f>Government4!$J70</f>
        <v>0</v>
      </c>
      <c r="O226" s="365">
        <f>Government5!$J70</f>
        <v>0</v>
      </c>
      <c r="P226" s="365">
        <f>Government6!$J70</f>
        <v>0</v>
      </c>
      <c r="Q226" s="365">
        <f>Government7!$J70</f>
        <v>0</v>
      </c>
      <c r="R226" s="365">
        <f>Government8!$J70</f>
        <v>0</v>
      </c>
      <c r="S226" s="365">
        <f>Government9!$J70</f>
        <v>0</v>
      </c>
      <c r="T226" s="365">
        <f>Government10!$J70</f>
        <v>0</v>
      </c>
      <c r="U226" s="179">
        <f>Partner1!$J141</f>
        <v>0</v>
      </c>
      <c r="V226" s="179">
        <f>Partner2!$J141</f>
        <v>0</v>
      </c>
      <c r="W226" s="179">
        <f>Partner3!$J141</f>
        <v>0</v>
      </c>
      <c r="X226" s="179">
        <f>Partner4!$J141</f>
        <v>0</v>
      </c>
      <c r="Y226" s="179">
        <f>Partner5!$J141</f>
        <v>0</v>
      </c>
      <c r="Z226" s="179">
        <f>Partner6!$J141</f>
        <v>0</v>
      </c>
      <c r="AA226" s="179">
        <f>Partner7!$J141</f>
        <v>0</v>
      </c>
      <c r="AB226" s="179">
        <f>Partner8!$J141</f>
        <v>0</v>
      </c>
      <c r="AC226" s="179">
        <f>Partner9!$J141</f>
        <v>0</v>
      </c>
      <c r="AD226" s="179">
        <f>Partner10!$J141</f>
        <v>0</v>
      </c>
    </row>
    <row r="227" spans="5:30" ht="12" x14ac:dyDescent="0.2">
      <c r="F227" s="94" t="str">
        <f>STRAT9_IND4</f>
        <v>Objetivo estratégico 9 Indicador 4</v>
      </c>
      <c r="G227" s="94" t="str">
        <f ca="1">OFFSET(Variables_Lu!$D$10,Basic_Setup!H85,0)</f>
        <v>Nutrition-specific</v>
      </c>
      <c r="H227" s="346">
        <f>'Financial Req'!$J71</f>
        <v>0</v>
      </c>
      <c r="I227" s="347">
        <f>H227-J227</f>
        <v>0</v>
      </c>
      <c r="J227" s="345">
        <f>SUM(K227:AD227)</f>
        <v>0</v>
      </c>
      <c r="K227" s="365">
        <f>Government1!$J71</f>
        <v>0</v>
      </c>
      <c r="L227" s="365">
        <f>Government2!$J71</f>
        <v>0</v>
      </c>
      <c r="M227" s="365">
        <f>Government3!$J71</f>
        <v>0</v>
      </c>
      <c r="N227" s="365">
        <f>Government4!$J71</f>
        <v>0</v>
      </c>
      <c r="O227" s="365">
        <f>Government5!$J71</f>
        <v>0</v>
      </c>
      <c r="P227" s="365">
        <f>Government6!$J71</f>
        <v>0</v>
      </c>
      <c r="Q227" s="365">
        <f>Government7!$J71</f>
        <v>0</v>
      </c>
      <c r="R227" s="365">
        <f>Government8!$J71</f>
        <v>0</v>
      </c>
      <c r="S227" s="365">
        <f>Government9!$J71</f>
        <v>0</v>
      </c>
      <c r="T227" s="365">
        <f>Government10!$J71</f>
        <v>0</v>
      </c>
      <c r="U227" s="179">
        <f>Partner1!$J142</f>
        <v>0</v>
      </c>
      <c r="V227" s="179">
        <f>Partner2!$J142</f>
        <v>0</v>
      </c>
      <c r="W227" s="179">
        <f>Partner3!$J142</f>
        <v>0</v>
      </c>
      <c r="X227" s="179">
        <f>Partner4!$J142</f>
        <v>0</v>
      </c>
      <c r="Y227" s="179">
        <f>Partner5!$J142</f>
        <v>0</v>
      </c>
      <c r="Z227" s="179">
        <f>Partner6!$J142</f>
        <v>0</v>
      </c>
      <c r="AA227" s="179">
        <f>Partner7!$J142</f>
        <v>0</v>
      </c>
      <c r="AB227" s="179">
        <f>Partner8!$J142</f>
        <v>0</v>
      </c>
      <c r="AC227" s="179">
        <f>Partner9!$J142</f>
        <v>0</v>
      </c>
      <c r="AD227" s="179">
        <f>Partner10!$J142</f>
        <v>0</v>
      </c>
    </row>
    <row r="228" spans="5:30" ht="12" x14ac:dyDescent="0.2">
      <c r="F228" s="94" t="str">
        <f>STRAT9_IND5</f>
        <v>Objetivo estratégico 9 Indicador 5</v>
      </c>
      <c r="G228" s="94" t="str">
        <f ca="1">OFFSET(Variables_Lu!$D$10,Basic_Setup!H86,0)</f>
        <v>Nutrition-specific</v>
      </c>
      <c r="H228" s="346">
        <f>'Financial Req'!$J72</f>
        <v>0</v>
      </c>
      <c r="I228" s="347">
        <f>H228-J228</f>
        <v>0</v>
      </c>
      <c r="J228" s="345">
        <f>SUM(K228:AD228)</f>
        <v>0</v>
      </c>
      <c r="K228" s="365">
        <f>Government1!$J72</f>
        <v>0</v>
      </c>
      <c r="L228" s="365">
        <f>Government2!$J72</f>
        <v>0</v>
      </c>
      <c r="M228" s="365">
        <f>Government3!$J72</f>
        <v>0</v>
      </c>
      <c r="N228" s="365">
        <f>Government4!$J72</f>
        <v>0</v>
      </c>
      <c r="O228" s="365">
        <f>Government5!$J72</f>
        <v>0</v>
      </c>
      <c r="P228" s="365">
        <f>Government6!$J72</f>
        <v>0</v>
      </c>
      <c r="Q228" s="365">
        <f>Government7!$J72</f>
        <v>0</v>
      </c>
      <c r="R228" s="365">
        <f>Government8!$J72</f>
        <v>0</v>
      </c>
      <c r="S228" s="365">
        <f>Government9!$J72</f>
        <v>0</v>
      </c>
      <c r="T228" s="365">
        <f>Government10!$J72</f>
        <v>0</v>
      </c>
      <c r="U228" s="179">
        <f>Partner1!$J143</f>
        <v>0</v>
      </c>
      <c r="V228" s="179">
        <f>Partner2!$J143</f>
        <v>0</v>
      </c>
      <c r="W228" s="179">
        <f>Partner3!$J143</f>
        <v>0</v>
      </c>
      <c r="X228" s="179">
        <f>Partner4!$J143</f>
        <v>0</v>
      </c>
      <c r="Y228" s="179">
        <f>Partner5!$J143</f>
        <v>0</v>
      </c>
      <c r="Z228" s="179">
        <f>Partner6!$J143</f>
        <v>0</v>
      </c>
      <c r="AA228" s="179">
        <f>Partner7!$J143</f>
        <v>0</v>
      </c>
      <c r="AB228" s="179">
        <f>Partner8!$J143</f>
        <v>0</v>
      </c>
      <c r="AC228" s="179">
        <f>Partner9!$J143</f>
        <v>0</v>
      </c>
      <c r="AD228" s="179">
        <f>Partner10!$J143</f>
        <v>0</v>
      </c>
    </row>
    <row r="229" spans="5:30" x14ac:dyDescent="0.2">
      <c r="F229" s="332" t="str">
        <f>"Subtotal: "&amp;E223</f>
        <v>Subtotal: Objetivo estratégico 9: [No está en uso]</v>
      </c>
      <c r="G229" s="333"/>
      <c r="H229" s="348">
        <f>'Financial Req'!$J73</f>
        <v>0</v>
      </c>
      <c r="I229" s="349">
        <f>SUM(I224:I228)</f>
        <v>0</v>
      </c>
      <c r="J229" s="350">
        <f>SUM(J224:J228)</f>
        <v>0</v>
      </c>
      <c r="K229" s="366">
        <f>Government1!$J73</f>
        <v>0</v>
      </c>
      <c r="L229" s="366">
        <f>Government2!$J73</f>
        <v>0</v>
      </c>
      <c r="M229" s="366">
        <f>Government3!$J73</f>
        <v>0</v>
      </c>
      <c r="N229" s="366">
        <f>Government4!$J73</f>
        <v>0</v>
      </c>
      <c r="O229" s="366">
        <f>Government5!$J73</f>
        <v>0</v>
      </c>
      <c r="P229" s="366">
        <f>Government6!$J73</f>
        <v>0</v>
      </c>
      <c r="Q229" s="366">
        <f>Government7!$J73</f>
        <v>0</v>
      </c>
      <c r="R229" s="366">
        <f>Government8!$J73</f>
        <v>0</v>
      </c>
      <c r="S229" s="366">
        <f>Government9!$J73</f>
        <v>0</v>
      </c>
      <c r="T229" s="366">
        <f>Government10!$J73</f>
        <v>0</v>
      </c>
      <c r="U229" s="331">
        <f>Partner1!$J144</f>
        <v>0</v>
      </c>
      <c r="V229" s="331">
        <f>Partner2!$J144</f>
        <v>0</v>
      </c>
      <c r="W229" s="331">
        <f>Partner3!$J144</f>
        <v>0</v>
      </c>
      <c r="X229" s="331">
        <f>Partner4!$J144</f>
        <v>0</v>
      </c>
      <c r="Y229" s="331">
        <f>Partner5!$J144</f>
        <v>0</v>
      </c>
      <c r="Z229" s="331">
        <f>Partner6!$J144</f>
        <v>0</v>
      </c>
      <c r="AA229" s="331">
        <f>Partner7!$J144</f>
        <v>0</v>
      </c>
      <c r="AB229" s="331">
        <f>Partner8!$J144</f>
        <v>0</v>
      </c>
      <c r="AC229" s="331">
        <f>Partner9!$J144</f>
        <v>0</v>
      </c>
      <c r="AD229" s="331">
        <f>Partner10!$J144</f>
        <v>0</v>
      </c>
    </row>
    <row r="230" spans="5:30" ht="12" x14ac:dyDescent="0.2">
      <c r="E230" s="301" t="str">
        <f>Strategy10</f>
        <v>Objetivo estratégico 10: [No está en uso]</v>
      </c>
      <c r="G230" s="94"/>
      <c r="H230" s="343"/>
      <c r="I230" s="344"/>
      <c r="J230" s="345"/>
      <c r="K230" s="365"/>
      <c r="L230" s="365"/>
      <c r="M230" s="365"/>
      <c r="N230" s="365"/>
      <c r="O230" s="365"/>
      <c r="P230" s="365"/>
      <c r="Q230" s="365"/>
      <c r="R230" s="365"/>
      <c r="S230" s="365"/>
      <c r="T230" s="365"/>
      <c r="U230" s="179"/>
      <c r="V230" s="179"/>
      <c r="W230" s="179"/>
      <c r="X230" s="179"/>
      <c r="Y230" s="179"/>
      <c r="Z230" s="179"/>
      <c r="AA230" s="179"/>
      <c r="AB230" s="179"/>
      <c r="AC230" s="179"/>
      <c r="AD230" s="179"/>
    </row>
    <row r="231" spans="5:30" ht="12" x14ac:dyDescent="0.2">
      <c r="F231" s="94" t="str">
        <f>STRAT10_IND1</f>
        <v>Objetivo estratégico 10 Indicador 1</v>
      </c>
      <c r="G231" s="94" t="str">
        <f ca="1">OFFSET(Variables_Lu!$D$10,Basic_Setup!H88,0)</f>
        <v>Nutrition-specific</v>
      </c>
      <c r="H231" s="346">
        <f>'Financial Req'!$J74</f>
        <v>0</v>
      </c>
      <c r="I231" s="347">
        <f>H231-J231</f>
        <v>0</v>
      </c>
      <c r="J231" s="345">
        <f>SUM(K231:AD231)</f>
        <v>0</v>
      </c>
      <c r="K231" s="365">
        <f>Government1!$J74</f>
        <v>0</v>
      </c>
      <c r="L231" s="365">
        <f>Government2!$J74</f>
        <v>0</v>
      </c>
      <c r="M231" s="365">
        <f>Government3!$J74</f>
        <v>0</v>
      </c>
      <c r="N231" s="365">
        <f>Government4!$J74</f>
        <v>0</v>
      </c>
      <c r="O231" s="365">
        <f>Government5!$J74</f>
        <v>0</v>
      </c>
      <c r="P231" s="365">
        <f>Government6!$J74</f>
        <v>0</v>
      </c>
      <c r="Q231" s="365">
        <f>Government7!$J74</f>
        <v>0</v>
      </c>
      <c r="R231" s="365">
        <f>Government8!$J74</f>
        <v>0</v>
      </c>
      <c r="S231" s="365">
        <f>Government9!$J74</f>
        <v>0</v>
      </c>
      <c r="T231" s="365">
        <f>Government10!$J74</f>
        <v>0</v>
      </c>
      <c r="U231" s="179">
        <f>Partner1!$J145</f>
        <v>0</v>
      </c>
      <c r="V231" s="179">
        <f>Partner2!$J145</f>
        <v>0</v>
      </c>
      <c r="W231" s="179">
        <f>Partner3!$J145</f>
        <v>0</v>
      </c>
      <c r="X231" s="179">
        <f>Partner4!$J145</f>
        <v>0</v>
      </c>
      <c r="Y231" s="179">
        <f>Partner5!$J145</f>
        <v>0</v>
      </c>
      <c r="Z231" s="179">
        <f>Partner6!$J145</f>
        <v>0</v>
      </c>
      <c r="AA231" s="179">
        <f>Partner7!$J145</f>
        <v>0</v>
      </c>
      <c r="AB231" s="179">
        <f>Partner8!$J145</f>
        <v>0</v>
      </c>
      <c r="AC231" s="179">
        <f>Partner9!$J145</f>
        <v>0</v>
      </c>
      <c r="AD231" s="179">
        <f>Partner10!$J145</f>
        <v>0</v>
      </c>
    </row>
    <row r="232" spans="5:30" ht="12" x14ac:dyDescent="0.2">
      <c r="F232" s="94" t="str">
        <f>STRAT10_IND2</f>
        <v>Objetivo estratégico 10 Indicador 2</v>
      </c>
      <c r="G232" s="94" t="str">
        <f ca="1">OFFSET(Variables_Lu!$D$10,Basic_Setup!H89,0)</f>
        <v>Nutrition-specific</v>
      </c>
      <c r="H232" s="346">
        <f>'Financial Req'!$J75</f>
        <v>0</v>
      </c>
      <c r="I232" s="347">
        <f>H232-J232</f>
        <v>0</v>
      </c>
      <c r="J232" s="345">
        <f>SUM(K232:AD232)</f>
        <v>0</v>
      </c>
      <c r="K232" s="365">
        <f>Government1!$J75</f>
        <v>0</v>
      </c>
      <c r="L232" s="365">
        <f>Government2!$J75</f>
        <v>0</v>
      </c>
      <c r="M232" s="365">
        <f>Government3!$J75</f>
        <v>0</v>
      </c>
      <c r="N232" s="365">
        <f>Government4!$J75</f>
        <v>0</v>
      </c>
      <c r="O232" s="365">
        <f>Government5!$J75</f>
        <v>0</v>
      </c>
      <c r="P232" s="365">
        <f>Government6!$J75</f>
        <v>0</v>
      </c>
      <c r="Q232" s="365">
        <f>Government7!$J75</f>
        <v>0</v>
      </c>
      <c r="R232" s="365">
        <f>Government8!$J75</f>
        <v>0</v>
      </c>
      <c r="S232" s="365">
        <f>Government9!$J75</f>
        <v>0</v>
      </c>
      <c r="T232" s="365">
        <f>Government10!$J75</f>
        <v>0</v>
      </c>
      <c r="U232" s="179">
        <f>Partner1!$J146</f>
        <v>0</v>
      </c>
      <c r="V232" s="179">
        <f>Partner2!$J146</f>
        <v>0</v>
      </c>
      <c r="W232" s="179">
        <f>Partner3!$J146</f>
        <v>0</v>
      </c>
      <c r="X232" s="179">
        <f>Partner4!$J146</f>
        <v>0</v>
      </c>
      <c r="Y232" s="179">
        <f>Partner5!$J146</f>
        <v>0</v>
      </c>
      <c r="Z232" s="179">
        <f>Partner6!$J146</f>
        <v>0</v>
      </c>
      <c r="AA232" s="179">
        <f>Partner7!$J146</f>
        <v>0</v>
      </c>
      <c r="AB232" s="179">
        <f>Partner8!$J146</f>
        <v>0</v>
      </c>
      <c r="AC232" s="179">
        <f>Partner9!$J146</f>
        <v>0</v>
      </c>
      <c r="AD232" s="179">
        <f>Partner10!$J146</f>
        <v>0</v>
      </c>
    </row>
    <row r="233" spans="5:30" ht="12" x14ac:dyDescent="0.2">
      <c r="F233" s="94" t="str">
        <f>STRAT10_IND3</f>
        <v>Objetivo estratégico 10 Indicador 3</v>
      </c>
      <c r="G233" s="94" t="str">
        <f ca="1">OFFSET(Variables_Lu!$D$10,Basic_Setup!H90,0)</f>
        <v>Nutrition-specific</v>
      </c>
      <c r="H233" s="346">
        <f>'Financial Req'!$J76</f>
        <v>0</v>
      </c>
      <c r="I233" s="347">
        <f>H233-J233</f>
        <v>0</v>
      </c>
      <c r="J233" s="345">
        <f>SUM(K233:AD233)</f>
        <v>0</v>
      </c>
      <c r="K233" s="365">
        <f>Government1!$J76</f>
        <v>0</v>
      </c>
      <c r="L233" s="365">
        <f>Government2!$J76</f>
        <v>0</v>
      </c>
      <c r="M233" s="365">
        <f>Government3!$J76</f>
        <v>0</v>
      </c>
      <c r="N233" s="365">
        <f>Government4!$J76</f>
        <v>0</v>
      </c>
      <c r="O233" s="365">
        <f>Government5!$J76</f>
        <v>0</v>
      </c>
      <c r="P233" s="365">
        <f>Government6!$J76</f>
        <v>0</v>
      </c>
      <c r="Q233" s="365">
        <f>Government7!$J76</f>
        <v>0</v>
      </c>
      <c r="R233" s="365">
        <f>Government8!$J76</f>
        <v>0</v>
      </c>
      <c r="S233" s="365">
        <f>Government9!$J76</f>
        <v>0</v>
      </c>
      <c r="T233" s="365">
        <f>Government10!$J76</f>
        <v>0</v>
      </c>
      <c r="U233" s="179">
        <f>Partner1!$J147</f>
        <v>0</v>
      </c>
      <c r="V233" s="179">
        <f>Partner2!$J147</f>
        <v>0</v>
      </c>
      <c r="W233" s="179">
        <f>Partner3!$J147</f>
        <v>0</v>
      </c>
      <c r="X233" s="179">
        <f>Partner4!$J147</f>
        <v>0</v>
      </c>
      <c r="Y233" s="179">
        <f>Partner5!$J147</f>
        <v>0</v>
      </c>
      <c r="Z233" s="179">
        <f>Partner6!$J147</f>
        <v>0</v>
      </c>
      <c r="AA233" s="179">
        <f>Partner7!$J147</f>
        <v>0</v>
      </c>
      <c r="AB233" s="179">
        <f>Partner8!$J147</f>
        <v>0</v>
      </c>
      <c r="AC233" s="179">
        <f>Partner9!$J147</f>
        <v>0</v>
      </c>
      <c r="AD233" s="179">
        <f>Partner10!$J147</f>
        <v>0</v>
      </c>
    </row>
    <row r="234" spans="5:30" ht="12" x14ac:dyDescent="0.2">
      <c r="F234" s="94" t="str">
        <f>STRAT10_IND4</f>
        <v>Objetivo estratégico 10 Indicador 4</v>
      </c>
      <c r="G234" s="94" t="str">
        <f ca="1">OFFSET(Variables_Lu!$D$10,Basic_Setup!H91,0)</f>
        <v>Nutrition-specific</v>
      </c>
      <c r="H234" s="346">
        <f>'Financial Req'!$J77</f>
        <v>0</v>
      </c>
      <c r="I234" s="347">
        <f>H234-J234</f>
        <v>0</v>
      </c>
      <c r="J234" s="345">
        <f>SUM(K234:AD234)</f>
        <v>0</v>
      </c>
      <c r="K234" s="365">
        <f>Government1!$J77</f>
        <v>0</v>
      </c>
      <c r="L234" s="365">
        <f>Government2!$J77</f>
        <v>0</v>
      </c>
      <c r="M234" s="365">
        <f>Government3!$J77</f>
        <v>0</v>
      </c>
      <c r="N234" s="365">
        <f>Government4!$J77</f>
        <v>0</v>
      </c>
      <c r="O234" s="365">
        <f>Government5!$J77</f>
        <v>0</v>
      </c>
      <c r="P234" s="365">
        <f>Government6!$J77</f>
        <v>0</v>
      </c>
      <c r="Q234" s="365">
        <f>Government7!$J77</f>
        <v>0</v>
      </c>
      <c r="R234" s="365">
        <f>Government8!$J77</f>
        <v>0</v>
      </c>
      <c r="S234" s="365">
        <f>Government9!$J77</f>
        <v>0</v>
      </c>
      <c r="T234" s="365">
        <f>Government10!$J77</f>
        <v>0</v>
      </c>
      <c r="U234" s="179">
        <f>Partner1!$J148</f>
        <v>0</v>
      </c>
      <c r="V234" s="179">
        <f>Partner2!$J148</f>
        <v>0</v>
      </c>
      <c r="W234" s="179">
        <f>Partner3!$J148</f>
        <v>0</v>
      </c>
      <c r="X234" s="179">
        <f>Partner4!$J148</f>
        <v>0</v>
      </c>
      <c r="Y234" s="179">
        <f>Partner5!$J148</f>
        <v>0</v>
      </c>
      <c r="Z234" s="179">
        <f>Partner6!$J148</f>
        <v>0</v>
      </c>
      <c r="AA234" s="179">
        <f>Partner7!$J148</f>
        <v>0</v>
      </c>
      <c r="AB234" s="179">
        <f>Partner8!$J148</f>
        <v>0</v>
      </c>
      <c r="AC234" s="179">
        <f>Partner9!$J148</f>
        <v>0</v>
      </c>
      <c r="AD234" s="179">
        <f>Partner10!$J148</f>
        <v>0</v>
      </c>
    </row>
    <row r="235" spans="5:30" ht="12" x14ac:dyDescent="0.2">
      <c r="F235" s="94" t="str">
        <f>STRAT10_IND5</f>
        <v>Objetivo estratégico 10 Indicador 5</v>
      </c>
      <c r="G235" s="94" t="str">
        <f ca="1">OFFSET(Variables_Lu!$D$10,Basic_Setup!H92,0)</f>
        <v>Nutrition-specific</v>
      </c>
      <c r="H235" s="346">
        <f>'Financial Req'!$J78</f>
        <v>0</v>
      </c>
      <c r="I235" s="347">
        <f>H235-J235</f>
        <v>0</v>
      </c>
      <c r="J235" s="345">
        <f>SUM(K235:AD235)</f>
        <v>0</v>
      </c>
      <c r="K235" s="365">
        <f>Government1!$J78</f>
        <v>0</v>
      </c>
      <c r="L235" s="365">
        <f>Government2!$J78</f>
        <v>0</v>
      </c>
      <c r="M235" s="365">
        <f>Government3!$J78</f>
        <v>0</v>
      </c>
      <c r="N235" s="365">
        <f>Government4!$J78</f>
        <v>0</v>
      </c>
      <c r="O235" s="365">
        <f>Government5!$J78</f>
        <v>0</v>
      </c>
      <c r="P235" s="365">
        <f>Government6!$J78</f>
        <v>0</v>
      </c>
      <c r="Q235" s="365">
        <f>Government7!$J78</f>
        <v>0</v>
      </c>
      <c r="R235" s="365">
        <f>Government8!$J78</f>
        <v>0</v>
      </c>
      <c r="S235" s="365">
        <f>Government9!$J78</f>
        <v>0</v>
      </c>
      <c r="T235" s="365">
        <f>Government10!$J78</f>
        <v>0</v>
      </c>
      <c r="U235" s="179">
        <f>Partner1!$J149</f>
        <v>0</v>
      </c>
      <c r="V235" s="179">
        <f>Partner2!$J149</f>
        <v>0</v>
      </c>
      <c r="W235" s="179">
        <f>Partner3!$J149</f>
        <v>0</v>
      </c>
      <c r="X235" s="179">
        <f>Partner4!$J149</f>
        <v>0</v>
      </c>
      <c r="Y235" s="179">
        <f>Partner5!$J149</f>
        <v>0</v>
      </c>
      <c r="Z235" s="179">
        <f>Partner6!$J149</f>
        <v>0</v>
      </c>
      <c r="AA235" s="179">
        <f>Partner7!$J149</f>
        <v>0</v>
      </c>
      <c r="AB235" s="179">
        <f>Partner8!$J149</f>
        <v>0</v>
      </c>
      <c r="AC235" s="179">
        <f>Partner9!$J149</f>
        <v>0</v>
      </c>
      <c r="AD235" s="179">
        <f>Partner10!$J149</f>
        <v>0</v>
      </c>
    </row>
    <row r="236" spans="5:30" x14ac:dyDescent="0.2">
      <c r="F236" s="332" t="str">
        <f>"Subtotal: "&amp;E230</f>
        <v>Subtotal: Objetivo estratégico 10: [No está en uso]</v>
      </c>
      <c r="G236" s="333"/>
      <c r="H236" s="348">
        <f>'Financial Req'!$J79</f>
        <v>0</v>
      </c>
      <c r="I236" s="349">
        <f>SUM(I231:I235)</f>
        <v>0</v>
      </c>
      <c r="J236" s="350">
        <f>SUM(J231:J235)</f>
        <v>0</v>
      </c>
      <c r="K236" s="366">
        <f>Government1!$J79</f>
        <v>0</v>
      </c>
      <c r="L236" s="366">
        <f>Government2!$J79</f>
        <v>0</v>
      </c>
      <c r="M236" s="366">
        <f>Government3!$J79</f>
        <v>0</v>
      </c>
      <c r="N236" s="366">
        <f>Government4!$J79</f>
        <v>0</v>
      </c>
      <c r="O236" s="366">
        <f>Government5!$J79</f>
        <v>0</v>
      </c>
      <c r="P236" s="366">
        <f>Government6!$J79</f>
        <v>0</v>
      </c>
      <c r="Q236" s="366">
        <f>Government7!$J79</f>
        <v>0</v>
      </c>
      <c r="R236" s="366">
        <f>Government8!$J79</f>
        <v>0</v>
      </c>
      <c r="S236" s="366">
        <f>Government9!$J79</f>
        <v>0</v>
      </c>
      <c r="T236" s="366">
        <f>Government10!$J79</f>
        <v>0</v>
      </c>
      <c r="U236" s="331">
        <f>Partner1!$J150</f>
        <v>0</v>
      </c>
      <c r="V236" s="331">
        <f>Partner2!$J150</f>
        <v>0</v>
      </c>
      <c r="W236" s="331">
        <f>Partner3!$J150</f>
        <v>0</v>
      </c>
      <c r="X236" s="331">
        <f>Partner4!$J150</f>
        <v>0</v>
      </c>
      <c r="Y236" s="331">
        <f>Partner5!$J150</f>
        <v>0</v>
      </c>
      <c r="Z236" s="331">
        <f>Partner6!$J150</f>
        <v>0</v>
      </c>
      <c r="AA236" s="331">
        <f>Partner7!$J150</f>
        <v>0</v>
      </c>
      <c r="AB236" s="331">
        <f>Partner8!$J150</f>
        <v>0</v>
      </c>
      <c r="AC236" s="331">
        <f>Partner9!$J150</f>
        <v>0</v>
      </c>
      <c r="AD236" s="331">
        <f>Partner10!$J150</f>
        <v>0</v>
      </c>
    </row>
    <row r="237" spans="5:30" ht="12" x14ac:dyDescent="0.2">
      <c r="F237" s="142" t="str">
        <f>"Total "&amp;" ("&amp;E163&amp;")"</f>
        <v>Total  (GOZ)</v>
      </c>
      <c r="G237" s="142"/>
      <c r="H237" s="352">
        <f>SUM(H173,H180,H187,H194,H201,H208,H215,H222,H229,H236)</f>
        <v>153833807089.67026</v>
      </c>
      <c r="I237" s="362">
        <f>SUM(I173,I180,I187,I194,I201,I208,I215,I222,I229,I236)</f>
        <v>55364102446.674026</v>
      </c>
      <c r="J237" s="362">
        <f>SUM(J173,J180,J187,J194,J201,J208,J215,J222,J229,J236)</f>
        <v>98469704642.996246</v>
      </c>
      <c r="K237" s="367">
        <f t="shared" ref="K237:AD237" si="206">SUM(K173,K180,K187,K194,K201,K208,K215,K222,K229,K236)</f>
        <v>4274516100.0149999</v>
      </c>
      <c r="L237" s="367">
        <f t="shared" si="206"/>
        <v>490436535.45375007</v>
      </c>
      <c r="M237" s="367">
        <f t="shared" si="206"/>
        <v>1287000000</v>
      </c>
      <c r="N237" s="367">
        <f t="shared" si="206"/>
        <v>137767071.82499999</v>
      </c>
      <c r="O237" s="367">
        <f t="shared" si="206"/>
        <v>59269334.940000005</v>
      </c>
      <c r="P237" s="367">
        <f t="shared" si="206"/>
        <v>20829671743.252499</v>
      </c>
      <c r="Q237" s="367">
        <f t="shared" si="206"/>
        <v>2594288831.9400001</v>
      </c>
      <c r="R237" s="367">
        <f t="shared" si="206"/>
        <v>127539825.57000001</v>
      </c>
      <c r="S237" s="367">
        <f t="shared" si="206"/>
        <v>0</v>
      </c>
      <c r="T237" s="367">
        <f t="shared" si="206"/>
        <v>0</v>
      </c>
      <c r="U237" s="90">
        <f t="shared" si="206"/>
        <v>13694400000</v>
      </c>
      <c r="V237" s="90">
        <f t="shared" si="206"/>
        <v>36000000</v>
      </c>
      <c r="W237" s="90">
        <f t="shared" si="206"/>
        <v>44836700400</v>
      </c>
      <c r="X237" s="90">
        <f t="shared" si="206"/>
        <v>3217114800</v>
      </c>
      <c r="Y237" s="90">
        <f t="shared" si="206"/>
        <v>6885000000</v>
      </c>
      <c r="Z237" s="90">
        <f t="shared" si="206"/>
        <v>0</v>
      </c>
      <c r="AA237" s="90">
        <f t="shared" si="206"/>
        <v>0</v>
      </c>
      <c r="AB237" s="90">
        <f t="shared" si="206"/>
        <v>0</v>
      </c>
      <c r="AC237" s="90">
        <f t="shared" si="206"/>
        <v>0</v>
      </c>
      <c r="AD237" s="90">
        <f t="shared" si="206"/>
        <v>0</v>
      </c>
    </row>
    <row r="240" spans="5:30" ht="17.399999999999999" x14ac:dyDescent="0.2">
      <c r="E240" s="305" t="str">
        <f>CURR_INT_ABBR</f>
        <v>USD</v>
      </c>
    </row>
    <row r="242" spans="5:30" ht="84" x14ac:dyDescent="0.2">
      <c r="E242" s="303" t="s">
        <v>140</v>
      </c>
      <c r="F242" s="10"/>
      <c r="G242" s="302" t="s">
        <v>482</v>
      </c>
      <c r="H242" s="340" t="s">
        <v>143</v>
      </c>
      <c r="I242" s="341" t="s">
        <v>565</v>
      </c>
      <c r="J242" s="342" t="s">
        <v>141</v>
      </c>
      <c r="K242" s="339" t="str">
        <f>Government1</f>
        <v>Ministerio de Agricultura y Ganadería</v>
      </c>
      <c r="L242" s="339" t="str">
        <f>Government2</f>
        <v>Ministerio de Energía y Minas</v>
      </c>
      <c r="M242" s="339" t="str">
        <f>Government3</f>
        <v>Ministerio de Educación Nacional, de Educación Superior e Investigación Científica</v>
      </c>
      <c r="N242" s="339" t="str">
        <f>Government4</f>
        <v>Ministerio de Medioambiente</v>
      </c>
      <c r="O242" s="339" t="str">
        <f>Government5</f>
        <v>Ministerio de Servicio Público</v>
      </c>
      <c r="P242" s="339" t="str">
        <f>Government6</f>
        <v>Ministerio de Salud Pública y Lucha contra el SIDA</v>
      </c>
      <c r="Q242" s="339" t="str">
        <f>Government7</f>
        <v xml:space="preserve">Ministerio de Derechos Humanos, Asuntos Sociales y Género </v>
      </c>
      <c r="R242" s="339" t="str">
        <f>Government8</f>
        <v>Ministerio de Desarrollo Municipal</v>
      </c>
      <c r="S242" s="339" t="str">
        <f>Government9</f>
        <v>[No está en uso]</v>
      </c>
      <c r="T242" s="339" t="str">
        <f>Government10</f>
        <v>[No está en uso]</v>
      </c>
      <c r="U242" s="97" t="str">
        <f>Partner1</f>
        <v>UNICEF</v>
      </c>
      <c r="V242" s="97" t="str">
        <f>Partner2</f>
        <v>Organización Mundial de la Salud</v>
      </c>
      <c r="W242" s="97" t="str">
        <f>Partner3</f>
        <v>Banco Mundial</v>
      </c>
      <c r="X242" s="97" t="str">
        <f>Partner4</f>
        <v>Organización de las Naciones Unidas para la Alimentación y la Agricultura</v>
      </c>
      <c r="Y242" s="97" t="str">
        <f>Partner5</f>
        <v>Programa Mundial de Alimentos</v>
      </c>
      <c r="Z242" s="97" t="str">
        <f>Partner6</f>
        <v>[No está en uso]</v>
      </c>
      <c r="AA242" s="97" t="str">
        <f>Partner7</f>
        <v>[No está en uso]</v>
      </c>
      <c r="AB242" s="97" t="str">
        <f>Partner8</f>
        <v>[No está en uso]</v>
      </c>
      <c r="AC242" s="97" t="str">
        <f>Partner9</f>
        <v>[No está en uso]</v>
      </c>
      <c r="AD242" s="97" t="str">
        <f>Partner10</f>
        <v>[No está en uso]</v>
      </c>
    </row>
    <row r="243" spans="5:30" x14ac:dyDescent="0.2">
      <c r="H243" s="372"/>
      <c r="I243" s="372"/>
      <c r="J243" s="372"/>
    </row>
    <row r="244" spans="5:30" ht="12" x14ac:dyDescent="0.2">
      <c r="E244" s="301" t="str">
        <f>Strategy1</f>
        <v>Objetivo estratégico 1: Fortalecer la gobernanza de la nutrición</v>
      </c>
      <c r="G244" s="94"/>
      <c r="H244" s="363"/>
      <c r="I244" s="364"/>
      <c r="J244" s="356"/>
      <c r="K244" s="369"/>
      <c r="L244" s="369"/>
      <c r="M244" s="369"/>
      <c r="N244" s="369"/>
      <c r="O244" s="369"/>
      <c r="P244" s="369"/>
      <c r="Q244" s="369"/>
      <c r="R244" s="369"/>
      <c r="S244" s="369"/>
      <c r="T244" s="369"/>
      <c r="U244" s="96"/>
      <c r="V244" s="96"/>
      <c r="W244" s="96"/>
      <c r="X244" s="96"/>
      <c r="Y244" s="96"/>
      <c r="Z244" s="96"/>
      <c r="AA244" s="96"/>
      <c r="AB244" s="96"/>
      <c r="AC244" s="96"/>
      <c r="AD244" s="96"/>
    </row>
    <row r="245" spans="5:30" ht="12" x14ac:dyDescent="0.2">
      <c r="E245" s="301"/>
      <c r="F245" s="94" t="str">
        <f>STRAT1_IND1</f>
        <v>Se refuerza la coordinación multisectorial en materia de nutrición</v>
      </c>
      <c r="G245" s="94" t="str">
        <f ca="1">OFFSET(Variables_Lu!$D$10,Basic_Setup!H34,0)</f>
        <v>Governance</v>
      </c>
      <c r="H245" s="354">
        <f t="shared" ref="H245:AD245" si="207">H168/EXCHANGE_RATE</f>
        <v>314928.01388888888</v>
      </c>
      <c r="I245" s="355">
        <f t="shared" si="207"/>
        <v>-162617.31709844363</v>
      </c>
      <c r="J245" s="356">
        <f t="shared" si="207"/>
        <v>477545.33098733251</v>
      </c>
      <c r="K245" s="369">
        <f t="shared" si="207"/>
        <v>949.89246666999998</v>
      </c>
      <c r="L245" s="369">
        <f t="shared" si="207"/>
        <v>108.98589676750001</v>
      </c>
      <c r="M245" s="369">
        <f t="shared" si="207"/>
        <v>286</v>
      </c>
      <c r="N245" s="369">
        <f t="shared" si="207"/>
        <v>30.614904850000002</v>
      </c>
      <c r="O245" s="369">
        <f t="shared" si="207"/>
        <v>13.17096332</v>
      </c>
      <c r="P245" s="369">
        <f t="shared" si="207"/>
        <v>4628.8159429449997</v>
      </c>
      <c r="Q245" s="369">
        <f t="shared" si="207"/>
        <v>576.50862932000007</v>
      </c>
      <c r="R245" s="369">
        <f t="shared" si="207"/>
        <v>28.342183459999998</v>
      </c>
      <c r="S245" s="369">
        <f t="shared" si="207"/>
        <v>0</v>
      </c>
      <c r="T245" s="369">
        <f t="shared" si="207"/>
        <v>0</v>
      </c>
      <c r="U245" s="96">
        <f t="shared" si="207"/>
        <v>4800</v>
      </c>
      <c r="V245" s="96">
        <f t="shared" si="207"/>
        <v>5000</v>
      </c>
      <c r="W245" s="96">
        <f t="shared" si="207"/>
        <v>283873</v>
      </c>
      <c r="X245" s="96">
        <f t="shared" si="207"/>
        <v>27250</v>
      </c>
      <c r="Y245" s="96">
        <f t="shared" si="207"/>
        <v>150000</v>
      </c>
      <c r="Z245" s="96">
        <f t="shared" si="207"/>
        <v>0</v>
      </c>
      <c r="AA245" s="96">
        <f t="shared" si="207"/>
        <v>0</v>
      </c>
      <c r="AB245" s="96">
        <f t="shared" si="207"/>
        <v>0</v>
      </c>
      <c r="AC245" s="96">
        <f t="shared" si="207"/>
        <v>0</v>
      </c>
      <c r="AD245" s="96">
        <f t="shared" si="207"/>
        <v>0</v>
      </c>
    </row>
    <row r="246" spans="5:30" ht="22.8" x14ac:dyDescent="0.2">
      <c r="E246" s="301"/>
      <c r="F246" s="94" t="str">
        <f>STRAT1_IND2</f>
        <v>Está en funcionamiento el sistema multisectorial de información sobre nutrición para la adopción de decisiones eficaces.</v>
      </c>
      <c r="G246" s="94" t="str">
        <f ca="1">OFFSET(Variables_Lu!$D$10,Basic_Setup!H35,0)</f>
        <v>Governance</v>
      </c>
      <c r="H246" s="354">
        <f t="shared" ref="H246:AD246" si="208">H169/EXCHANGE_RATE</f>
        <v>314928.01388888888</v>
      </c>
      <c r="I246" s="355">
        <f t="shared" si="208"/>
        <v>290805.68290155637</v>
      </c>
      <c r="J246" s="356">
        <f t="shared" si="208"/>
        <v>24122.330987332502</v>
      </c>
      <c r="K246" s="369">
        <f t="shared" si="208"/>
        <v>949.89246666999998</v>
      </c>
      <c r="L246" s="369">
        <f t="shared" si="208"/>
        <v>108.98589676750001</v>
      </c>
      <c r="M246" s="369">
        <f t="shared" si="208"/>
        <v>286</v>
      </c>
      <c r="N246" s="369">
        <f t="shared" si="208"/>
        <v>30.614904850000002</v>
      </c>
      <c r="O246" s="369">
        <f t="shared" si="208"/>
        <v>13.17096332</v>
      </c>
      <c r="P246" s="369">
        <f t="shared" si="208"/>
        <v>4628.8159429449997</v>
      </c>
      <c r="Q246" s="369">
        <f t="shared" si="208"/>
        <v>576.50862932000007</v>
      </c>
      <c r="R246" s="369">
        <f t="shared" si="208"/>
        <v>28.342183459999998</v>
      </c>
      <c r="S246" s="369">
        <f t="shared" si="208"/>
        <v>0</v>
      </c>
      <c r="T246" s="369">
        <f t="shared" si="208"/>
        <v>0</v>
      </c>
      <c r="U246" s="96">
        <f t="shared" si="208"/>
        <v>800</v>
      </c>
      <c r="V246" s="96">
        <f t="shared" si="208"/>
        <v>0</v>
      </c>
      <c r="W246" s="96">
        <f t="shared" si="208"/>
        <v>0</v>
      </c>
      <c r="X246" s="96">
        <f t="shared" si="208"/>
        <v>16700</v>
      </c>
      <c r="Y246" s="96">
        <f t="shared" si="208"/>
        <v>0</v>
      </c>
      <c r="Z246" s="96">
        <f t="shared" si="208"/>
        <v>0</v>
      </c>
      <c r="AA246" s="96">
        <f t="shared" si="208"/>
        <v>0</v>
      </c>
      <c r="AB246" s="96">
        <f t="shared" si="208"/>
        <v>0</v>
      </c>
      <c r="AC246" s="96">
        <f t="shared" si="208"/>
        <v>0</v>
      </c>
      <c r="AD246" s="96">
        <f t="shared" si="208"/>
        <v>0</v>
      </c>
    </row>
    <row r="247" spans="5:30" ht="22.8" x14ac:dyDescent="0.2">
      <c r="E247" s="301"/>
      <c r="F247" s="94" t="str">
        <f>STRAT1_IND3</f>
        <v>La investigación en nutrición se utiliza para aclarar que la toma de decisiones se mejora y se refuerza.</v>
      </c>
      <c r="G247" s="94" t="str">
        <f ca="1">OFFSET(Variables_Lu!$D$10,Basic_Setup!H36,0)</f>
        <v>Governance</v>
      </c>
      <c r="H247" s="354">
        <f t="shared" ref="H247:AD247" si="209">H170/EXCHANGE_RATE</f>
        <v>314928.01388888888</v>
      </c>
      <c r="I247" s="355">
        <f t="shared" si="209"/>
        <v>306705.68290155637</v>
      </c>
      <c r="J247" s="356">
        <f t="shared" si="209"/>
        <v>8222.3309873324997</v>
      </c>
      <c r="K247" s="369">
        <f t="shared" si="209"/>
        <v>949.89246666999998</v>
      </c>
      <c r="L247" s="369">
        <f t="shared" si="209"/>
        <v>108.98589676750001</v>
      </c>
      <c r="M247" s="369">
        <f t="shared" si="209"/>
        <v>286</v>
      </c>
      <c r="N247" s="369">
        <f t="shared" si="209"/>
        <v>30.614904850000002</v>
      </c>
      <c r="O247" s="369">
        <f t="shared" si="209"/>
        <v>13.17096332</v>
      </c>
      <c r="P247" s="369">
        <f t="shared" si="209"/>
        <v>4628.8159429449997</v>
      </c>
      <c r="Q247" s="369">
        <f t="shared" si="209"/>
        <v>576.50862932000007</v>
      </c>
      <c r="R247" s="369">
        <f t="shared" si="209"/>
        <v>28.342183459999998</v>
      </c>
      <c r="S247" s="369">
        <f t="shared" si="209"/>
        <v>0</v>
      </c>
      <c r="T247" s="369">
        <f t="shared" si="209"/>
        <v>0</v>
      </c>
      <c r="U247" s="96">
        <f t="shared" si="209"/>
        <v>1600</v>
      </c>
      <c r="V247" s="96">
        <f t="shared" si="209"/>
        <v>0</v>
      </c>
      <c r="W247" s="96">
        <f t="shared" si="209"/>
        <v>0</v>
      </c>
      <c r="X247" s="96">
        <f t="shared" si="209"/>
        <v>0</v>
      </c>
      <c r="Y247" s="96">
        <f t="shared" si="209"/>
        <v>0</v>
      </c>
      <c r="Z247" s="96">
        <f t="shared" si="209"/>
        <v>0</v>
      </c>
      <c r="AA247" s="96">
        <f t="shared" si="209"/>
        <v>0</v>
      </c>
      <c r="AB247" s="96">
        <f t="shared" si="209"/>
        <v>0</v>
      </c>
      <c r="AC247" s="96">
        <f t="shared" si="209"/>
        <v>0</v>
      </c>
      <c r="AD247" s="96">
        <f t="shared" si="209"/>
        <v>0</v>
      </c>
    </row>
    <row r="248" spans="5:30" ht="22.8" x14ac:dyDescent="0.2">
      <c r="E248" s="301"/>
      <c r="F248" s="94" t="str">
        <f>STRAT1_IND4</f>
        <v>El marco legislativo y reglamentario de la nutrición se ha fortalecido y está en funcionamiento.</v>
      </c>
      <c r="G248" s="94" t="str">
        <f ca="1">OFFSET(Variables_Lu!$D$10,Basic_Setup!H37,0)</f>
        <v>Governance</v>
      </c>
      <c r="H248" s="354">
        <f t="shared" ref="H248:AD248" si="210">H171/EXCHANGE_RATE</f>
        <v>314928.01388888888</v>
      </c>
      <c r="I248" s="355">
        <f t="shared" si="210"/>
        <v>307505.68290155637</v>
      </c>
      <c r="J248" s="356">
        <f t="shared" si="210"/>
        <v>7422.3309873325006</v>
      </c>
      <c r="K248" s="369">
        <f t="shared" si="210"/>
        <v>949.89246666999998</v>
      </c>
      <c r="L248" s="369">
        <f t="shared" si="210"/>
        <v>108.98589676750001</v>
      </c>
      <c r="M248" s="369">
        <f t="shared" si="210"/>
        <v>286</v>
      </c>
      <c r="N248" s="369">
        <f t="shared" si="210"/>
        <v>30.614904850000002</v>
      </c>
      <c r="O248" s="369">
        <f t="shared" si="210"/>
        <v>13.17096332</v>
      </c>
      <c r="P248" s="369">
        <f t="shared" si="210"/>
        <v>4628.8159429449997</v>
      </c>
      <c r="Q248" s="369">
        <f t="shared" si="210"/>
        <v>576.50862932000007</v>
      </c>
      <c r="R248" s="369">
        <f t="shared" si="210"/>
        <v>28.342183459999998</v>
      </c>
      <c r="S248" s="369">
        <f t="shared" si="210"/>
        <v>0</v>
      </c>
      <c r="T248" s="369">
        <f t="shared" si="210"/>
        <v>0</v>
      </c>
      <c r="U248" s="96">
        <f t="shared" si="210"/>
        <v>800</v>
      </c>
      <c r="V248" s="96">
        <f t="shared" si="210"/>
        <v>0</v>
      </c>
      <c r="W248" s="96">
        <f t="shared" si="210"/>
        <v>0</v>
      </c>
      <c r="X248" s="96">
        <f t="shared" si="210"/>
        <v>0</v>
      </c>
      <c r="Y248" s="96">
        <f t="shared" si="210"/>
        <v>0</v>
      </c>
      <c r="Z248" s="96">
        <f t="shared" si="210"/>
        <v>0</v>
      </c>
      <c r="AA248" s="96">
        <f t="shared" si="210"/>
        <v>0</v>
      </c>
      <c r="AB248" s="96">
        <f t="shared" si="210"/>
        <v>0</v>
      </c>
      <c r="AC248" s="96">
        <f t="shared" si="210"/>
        <v>0</v>
      </c>
      <c r="AD248" s="96">
        <f t="shared" si="210"/>
        <v>0</v>
      </c>
    </row>
    <row r="249" spans="5:30" ht="12" x14ac:dyDescent="0.2">
      <c r="E249" s="301"/>
      <c r="F249" s="94" t="str">
        <f>STRAT1_IND5</f>
        <v>Objetivo estratégico 1 Indicador 5</v>
      </c>
      <c r="G249" s="94" t="str">
        <f ca="1">OFFSET(Variables_Lu!$D$10,Basic_Setup!H38,0)</f>
        <v>Governance</v>
      </c>
      <c r="H249" s="354">
        <f t="shared" ref="H249:AD249" si="211">H172/EXCHANGE_RATE</f>
        <v>0</v>
      </c>
      <c r="I249" s="355">
        <f t="shared" si="211"/>
        <v>0</v>
      </c>
      <c r="J249" s="356">
        <f t="shared" si="211"/>
        <v>0</v>
      </c>
      <c r="K249" s="369">
        <f t="shared" si="211"/>
        <v>0</v>
      </c>
      <c r="L249" s="369">
        <f t="shared" si="211"/>
        <v>0</v>
      </c>
      <c r="M249" s="369">
        <f t="shared" si="211"/>
        <v>0</v>
      </c>
      <c r="N249" s="369">
        <f t="shared" si="211"/>
        <v>0</v>
      </c>
      <c r="O249" s="369">
        <f t="shared" si="211"/>
        <v>0</v>
      </c>
      <c r="P249" s="369">
        <f t="shared" si="211"/>
        <v>0</v>
      </c>
      <c r="Q249" s="369">
        <f t="shared" si="211"/>
        <v>0</v>
      </c>
      <c r="R249" s="369">
        <f t="shared" si="211"/>
        <v>0</v>
      </c>
      <c r="S249" s="369">
        <f t="shared" si="211"/>
        <v>0</v>
      </c>
      <c r="T249" s="369">
        <f t="shared" si="211"/>
        <v>0</v>
      </c>
      <c r="U249" s="96">
        <f t="shared" si="211"/>
        <v>0</v>
      </c>
      <c r="V249" s="96">
        <f t="shared" si="211"/>
        <v>0</v>
      </c>
      <c r="W249" s="96">
        <f t="shared" si="211"/>
        <v>0</v>
      </c>
      <c r="X249" s="96">
        <f t="shared" si="211"/>
        <v>0</v>
      </c>
      <c r="Y249" s="96">
        <f t="shared" si="211"/>
        <v>0</v>
      </c>
      <c r="Z249" s="96">
        <f t="shared" si="211"/>
        <v>0</v>
      </c>
      <c r="AA249" s="96">
        <f t="shared" si="211"/>
        <v>0</v>
      </c>
      <c r="AB249" s="96">
        <f t="shared" si="211"/>
        <v>0</v>
      </c>
      <c r="AC249" s="96">
        <f t="shared" si="211"/>
        <v>0</v>
      </c>
      <c r="AD249" s="96">
        <f t="shared" si="211"/>
        <v>0</v>
      </c>
    </row>
    <row r="250" spans="5:30" ht="24" x14ac:dyDescent="0.2">
      <c r="E250" s="301"/>
      <c r="F250" s="338" t="str">
        <f>"Subtotal: "&amp;E244</f>
        <v>Subtotal: Objetivo estratégico 1: Fortalecer la gobernanza de la nutrición</v>
      </c>
      <c r="G250" s="333"/>
      <c r="H250" s="357">
        <f t="shared" ref="H250:AD250" si="212">H173/EXCHANGE_RATE</f>
        <v>1259712.0555555555</v>
      </c>
      <c r="I250" s="358">
        <f t="shared" si="212"/>
        <v>742399.73160622548</v>
      </c>
      <c r="J250" s="358">
        <f t="shared" si="212"/>
        <v>517312.32394933014</v>
      </c>
      <c r="K250" s="370">
        <f t="shared" si="212"/>
        <v>3799.5698666799999</v>
      </c>
      <c r="L250" s="370">
        <f t="shared" si="212"/>
        <v>435.94358707000004</v>
      </c>
      <c r="M250" s="370">
        <f t="shared" si="212"/>
        <v>1144</v>
      </c>
      <c r="N250" s="370">
        <f t="shared" si="212"/>
        <v>122.45961940000001</v>
      </c>
      <c r="O250" s="370">
        <f t="shared" si="212"/>
        <v>52.683853280000001</v>
      </c>
      <c r="P250" s="370">
        <f t="shared" si="212"/>
        <v>18515.263771779999</v>
      </c>
      <c r="Q250" s="370">
        <f t="shared" si="212"/>
        <v>2306.0345172800003</v>
      </c>
      <c r="R250" s="370">
        <f t="shared" si="212"/>
        <v>113.36873383999999</v>
      </c>
      <c r="S250" s="370">
        <f t="shared" si="212"/>
        <v>0</v>
      </c>
      <c r="T250" s="370">
        <f t="shared" si="212"/>
        <v>0</v>
      </c>
      <c r="U250" s="337">
        <f t="shared" si="212"/>
        <v>8000</v>
      </c>
      <c r="V250" s="337">
        <f t="shared" si="212"/>
        <v>5000</v>
      </c>
      <c r="W250" s="337">
        <f t="shared" si="212"/>
        <v>283873</v>
      </c>
      <c r="X250" s="337">
        <f t="shared" si="212"/>
        <v>43950</v>
      </c>
      <c r="Y250" s="337">
        <f t="shared" si="212"/>
        <v>150000</v>
      </c>
      <c r="Z250" s="337">
        <f t="shared" si="212"/>
        <v>0</v>
      </c>
      <c r="AA250" s="337">
        <f t="shared" si="212"/>
        <v>0</v>
      </c>
      <c r="AB250" s="337">
        <f t="shared" si="212"/>
        <v>0</v>
      </c>
      <c r="AC250" s="337">
        <f t="shared" si="212"/>
        <v>0</v>
      </c>
      <c r="AD250" s="337">
        <f t="shared" si="212"/>
        <v>0</v>
      </c>
    </row>
    <row r="251" spans="5:30" ht="12" x14ac:dyDescent="0.2">
      <c r="E251" s="301" t="str">
        <f>Strategy2</f>
        <v>Objetivo estratégico 2: Fortalecer el acceso al tratamiento y a los servicios de salud y nutrición de calidad, así como al tratamiento de todas las formas de malnutrición</v>
      </c>
      <c r="G251" s="94"/>
      <c r="H251" s="363"/>
      <c r="I251" s="364"/>
      <c r="J251" s="356"/>
      <c r="K251" s="369"/>
      <c r="L251" s="369"/>
      <c r="M251" s="369"/>
      <c r="N251" s="369"/>
      <c r="O251" s="369"/>
      <c r="P251" s="369"/>
      <c r="Q251" s="369"/>
      <c r="R251" s="369"/>
      <c r="S251" s="369"/>
      <c r="T251" s="369"/>
      <c r="U251" s="96"/>
      <c r="V251" s="96"/>
      <c r="W251" s="96"/>
      <c r="X251" s="96"/>
      <c r="Y251" s="96"/>
      <c r="Z251" s="96"/>
      <c r="AA251" s="96"/>
      <c r="AB251" s="96"/>
      <c r="AC251" s="96"/>
      <c r="AD251" s="96"/>
    </row>
    <row r="252" spans="5:30" ht="34.200000000000003" x14ac:dyDescent="0.2">
      <c r="E252" s="301"/>
      <c r="F252" s="94" t="str">
        <f>STRAT2_IND1</f>
        <v>Se fortalece el acceso y la utilización sostenible de los servicios de salud y nutrición para los niños menores de 5 años, los adolescentes, las mujeres embarazadas y lactantes, y los demás grupos vulnerables</v>
      </c>
      <c r="G252" s="94" t="str">
        <f ca="1">OFFSET(Variables_Lu!$D$10,Basic_Setup!H40,0)</f>
        <v>Nutrition-specific</v>
      </c>
      <c r="H252" s="354">
        <f t="shared" ref="H252:AD252" si="213">H175/EXCHANGE_RATE</f>
        <v>4022671.8815052779</v>
      </c>
      <c r="I252" s="355">
        <f t="shared" si="213"/>
        <v>-832759.79990773357</v>
      </c>
      <c r="J252" s="356">
        <f t="shared" si="213"/>
        <v>4855431.6814130116</v>
      </c>
      <c r="K252" s="369">
        <f t="shared" si="213"/>
        <v>50265.143027954167</v>
      </c>
      <c r="L252" s="369">
        <f t="shared" si="213"/>
        <v>5767.1703706135422</v>
      </c>
      <c r="M252" s="369">
        <f t="shared" si="213"/>
        <v>15134.166666666666</v>
      </c>
      <c r="N252" s="369">
        <f t="shared" si="213"/>
        <v>1620.0387149791666</v>
      </c>
      <c r="O252" s="369">
        <f t="shared" si="213"/>
        <v>696.96347568333329</v>
      </c>
      <c r="P252" s="369">
        <f t="shared" si="213"/>
        <v>244941.51031417289</v>
      </c>
      <c r="Q252" s="369">
        <f t="shared" si="213"/>
        <v>30506.914968183333</v>
      </c>
      <c r="R252" s="369">
        <f t="shared" si="213"/>
        <v>1499.7738747583332</v>
      </c>
      <c r="S252" s="369">
        <f t="shared" si="213"/>
        <v>0</v>
      </c>
      <c r="T252" s="369">
        <f t="shared" si="213"/>
        <v>0</v>
      </c>
      <c r="U252" s="96">
        <f t="shared" si="213"/>
        <v>3000000</v>
      </c>
      <c r="V252" s="96">
        <f t="shared" si="213"/>
        <v>5000</v>
      </c>
      <c r="W252" s="96">
        <f t="shared" si="213"/>
        <v>0</v>
      </c>
      <c r="X252" s="96">
        <f t="shared" si="213"/>
        <v>0</v>
      </c>
      <c r="Y252" s="96">
        <f t="shared" si="213"/>
        <v>1500000</v>
      </c>
      <c r="Z252" s="96">
        <f t="shared" si="213"/>
        <v>0</v>
      </c>
      <c r="AA252" s="96">
        <f t="shared" si="213"/>
        <v>0</v>
      </c>
      <c r="AB252" s="96">
        <f t="shared" si="213"/>
        <v>0</v>
      </c>
      <c r="AC252" s="96">
        <f t="shared" si="213"/>
        <v>0</v>
      </c>
      <c r="AD252" s="96">
        <f t="shared" si="213"/>
        <v>0</v>
      </c>
    </row>
    <row r="253" spans="5:30" ht="45.6" x14ac:dyDescent="0.2">
      <c r="E253" s="301"/>
      <c r="F253" s="94" t="str">
        <f>STRAT2_IND2</f>
        <v xml:space="preserve">Se reduce la prevalencia de enfermedades relacionadas con la prevalencia de la malnutrición (paludismo, diarrea, neumonía, parásitos intestinales, VIH, TNM) en lactantes, adolescentes y mujeres en edad reproductiva. </v>
      </c>
      <c r="G253" s="94" t="str">
        <f ca="1">OFFSET(Variables_Lu!$D$10,Basic_Setup!H41,0)</f>
        <v>Nutrition-sensitive</v>
      </c>
      <c r="H253" s="354">
        <f t="shared" ref="H253:AD253" si="214">H176/EXCHANGE_RATE</f>
        <v>4022671.8815052779</v>
      </c>
      <c r="I253" s="355">
        <f t="shared" si="214"/>
        <v>339185.70009226637</v>
      </c>
      <c r="J253" s="356">
        <f t="shared" si="214"/>
        <v>3683486.1814130116</v>
      </c>
      <c r="K253" s="369">
        <f t="shared" si="214"/>
        <v>50265.143027954167</v>
      </c>
      <c r="L253" s="369">
        <f t="shared" si="214"/>
        <v>5767.1703706135422</v>
      </c>
      <c r="M253" s="369">
        <f t="shared" si="214"/>
        <v>15134.166666666666</v>
      </c>
      <c r="N253" s="369">
        <f t="shared" si="214"/>
        <v>1620.0387149791666</v>
      </c>
      <c r="O253" s="369">
        <f t="shared" si="214"/>
        <v>696.96347568333329</v>
      </c>
      <c r="P253" s="369">
        <f t="shared" si="214"/>
        <v>244941.51031417289</v>
      </c>
      <c r="Q253" s="369">
        <f t="shared" si="214"/>
        <v>30506.914968183333</v>
      </c>
      <c r="R253" s="369">
        <f t="shared" si="214"/>
        <v>1499.7738747583332</v>
      </c>
      <c r="S253" s="369">
        <f t="shared" si="214"/>
        <v>0</v>
      </c>
      <c r="T253" s="369">
        <f t="shared" si="214"/>
        <v>0</v>
      </c>
      <c r="U253" s="96">
        <f t="shared" si="214"/>
        <v>500000</v>
      </c>
      <c r="V253" s="96">
        <f t="shared" si="214"/>
        <v>10000</v>
      </c>
      <c r="W253" s="96">
        <f t="shared" si="214"/>
        <v>2823054.5</v>
      </c>
      <c r="X253" s="96">
        <f t="shared" si="214"/>
        <v>0</v>
      </c>
      <c r="Y253" s="96">
        <f t="shared" si="214"/>
        <v>0</v>
      </c>
      <c r="Z253" s="96">
        <f t="shared" si="214"/>
        <v>0</v>
      </c>
      <c r="AA253" s="96">
        <f t="shared" si="214"/>
        <v>0</v>
      </c>
      <c r="AB253" s="96">
        <f t="shared" si="214"/>
        <v>0</v>
      </c>
      <c r="AC253" s="96">
        <f t="shared" si="214"/>
        <v>0</v>
      </c>
      <c r="AD253" s="96">
        <f t="shared" si="214"/>
        <v>0</v>
      </c>
    </row>
    <row r="254" spans="5:30" ht="12" x14ac:dyDescent="0.2">
      <c r="E254" s="301"/>
      <c r="F254" s="94" t="str">
        <f>STRAT2_IND3</f>
        <v>Se refuerzan las intervenciones comunitarias en materia de nutrición.</v>
      </c>
      <c r="G254" s="94" t="str">
        <f ca="1">OFFSET(Variables_Lu!$D$10,Basic_Setup!H42,0)</f>
        <v>Nutrition-specific</v>
      </c>
      <c r="H254" s="354">
        <f t="shared" ref="H254:AD254" si="215">H177/EXCHANGE_RATE</f>
        <v>4022671.8815052779</v>
      </c>
      <c r="I254" s="355">
        <f t="shared" si="215"/>
        <v>2372240.2000922663</v>
      </c>
      <c r="J254" s="356">
        <f t="shared" si="215"/>
        <v>1650431.6814130116</v>
      </c>
      <c r="K254" s="369">
        <f t="shared" si="215"/>
        <v>50265.143027954167</v>
      </c>
      <c r="L254" s="369">
        <f t="shared" si="215"/>
        <v>5767.1703706135422</v>
      </c>
      <c r="M254" s="369">
        <f t="shared" si="215"/>
        <v>15134.166666666666</v>
      </c>
      <c r="N254" s="369">
        <f t="shared" si="215"/>
        <v>1620.0387149791666</v>
      </c>
      <c r="O254" s="369">
        <f t="shared" si="215"/>
        <v>696.96347568333329</v>
      </c>
      <c r="P254" s="369">
        <f t="shared" si="215"/>
        <v>244941.51031417289</v>
      </c>
      <c r="Q254" s="369">
        <f t="shared" si="215"/>
        <v>30506.914968183333</v>
      </c>
      <c r="R254" s="369">
        <f t="shared" si="215"/>
        <v>1499.7738747583332</v>
      </c>
      <c r="S254" s="369">
        <f t="shared" si="215"/>
        <v>0</v>
      </c>
      <c r="T254" s="369">
        <f t="shared" si="215"/>
        <v>0</v>
      </c>
      <c r="U254" s="96">
        <f t="shared" si="215"/>
        <v>1300000</v>
      </c>
      <c r="V254" s="96">
        <f t="shared" si="215"/>
        <v>0</v>
      </c>
      <c r="W254" s="96">
        <f t="shared" si="215"/>
        <v>0</v>
      </c>
      <c r="X254" s="96">
        <f t="shared" si="215"/>
        <v>0</v>
      </c>
      <c r="Y254" s="96">
        <f t="shared" si="215"/>
        <v>0</v>
      </c>
      <c r="Z254" s="96">
        <f t="shared" si="215"/>
        <v>0</v>
      </c>
      <c r="AA254" s="96">
        <f t="shared" si="215"/>
        <v>0</v>
      </c>
      <c r="AB254" s="96">
        <f t="shared" si="215"/>
        <v>0</v>
      </c>
      <c r="AC254" s="96">
        <f t="shared" si="215"/>
        <v>0</v>
      </c>
      <c r="AD254" s="96">
        <f t="shared" si="215"/>
        <v>0</v>
      </c>
    </row>
    <row r="255" spans="5:30" ht="12" x14ac:dyDescent="0.2">
      <c r="E255" s="301"/>
      <c r="F255" s="94" t="str">
        <f>STRAT2_IND4</f>
        <v>Objetivo estratégico 2 Indicador 4</v>
      </c>
      <c r="G255" s="94" t="str">
        <f ca="1">OFFSET(Variables_Lu!$D$10,Basic_Setup!H43,0)</f>
        <v>Nutrition-specific</v>
      </c>
      <c r="H255" s="354">
        <f t="shared" ref="H255:AD255" si="216">H178/EXCHANGE_RATE</f>
        <v>0</v>
      </c>
      <c r="I255" s="355">
        <f t="shared" si="216"/>
        <v>0</v>
      </c>
      <c r="J255" s="356">
        <f t="shared" si="216"/>
        <v>0</v>
      </c>
      <c r="K255" s="369">
        <f t="shared" si="216"/>
        <v>0</v>
      </c>
      <c r="L255" s="369">
        <f t="shared" si="216"/>
        <v>0</v>
      </c>
      <c r="M255" s="369">
        <f t="shared" si="216"/>
        <v>0</v>
      </c>
      <c r="N255" s="369">
        <f t="shared" si="216"/>
        <v>0</v>
      </c>
      <c r="O255" s="369">
        <f t="shared" si="216"/>
        <v>0</v>
      </c>
      <c r="P255" s="369">
        <f t="shared" si="216"/>
        <v>0</v>
      </c>
      <c r="Q255" s="369">
        <f t="shared" si="216"/>
        <v>0</v>
      </c>
      <c r="R255" s="369">
        <f t="shared" si="216"/>
        <v>0</v>
      </c>
      <c r="S255" s="369">
        <f t="shared" si="216"/>
        <v>0</v>
      </c>
      <c r="T255" s="369">
        <f t="shared" si="216"/>
        <v>0</v>
      </c>
      <c r="U255" s="96">
        <f t="shared" si="216"/>
        <v>0</v>
      </c>
      <c r="V255" s="96">
        <f t="shared" si="216"/>
        <v>0</v>
      </c>
      <c r="W255" s="96">
        <f t="shared" si="216"/>
        <v>0</v>
      </c>
      <c r="X255" s="96">
        <f t="shared" si="216"/>
        <v>0</v>
      </c>
      <c r="Y255" s="96">
        <f t="shared" si="216"/>
        <v>0</v>
      </c>
      <c r="Z255" s="96">
        <f t="shared" si="216"/>
        <v>0</v>
      </c>
      <c r="AA255" s="96">
        <f t="shared" si="216"/>
        <v>0</v>
      </c>
      <c r="AB255" s="96">
        <f t="shared" si="216"/>
        <v>0</v>
      </c>
      <c r="AC255" s="96">
        <f t="shared" si="216"/>
        <v>0</v>
      </c>
      <c r="AD255" s="96">
        <f t="shared" si="216"/>
        <v>0</v>
      </c>
    </row>
    <row r="256" spans="5:30" ht="12" x14ac:dyDescent="0.2">
      <c r="E256" s="301"/>
      <c r="F256" s="94" t="str">
        <f>STRAT2_IND5</f>
        <v>Objetivo estratégico 2 Indicador 5</v>
      </c>
      <c r="G256" s="94" t="str">
        <f ca="1">OFFSET(Variables_Lu!$D$10,Basic_Setup!H44,0)</f>
        <v>Nutrition-specific</v>
      </c>
      <c r="H256" s="354">
        <f t="shared" ref="H256:AD256" si="217">H179/EXCHANGE_RATE</f>
        <v>0</v>
      </c>
      <c r="I256" s="355">
        <f t="shared" si="217"/>
        <v>0</v>
      </c>
      <c r="J256" s="356">
        <f t="shared" si="217"/>
        <v>0</v>
      </c>
      <c r="K256" s="369">
        <f t="shared" si="217"/>
        <v>0</v>
      </c>
      <c r="L256" s="369">
        <f t="shared" si="217"/>
        <v>0</v>
      </c>
      <c r="M256" s="369">
        <f t="shared" si="217"/>
        <v>0</v>
      </c>
      <c r="N256" s="369">
        <f t="shared" si="217"/>
        <v>0</v>
      </c>
      <c r="O256" s="369">
        <f t="shared" si="217"/>
        <v>0</v>
      </c>
      <c r="P256" s="369">
        <f t="shared" si="217"/>
        <v>0</v>
      </c>
      <c r="Q256" s="369">
        <f t="shared" si="217"/>
        <v>0</v>
      </c>
      <c r="R256" s="369">
        <f t="shared" si="217"/>
        <v>0</v>
      </c>
      <c r="S256" s="369">
        <f t="shared" si="217"/>
        <v>0</v>
      </c>
      <c r="T256" s="369">
        <f t="shared" si="217"/>
        <v>0</v>
      </c>
      <c r="U256" s="96">
        <f t="shared" si="217"/>
        <v>0</v>
      </c>
      <c r="V256" s="96">
        <f t="shared" si="217"/>
        <v>0</v>
      </c>
      <c r="W256" s="96">
        <f t="shared" si="217"/>
        <v>0</v>
      </c>
      <c r="X256" s="96">
        <f t="shared" si="217"/>
        <v>0</v>
      </c>
      <c r="Y256" s="96">
        <f t="shared" si="217"/>
        <v>0</v>
      </c>
      <c r="Z256" s="96">
        <f t="shared" si="217"/>
        <v>0</v>
      </c>
      <c r="AA256" s="96">
        <f t="shared" si="217"/>
        <v>0</v>
      </c>
      <c r="AB256" s="96">
        <f t="shared" si="217"/>
        <v>0</v>
      </c>
      <c r="AC256" s="96">
        <f t="shared" si="217"/>
        <v>0</v>
      </c>
      <c r="AD256" s="96">
        <f t="shared" si="217"/>
        <v>0</v>
      </c>
    </row>
    <row r="257" spans="5:30" ht="30.75" customHeight="1" x14ac:dyDescent="0.2">
      <c r="E257" s="301"/>
      <c r="F257" s="338" t="str">
        <f>"Subtotal: "&amp;E251</f>
        <v>Subtotal: Objetivo estratégico 2: Fortalecer el acceso al tratamiento y a los servicios de salud y nutrición de calidad, así como al tratamiento de todas las formas de malnutrición</v>
      </c>
      <c r="G257" s="333"/>
      <c r="H257" s="357">
        <f t="shared" ref="H257:AD257" si="218">H180/EXCHANGE_RATE</f>
        <v>12068015.644515835</v>
      </c>
      <c r="I257" s="358">
        <f t="shared" si="218"/>
        <v>1878666.1002767992</v>
      </c>
      <c r="J257" s="358">
        <f t="shared" si="218"/>
        <v>10189349.544239035</v>
      </c>
      <c r="K257" s="370">
        <f t="shared" si="218"/>
        <v>150795.42908386252</v>
      </c>
      <c r="L257" s="370">
        <f t="shared" si="218"/>
        <v>17301.511111840628</v>
      </c>
      <c r="M257" s="370">
        <f t="shared" si="218"/>
        <v>45402.5</v>
      </c>
      <c r="N257" s="370">
        <f t="shared" si="218"/>
        <v>4860.1161449374995</v>
      </c>
      <c r="O257" s="370">
        <f t="shared" si="218"/>
        <v>2090.8904270499997</v>
      </c>
      <c r="P257" s="370">
        <f t="shared" si="218"/>
        <v>734824.53094251873</v>
      </c>
      <c r="Q257" s="370">
        <f t="shared" si="218"/>
        <v>91520.744904549996</v>
      </c>
      <c r="R257" s="370">
        <f t="shared" si="218"/>
        <v>4499.3216242749995</v>
      </c>
      <c r="S257" s="370">
        <f t="shared" si="218"/>
        <v>0</v>
      </c>
      <c r="T257" s="370">
        <f t="shared" si="218"/>
        <v>0</v>
      </c>
      <c r="U257" s="337">
        <f t="shared" si="218"/>
        <v>4800000</v>
      </c>
      <c r="V257" s="337">
        <f t="shared" si="218"/>
        <v>15000</v>
      </c>
      <c r="W257" s="337">
        <f t="shared" si="218"/>
        <v>2823054.5</v>
      </c>
      <c r="X257" s="337">
        <f t="shared" si="218"/>
        <v>0</v>
      </c>
      <c r="Y257" s="337">
        <f t="shared" si="218"/>
        <v>1500000</v>
      </c>
      <c r="Z257" s="337">
        <f t="shared" si="218"/>
        <v>0</v>
      </c>
      <c r="AA257" s="337">
        <f t="shared" si="218"/>
        <v>0</v>
      </c>
      <c r="AB257" s="337">
        <f t="shared" si="218"/>
        <v>0</v>
      </c>
      <c r="AC257" s="337">
        <f t="shared" si="218"/>
        <v>0</v>
      </c>
      <c r="AD257" s="337">
        <f t="shared" si="218"/>
        <v>0</v>
      </c>
    </row>
    <row r="258" spans="5:30" ht="12" x14ac:dyDescent="0.2">
      <c r="E258" s="301" t="str">
        <f>Strategy3</f>
        <v>Objetivo estratégico 3: Aumentar la disponibilidad y el acceso a alimentos nutritivos de alto valor, seguros y diversificados</v>
      </c>
      <c r="G258" s="94"/>
      <c r="H258" s="363"/>
      <c r="I258" s="364"/>
      <c r="J258" s="356"/>
      <c r="K258" s="369"/>
      <c r="L258" s="369"/>
      <c r="M258" s="369"/>
      <c r="N258" s="369"/>
      <c r="O258" s="369"/>
      <c r="P258" s="369"/>
      <c r="Q258" s="369"/>
      <c r="R258" s="369"/>
      <c r="S258" s="369"/>
      <c r="T258" s="369"/>
      <c r="U258" s="96"/>
      <c r="V258" s="96"/>
      <c r="W258" s="96"/>
      <c r="X258" s="96"/>
      <c r="Y258" s="96"/>
      <c r="Z258" s="96"/>
      <c r="AA258" s="96"/>
      <c r="AB258" s="96"/>
      <c r="AC258" s="96"/>
      <c r="AD258" s="96"/>
    </row>
    <row r="259" spans="5:30" ht="22.8" x14ac:dyDescent="0.2">
      <c r="F259" s="94" t="str">
        <f>STRAT3_IND1</f>
        <v xml:space="preserve">Aumenta la disponibilidad y el acceso a alimentos de alto valor nutritivo en los hogares. </v>
      </c>
      <c r="G259" s="94" t="str">
        <f ca="1">OFFSET(Variables_Lu!$D$10,Basic_Setup!H46,0)</f>
        <v>Nutrition-specific</v>
      </c>
      <c r="H259" s="354">
        <f t="shared" ref="H259:AD259" si="219">H182/EXCHANGE_RATE</f>
        <v>23743902.926180195</v>
      </c>
      <c r="I259" s="355">
        <f t="shared" si="219"/>
        <v>-377870.68914311728</v>
      </c>
      <c r="J259" s="356">
        <f t="shared" si="219"/>
        <v>24121773.615323313</v>
      </c>
      <c r="K259" s="369">
        <f t="shared" si="219"/>
        <v>594395.21101875254</v>
      </c>
      <c r="L259" s="369">
        <f t="shared" si="219"/>
        <v>68197.924902263141</v>
      </c>
      <c r="M259" s="369">
        <f t="shared" si="219"/>
        <v>178964.5</v>
      </c>
      <c r="N259" s="369">
        <f t="shared" si="219"/>
        <v>19157.276709887501</v>
      </c>
      <c r="O259" s="369">
        <f t="shared" si="219"/>
        <v>8241.7302974899994</v>
      </c>
      <c r="P259" s="369">
        <f t="shared" si="219"/>
        <v>2896481.5762978336</v>
      </c>
      <c r="Q259" s="369">
        <f t="shared" si="219"/>
        <v>360750.27479699004</v>
      </c>
      <c r="R259" s="369">
        <f t="shared" si="219"/>
        <v>17735.121300095001</v>
      </c>
      <c r="S259" s="369">
        <f t="shared" si="219"/>
        <v>0</v>
      </c>
      <c r="T259" s="369">
        <f t="shared" si="219"/>
        <v>0</v>
      </c>
      <c r="U259" s="96">
        <f t="shared" si="219"/>
        <v>0</v>
      </c>
      <c r="V259" s="96">
        <f t="shared" si="219"/>
        <v>0</v>
      </c>
      <c r="W259" s="96">
        <f t="shared" si="219"/>
        <v>18035400</v>
      </c>
      <c r="X259" s="96">
        <f t="shared" si="219"/>
        <v>1317450</v>
      </c>
      <c r="Y259" s="96">
        <f t="shared" si="219"/>
        <v>625000</v>
      </c>
      <c r="Z259" s="96">
        <f t="shared" si="219"/>
        <v>0</v>
      </c>
      <c r="AA259" s="96">
        <f t="shared" si="219"/>
        <v>0</v>
      </c>
      <c r="AB259" s="96">
        <f t="shared" si="219"/>
        <v>0</v>
      </c>
      <c r="AC259" s="96">
        <f t="shared" si="219"/>
        <v>0</v>
      </c>
      <c r="AD259" s="96">
        <f t="shared" si="219"/>
        <v>0</v>
      </c>
    </row>
    <row r="260" spans="5:30" ht="12" x14ac:dyDescent="0.2">
      <c r="E260" s="301"/>
      <c r="F260" s="94" t="str">
        <f>STRAT3_IND2</f>
        <v xml:space="preserve"> La seguridad alimentaria está garantizada para toda la nación.</v>
      </c>
      <c r="G260" s="94" t="str">
        <f ca="1">OFFSET(Variables_Lu!$D$10,Basic_Setup!H47,0)</f>
        <v>Nutrition-sensitive</v>
      </c>
      <c r="H260" s="354">
        <f t="shared" ref="H260:AD260" si="220">H183/EXCHANGE_RATE</f>
        <v>23743902.926180195</v>
      </c>
      <c r="I260" s="355">
        <f t="shared" si="220"/>
        <v>19599979.310856882</v>
      </c>
      <c r="J260" s="356">
        <f t="shared" si="220"/>
        <v>4143923.6153233121</v>
      </c>
      <c r="K260" s="369">
        <f t="shared" si="220"/>
        <v>594395.21101875254</v>
      </c>
      <c r="L260" s="369">
        <f t="shared" si="220"/>
        <v>68197.924902263141</v>
      </c>
      <c r="M260" s="369">
        <f t="shared" si="220"/>
        <v>178964.5</v>
      </c>
      <c r="N260" s="369">
        <f t="shared" si="220"/>
        <v>19157.276709887501</v>
      </c>
      <c r="O260" s="369">
        <f t="shared" si="220"/>
        <v>8241.7302974899994</v>
      </c>
      <c r="P260" s="369">
        <f t="shared" si="220"/>
        <v>2896481.5762978336</v>
      </c>
      <c r="Q260" s="369">
        <f t="shared" si="220"/>
        <v>360750.27479699004</v>
      </c>
      <c r="R260" s="369">
        <f t="shared" si="220"/>
        <v>17735.121300095001</v>
      </c>
      <c r="S260" s="369">
        <f t="shared" si="220"/>
        <v>0</v>
      </c>
      <c r="T260" s="369">
        <f t="shared" si="220"/>
        <v>0</v>
      </c>
      <c r="U260" s="96">
        <f t="shared" si="220"/>
        <v>0</v>
      </c>
      <c r="V260" s="96">
        <f t="shared" si="220"/>
        <v>0</v>
      </c>
      <c r="W260" s="96">
        <f t="shared" si="220"/>
        <v>0</v>
      </c>
      <c r="X260" s="96">
        <f t="shared" si="220"/>
        <v>0</v>
      </c>
      <c r="Y260" s="96">
        <f t="shared" si="220"/>
        <v>0</v>
      </c>
      <c r="Z260" s="96">
        <f t="shared" si="220"/>
        <v>0</v>
      </c>
      <c r="AA260" s="96">
        <f t="shared" si="220"/>
        <v>0</v>
      </c>
      <c r="AB260" s="96">
        <f t="shared" si="220"/>
        <v>0</v>
      </c>
      <c r="AC260" s="96">
        <f t="shared" si="220"/>
        <v>0</v>
      </c>
      <c r="AD260" s="96">
        <f t="shared" si="220"/>
        <v>0</v>
      </c>
    </row>
    <row r="261" spans="5:30" ht="12" x14ac:dyDescent="0.2">
      <c r="E261" s="301"/>
      <c r="F261" s="94" t="str">
        <f>STRAT3_IND3</f>
        <v>Objetivo estratégico 3 Indicador 3</v>
      </c>
      <c r="G261" s="94" t="str">
        <f ca="1">OFFSET(Variables_Lu!$D$10,Basic_Setup!H48,0)</f>
        <v>Nutrition-specific</v>
      </c>
      <c r="H261" s="354">
        <f t="shared" ref="H261:AD261" si="221">H184/EXCHANGE_RATE</f>
        <v>0</v>
      </c>
      <c r="I261" s="355">
        <f t="shared" si="221"/>
        <v>0</v>
      </c>
      <c r="J261" s="356">
        <f t="shared" si="221"/>
        <v>0</v>
      </c>
      <c r="K261" s="369">
        <f t="shared" si="221"/>
        <v>0</v>
      </c>
      <c r="L261" s="369">
        <f t="shared" si="221"/>
        <v>0</v>
      </c>
      <c r="M261" s="369">
        <f t="shared" si="221"/>
        <v>0</v>
      </c>
      <c r="N261" s="369">
        <f t="shared" si="221"/>
        <v>0</v>
      </c>
      <c r="O261" s="369">
        <f t="shared" si="221"/>
        <v>0</v>
      </c>
      <c r="P261" s="369">
        <f t="shared" si="221"/>
        <v>0</v>
      </c>
      <c r="Q261" s="369">
        <f t="shared" si="221"/>
        <v>0</v>
      </c>
      <c r="R261" s="369">
        <f t="shared" si="221"/>
        <v>0</v>
      </c>
      <c r="S261" s="369">
        <f t="shared" si="221"/>
        <v>0</v>
      </c>
      <c r="T261" s="369">
        <f t="shared" si="221"/>
        <v>0</v>
      </c>
      <c r="U261" s="96">
        <f t="shared" si="221"/>
        <v>0</v>
      </c>
      <c r="V261" s="96">
        <f t="shared" si="221"/>
        <v>0</v>
      </c>
      <c r="W261" s="96">
        <f t="shared" si="221"/>
        <v>0</v>
      </c>
      <c r="X261" s="96">
        <f t="shared" si="221"/>
        <v>0</v>
      </c>
      <c r="Y261" s="96">
        <f t="shared" si="221"/>
        <v>0</v>
      </c>
      <c r="Z261" s="96">
        <f t="shared" si="221"/>
        <v>0</v>
      </c>
      <c r="AA261" s="96">
        <f t="shared" si="221"/>
        <v>0</v>
      </c>
      <c r="AB261" s="96">
        <f t="shared" si="221"/>
        <v>0</v>
      </c>
      <c r="AC261" s="96">
        <f t="shared" si="221"/>
        <v>0</v>
      </c>
      <c r="AD261" s="96">
        <f t="shared" si="221"/>
        <v>0</v>
      </c>
    </row>
    <row r="262" spans="5:30" ht="12" x14ac:dyDescent="0.2">
      <c r="E262" s="301"/>
      <c r="F262" s="94" t="str">
        <f>STRAT3_IND4</f>
        <v>Objetivo estratégico 3 Indicador 4</v>
      </c>
      <c r="G262" s="94" t="str">
        <f ca="1">OFFSET(Variables_Lu!$D$10,Basic_Setup!H49,0)</f>
        <v>Nutrition-specific</v>
      </c>
      <c r="H262" s="354">
        <f t="shared" ref="H262:AD262" si="222">H185/EXCHANGE_RATE</f>
        <v>0</v>
      </c>
      <c r="I262" s="355">
        <f t="shared" si="222"/>
        <v>0</v>
      </c>
      <c r="J262" s="356">
        <f t="shared" si="222"/>
        <v>0</v>
      </c>
      <c r="K262" s="369">
        <f t="shared" si="222"/>
        <v>0</v>
      </c>
      <c r="L262" s="369">
        <f t="shared" si="222"/>
        <v>0</v>
      </c>
      <c r="M262" s="369">
        <f t="shared" si="222"/>
        <v>0</v>
      </c>
      <c r="N262" s="369">
        <f t="shared" si="222"/>
        <v>0</v>
      </c>
      <c r="O262" s="369">
        <f t="shared" si="222"/>
        <v>0</v>
      </c>
      <c r="P262" s="369">
        <f t="shared" si="222"/>
        <v>0</v>
      </c>
      <c r="Q262" s="369">
        <f t="shared" si="222"/>
        <v>0</v>
      </c>
      <c r="R262" s="369">
        <f t="shared" si="222"/>
        <v>0</v>
      </c>
      <c r="S262" s="369">
        <f t="shared" si="222"/>
        <v>0</v>
      </c>
      <c r="T262" s="369">
        <f t="shared" si="222"/>
        <v>0</v>
      </c>
      <c r="U262" s="96">
        <f t="shared" si="222"/>
        <v>0</v>
      </c>
      <c r="V262" s="96">
        <f t="shared" si="222"/>
        <v>0</v>
      </c>
      <c r="W262" s="96">
        <f t="shared" si="222"/>
        <v>0</v>
      </c>
      <c r="X262" s="96">
        <f t="shared" si="222"/>
        <v>0</v>
      </c>
      <c r="Y262" s="96">
        <f t="shared" si="222"/>
        <v>0</v>
      </c>
      <c r="Z262" s="96">
        <f t="shared" si="222"/>
        <v>0</v>
      </c>
      <c r="AA262" s="96">
        <f t="shared" si="222"/>
        <v>0</v>
      </c>
      <c r="AB262" s="96">
        <f t="shared" si="222"/>
        <v>0</v>
      </c>
      <c r="AC262" s="96">
        <f t="shared" si="222"/>
        <v>0</v>
      </c>
      <c r="AD262" s="96">
        <f t="shared" si="222"/>
        <v>0</v>
      </c>
    </row>
    <row r="263" spans="5:30" ht="12" x14ac:dyDescent="0.2">
      <c r="E263" s="301"/>
      <c r="F263" s="94" t="str">
        <f>STRAT3_IND5</f>
        <v>Objetivo estratégico 3 Indicador 5</v>
      </c>
      <c r="G263" s="94" t="str">
        <f ca="1">OFFSET(Variables_Lu!$D$10,Basic_Setup!H50,0)</f>
        <v>Nutrition-specific</v>
      </c>
      <c r="H263" s="354">
        <f t="shared" ref="H263:AD263" si="223">H186/EXCHANGE_RATE</f>
        <v>0</v>
      </c>
      <c r="I263" s="355">
        <f t="shared" si="223"/>
        <v>0</v>
      </c>
      <c r="J263" s="356">
        <f t="shared" si="223"/>
        <v>0</v>
      </c>
      <c r="K263" s="369">
        <f t="shared" si="223"/>
        <v>0</v>
      </c>
      <c r="L263" s="369">
        <f t="shared" si="223"/>
        <v>0</v>
      </c>
      <c r="M263" s="369">
        <f t="shared" si="223"/>
        <v>0</v>
      </c>
      <c r="N263" s="369">
        <f t="shared" si="223"/>
        <v>0</v>
      </c>
      <c r="O263" s="369">
        <f t="shared" si="223"/>
        <v>0</v>
      </c>
      <c r="P263" s="369">
        <f t="shared" si="223"/>
        <v>0</v>
      </c>
      <c r="Q263" s="369">
        <f t="shared" si="223"/>
        <v>0</v>
      </c>
      <c r="R263" s="369">
        <f t="shared" si="223"/>
        <v>0</v>
      </c>
      <c r="S263" s="369">
        <f t="shared" si="223"/>
        <v>0</v>
      </c>
      <c r="T263" s="369">
        <f t="shared" si="223"/>
        <v>0</v>
      </c>
      <c r="U263" s="96">
        <f t="shared" si="223"/>
        <v>0</v>
      </c>
      <c r="V263" s="96">
        <f t="shared" si="223"/>
        <v>0</v>
      </c>
      <c r="W263" s="96">
        <f t="shared" si="223"/>
        <v>0</v>
      </c>
      <c r="X263" s="96">
        <f t="shared" si="223"/>
        <v>0</v>
      </c>
      <c r="Y263" s="96">
        <f t="shared" si="223"/>
        <v>0</v>
      </c>
      <c r="Z263" s="96">
        <f t="shared" si="223"/>
        <v>0</v>
      </c>
      <c r="AA263" s="96">
        <f t="shared" si="223"/>
        <v>0</v>
      </c>
      <c r="AB263" s="96">
        <f t="shared" si="223"/>
        <v>0</v>
      </c>
      <c r="AC263" s="96">
        <f t="shared" si="223"/>
        <v>0</v>
      </c>
      <c r="AD263" s="96">
        <f t="shared" si="223"/>
        <v>0</v>
      </c>
    </row>
    <row r="264" spans="5:30" ht="36" x14ac:dyDescent="0.2">
      <c r="E264" s="301"/>
      <c r="F264" s="338" t="str">
        <f>"Subtotal: "&amp;E258</f>
        <v>Subtotal: Objetivo estratégico 3: Aumentar la disponibilidad y el acceso a alimentos nutritivos de alto valor, seguros y diversificados</v>
      </c>
      <c r="G264" s="333"/>
      <c r="H264" s="357">
        <f t="shared" ref="H264:AD264" si="224">H187/EXCHANGE_RATE</f>
        <v>47487805.85236039</v>
      </c>
      <c r="I264" s="358">
        <f t="shared" si="224"/>
        <v>19222108.621713765</v>
      </c>
      <c r="J264" s="358">
        <f t="shared" si="224"/>
        <v>28265697.230646625</v>
      </c>
      <c r="K264" s="370">
        <f t="shared" si="224"/>
        <v>1188790.4220375051</v>
      </c>
      <c r="L264" s="370">
        <f t="shared" si="224"/>
        <v>136395.84980452628</v>
      </c>
      <c r="M264" s="370">
        <f t="shared" si="224"/>
        <v>357929</v>
      </c>
      <c r="N264" s="370">
        <f t="shared" si="224"/>
        <v>38314.553419775002</v>
      </c>
      <c r="O264" s="370">
        <f t="shared" si="224"/>
        <v>16483.460594979999</v>
      </c>
      <c r="P264" s="370">
        <f t="shared" si="224"/>
        <v>5792963.1525956672</v>
      </c>
      <c r="Q264" s="370">
        <f t="shared" si="224"/>
        <v>721500.54959398007</v>
      </c>
      <c r="R264" s="370">
        <f t="shared" si="224"/>
        <v>35470.242600190002</v>
      </c>
      <c r="S264" s="370">
        <f t="shared" si="224"/>
        <v>0</v>
      </c>
      <c r="T264" s="370">
        <f t="shared" si="224"/>
        <v>0</v>
      </c>
      <c r="U264" s="337">
        <f t="shared" si="224"/>
        <v>0</v>
      </c>
      <c r="V264" s="337">
        <f t="shared" si="224"/>
        <v>0</v>
      </c>
      <c r="W264" s="337">
        <f t="shared" si="224"/>
        <v>18035400</v>
      </c>
      <c r="X264" s="337">
        <f t="shared" si="224"/>
        <v>1317450</v>
      </c>
      <c r="Y264" s="337">
        <f t="shared" si="224"/>
        <v>625000</v>
      </c>
      <c r="Z264" s="337">
        <f t="shared" si="224"/>
        <v>0</v>
      </c>
      <c r="AA264" s="337">
        <f t="shared" si="224"/>
        <v>0</v>
      </c>
      <c r="AB264" s="337">
        <f t="shared" si="224"/>
        <v>0</v>
      </c>
      <c r="AC264" s="337">
        <f t="shared" si="224"/>
        <v>0</v>
      </c>
      <c r="AD264" s="337">
        <f t="shared" si="224"/>
        <v>0</v>
      </c>
    </row>
    <row r="265" spans="5:30" ht="12" x14ac:dyDescent="0.2">
      <c r="E265" s="301" t="str">
        <f>Strategy4</f>
        <v>Objetivo estratégico 4: Fortalecer la protección social, la resiliencia de la respuesta a las emergencias y los desastres naturales.</v>
      </c>
      <c r="G265" s="94"/>
      <c r="H265" s="363"/>
      <c r="I265" s="364"/>
      <c r="J265" s="356"/>
      <c r="K265" s="369"/>
      <c r="L265" s="369"/>
      <c r="M265" s="369"/>
      <c r="N265" s="369"/>
      <c r="O265" s="369"/>
      <c r="P265" s="369"/>
      <c r="Q265" s="369"/>
      <c r="R265" s="369"/>
      <c r="S265" s="369"/>
      <c r="T265" s="369"/>
      <c r="U265" s="96"/>
      <c r="V265" s="96"/>
      <c r="W265" s="96"/>
      <c r="X265" s="96"/>
      <c r="Y265" s="96"/>
      <c r="Z265" s="96"/>
      <c r="AA265" s="96"/>
      <c r="AB265" s="96"/>
      <c r="AC265" s="96"/>
      <c r="AD265" s="96"/>
    </row>
    <row r="266" spans="5:30" ht="22.8" x14ac:dyDescent="0.2">
      <c r="F266" s="94" t="str">
        <f>STRAT4_IND1</f>
        <v xml:space="preserve">Se garantiza la protección social de los niños menores de 5 años, los adolescentes, FE/FA y otros grupos vulnerables. </v>
      </c>
      <c r="G266" s="94" t="str">
        <f ca="1">OFFSET(Variables_Lu!$D$10,Basic_Setup!H52,0)</f>
        <v>Nutrition-sensitive</v>
      </c>
      <c r="H266" s="354">
        <f t="shared" ref="H266:AD266" si="225">H189/EXCHANGE_RATE</f>
        <v>7205268.8506715558</v>
      </c>
      <c r="I266" s="355">
        <f t="shared" si="225"/>
        <v>849475.26038368326</v>
      </c>
      <c r="J266" s="356">
        <f t="shared" si="225"/>
        <v>6355793.5902878726</v>
      </c>
      <c r="K266" s="369">
        <f t="shared" si="225"/>
        <v>334599.62138450751</v>
      </c>
      <c r="L266" s="369">
        <f t="shared" si="225"/>
        <v>38390.282136351881</v>
      </c>
      <c r="M266" s="369">
        <f t="shared" si="225"/>
        <v>100743.5</v>
      </c>
      <c r="N266" s="369">
        <f t="shared" si="225"/>
        <v>10784.100233412499</v>
      </c>
      <c r="O266" s="369">
        <f t="shared" si="225"/>
        <v>4639.4718294700006</v>
      </c>
      <c r="P266" s="369">
        <f t="shared" si="225"/>
        <v>1630500.4159023762</v>
      </c>
      <c r="Q266" s="369">
        <f t="shared" si="225"/>
        <v>203075.16467797002</v>
      </c>
      <c r="R266" s="369">
        <f t="shared" si="225"/>
        <v>9983.5341237850007</v>
      </c>
      <c r="S266" s="369">
        <f t="shared" si="225"/>
        <v>0</v>
      </c>
      <c r="T266" s="369">
        <f t="shared" si="225"/>
        <v>0</v>
      </c>
      <c r="U266" s="96">
        <f t="shared" si="225"/>
        <v>40000</v>
      </c>
      <c r="V266" s="96">
        <f t="shared" si="225"/>
        <v>0</v>
      </c>
      <c r="W266" s="96">
        <f t="shared" si="225"/>
        <v>3483077.5</v>
      </c>
      <c r="X266" s="96">
        <f t="shared" si="225"/>
        <v>0</v>
      </c>
      <c r="Y266" s="96">
        <f t="shared" si="225"/>
        <v>500000</v>
      </c>
      <c r="Z266" s="96">
        <f t="shared" si="225"/>
        <v>0</v>
      </c>
      <c r="AA266" s="96">
        <f t="shared" si="225"/>
        <v>0</v>
      </c>
      <c r="AB266" s="96">
        <f t="shared" si="225"/>
        <v>0</v>
      </c>
      <c r="AC266" s="96">
        <f t="shared" si="225"/>
        <v>0</v>
      </c>
      <c r="AD266" s="96">
        <f t="shared" si="225"/>
        <v>0</v>
      </c>
    </row>
    <row r="267" spans="5:30" ht="34.200000000000003" x14ac:dyDescent="0.2">
      <c r="E267" s="301"/>
      <c r="F267" s="94" t="str">
        <f>STRAT4_IND2</f>
        <v xml:space="preserve">Se fortalece la capacidad de resiliencia y el estado nutricional de las poblaciones vulnerables, incluidos los niños de las zonas desfavorecidas.  </v>
      </c>
      <c r="G267" s="94" t="str">
        <f ca="1">OFFSET(Variables_Lu!$D$10,Basic_Setup!H53,0)</f>
        <v>Nutrition-specific</v>
      </c>
      <c r="H267" s="354">
        <f t="shared" ref="H267:AD267" si="226">H190/EXCHANGE_RATE</f>
        <v>7205268.8506715558</v>
      </c>
      <c r="I267" s="355">
        <f t="shared" si="226"/>
        <v>4745152.7603836833</v>
      </c>
      <c r="J267" s="356">
        <f t="shared" si="226"/>
        <v>2460116.0902878731</v>
      </c>
      <c r="K267" s="369">
        <f t="shared" si="226"/>
        <v>334599.62138450751</v>
      </c>
      <c r="L267" s="369">
        <f t="shared" si="226"/>
        <v>38390.282136351881</v>
      </c>
      <c r="M267" s="369">
        <f t="shared" si="226"/>
        <v>100743.5</v>
      </c>
      <c r="N267" s="369">
        <f t="shared" si="226"/>
        <v>10784.100233412499</v>
      </c>
      <c r="O267" s="369">
        <f t="shared" si="226"/>
        <v>4639.4718294700006</v>
      </c>
      <c r="P267" s="369">
        <f t="shared" si="226"/>
        <v>1630500.4159023762</v>
      </c>
      <c r="Q267" s="369">
        <f t="shared" si="226"/>
        <v>203075.16467797002</v>
      </c>
      <c r="R267" s="369">
        <f t="shared" si="226"/>
        <v>9983.5341237850007</v>
      </c>
      <c r="S267" s="369">
        <f t="shared" si="226"/>
        <v>0</v>
      </c>
      <c r="T267" s="369">
        <f t="shared" si="226"/>
        <v>0</v>
      </c>
      <c r="U267" s="96">
        <f t="shared" si="226"/>
        <v>40000</v>
      </c>
      <c r="V267" s="96">
        <f t="shared" si="226"/>
        <v>0</v>
      </c>
      <c r="W267" s="96">
        <f t="shared" si="226"/>
        <v>0</v>
      </c>
      <c r="X267" s="96">
        <f t="shared" si="226"/>
        <v>37400</v>
      </c>
      <c r="Y267" s="96">
        <f t="shared" si="226"/>
        <v>50000</v>
      </c>
      <c r="Z267" s="96">
        <f t="shared" si="226"/>
        <v>0</v>
      </c>
      <c r="AA267" s="96">
        <f t="shared" si="226"/>
        <v>0</v>
      </c>
      <c r="AB267" s="96">
        <f t="shared" si="226"/>
        <v>0</v>
      </c>
      <c r="AC267" s="96">
        <f t="shared" si="226"/>
        <v>0</v>
      </c>
      <c r="AD267" s="96">
        <f t="shared" si="226"/>
        <v>0</v>
      </c>
    </row>
    <row r="268" spans="5:30" ht="22.8" x14ac:dyDescent="0.2">
      <c r="E268" s="301"/>
      <c r="F268" s="94" t="str">
        <f>STRAT4_IND3</f>
        <v xml:space="preserve"> Se introducen eficazmente intervenciones para emergencias y catástrofes naturales integrales de la nutrición.</v>
      </c>
      <c r="G268" s="94" t="str">
        <f ca="1">OFFSET(Variables_Lu!$D$10,Basic_Setup!H54,0)</f>
        <v>Nutrition-specific</v>
      </c>
      <c r="H268" s="354">
        <f t="shared" ref="H268:AD268" si="227">H191/EXCHANGE_RATE</f>
        <v>7205268.8506715558</v>
      </c>
      <c r="I268" s="355">
        <f t="shared" si="227"/>
        <v>4552552.7603836833</v>
      </c>
      <c r="J268" s="356">
        <f t="shared" si="227"/>
        <v>2652716.0902878731</v>
      </c>
      <c r="K268" s="369">
        <f t="shared" si="227"/>
        <v>334599.62138450751</v>
      </c>
      <c r="L268" s="369">
        <f t="shared" si="227"/>
        <v>38390.282136351881</v>
      </c>
      <c r="M268" s="369">
        <f t="shared" si="227"/>
        <v>100743.5</v>
      </c>
      <c r="N268" s="369">
        <f t="shared" si="227"/>
        <v>10784.100233412499</v>
      </c>
      <c r="O268" s="369">
        <f t="shared" si="227"/>
        <v>4639.4718294700006</v>
      </c>
      <c r="P268" s="369">
        <f t="shared" si="227"/>
        <v>1630500.4159023762</v>
      </c>
      <c r="Q268" s="369">
        <f t="shared" si="227"/>
        <v>203075.16467797002</v>
      </c>
      <c r="R268" s="369">
        <f t="shared" si="227"/>
        <v>9983.5341237850007</v>
      </c>
      <c r="S268" s="369">
        <f t="shared" si="227"/>
        <v>0</v>
      </c>
      <c r="T268" s="369">
        <f t="shared" si="227"/>
        <v>0</v>
      </c>
      <c r="U268" s="96">
        <f t="shared" si="227"/>
        <v>320000</v>
      </c>
      <c r="V268" s="96">
        <f t="shared" si="227"/>
        <v>0</v>
      </c>
      <c r="W268" s="96">
        <f t="shared" si="227"/>
        <v>0</v>
      </c>
      <c r="X268" s="96">
        <f t="shared" si="227"/>
        <v>0</v>
      </c>
      <c r="Y268" s="96">
        <f t="shared" si="227"/>
        <v>0</v>
      </c>
      <c r="Z268" s="96">
        <f t="shared" si="227"/>
        <v>0</v>
      </c>
      <c r="AA268" s="96">
        <f t="shared" si="227"/>
        <v>0</v>
      </c>
      <c r="AB268" s="96">
        <f t="shared" si="227"/>
        <v>0</v>
      </c>
      <c r="AC268" s="96">
        <f t="shared" si="227"/>
        <v>0</v>
      </c>
      <c r="AD268" s="96">
        <f t="shared" si="227"/>
        <v>0</v>
      </c>
    </row>
    <row r="269" spans="5:30" ht="12" x14ac:dyDescent="0.2">
      <c r="E269" s="301"/>
      <c r="F269" s="94" t="str">
        <f>STRAT4_IND4</f>
        <v>Objetivo estratégico 4 Indicador 4</v>
      </c>
      <c r="G269" s="94" t="str">
        <f ca="1">OFFSET(Variables_Lu!$D$10,Basic_Setup!H55,0)</f>
        <v>Nutrition-specific</v>
      </c>
      <c r="H269" s="354">
        <f t="shared" ref="H269:AD269" si="228">H192/EXCHANGE_RATE</f>
        <v>0</v>
      </c>
      <c r="I269" s="355">
        <f t="shared" si="228"/>
        <v>0</v>
      </c>
      <c r="J269" s="356">
        <f t="shared" si="228"/>
        <v>0</v>
      </c>
      <c r="K269" s="369">
        <f t="shared" si="228"/>
        <v>0</v>
      </c>
      <c r="L269" s="369">
        <f t="shared" si="228"/>
        <v>0</v>
      </c>
      <c r="M269" s="369">
        <f t="shared" si="228"/>
        <v>0</v>
      </c>
      <c r="N269" s="369">
        <f t="shared" si="228"/>
        <v>0</v>
      </c>
      <c r="O269" s="369">
        <f t="shared" si="228"/>
        <v>0</v>
      </c>
      <c r="P269" s="369">
        <f t="shared" si="228"/>
        <v>0</v>
      </c>
      <c r="Q269" s="369">
        <f t="shared" si="228"/>
        <v>0</v>
      </c>
      <c r="R269" s="369">
        <f t="shared" si="228"/>
        <v>0</v>
      </c>
      <c r="S269" s="369">
        <f t="shared" si="228"/>
        <v>0</v>
      </c>
      <c r="T269" s="369">
        <f t="shared" si="228"/>
        <v>0</v>
      </c>
      <c r="U269" s="96">
        <f t="shared" si="228"/>
        <v>0</v>
      </c>
      <c r="V269" s="96">
        <f t="shared" si="228"/>
        <v>0</v>
      </c>
      <c r="W269" s="96">
        <f t="shared" si="228"/>
        <v>0</v>
      </c>
      <c r="X269" s="96">
        <f t="shared" si="228"/>
        <v>0</v>
      </c>
      <c r="Y269" s="96">
        <f t="shared" si="228"/>
        <v>0</v>
      </c>
      <c r="Z269" s="96">
        <f t="shared" si="228"/>
        <v>0</v>
      </c>
      <c r="AA269" s="96">
        <f t="shared" si="228"/>
        <v>0</v>
      </c>
      <c r="AB269" s="96">
        <f t="shared" si="228"/>
        <v>0</v>
      </c>
      <c r="AC269" s="96">
        <f t="shared" si="228"/>
        <v>0</v>
      </c>
      <c r="AD269" s="96">
        <f t="shared" si="228"/>
        <v>0</v>
      </c>
    </row>
    <row r="270" spans="5:30" ht="12" x14ac:dyDescent="0.2">
      <c r="E270" s="301"/>
      <c r="F270" s="94" t="str">
        <f>STRAT4_IND5</f>
        <v>Objetivo estratégico 4 Indicador 5</v>
      </c>
      <c r="G270" s="94" t="str">
        <f ca="1">OFFSET(Variables_Lu!$D$10,Basic_Setup!H56,0)</f>
        <v>Nutrition-specific</v>
      </c>
      <c r="H270" s="354">
        <f t="shared" ref="H270:AD270" si="229">H193/EXCHANGE_RATE</f>
        <v>0</v>
      </c>
      <c r="I270" s="355">
        <f t="shared" si="229"/>
        <v>0</v>
      </c>
      <c r="J270" s="356">
        <f t="shared" si="229"/>
        <v>0</v>
      </c>
      <c r="K270" s="369">
        <f t="shared" si="229"/>
        <v>0</v>
      </c>
      <c r="L270" s="369">
        <f t="shared" si="229"/>
        <v>0</v>
      </c>
      <c r="M270" s="369">
        <f t="shared" si="229"/>
        <v>0</v>
      </c>
      <c r="N270" s="369">
        <f t="shared" si="229"/>
        <v>0</v>
      </c>
      <c r="O270" s="369">
        <f t="shared" si="229"/>
        <v>0</v>
      </c>
      <c r="P270" s="369">
        <f t="shared" si="229"/>
        <v>0</v>
      </c>
      <c r="Q270" s="369">
        <f t="shared" si="229"/>
        <v>0</v>
      </c>
      <c r="R270" s="369">
        <f t="shared" si="229"/>
        <v>0</v>
      </c>
      <c r="S270" s="369">
        <f t="shared" si="229"/>
        <v>0</v>
      </c>
      <c r="T270" s="369">
        <f t="shared" si="229"/>
        <v>0</v>
      </c>
      <c r="U270" s="96">
        <f t="shared" si="229"/>
        <v>0</v>
      </c>
      <c r="V270" s="96">
        <f t="shared" si="229"/>
        <v>0</v>
      </c>
      <c r="W270" s="96">
        <f t="shared" si="229"/>
        <v>0</v>
      </c>
      <c r="X270" s="96">
        <f t="shared" si="229"/>
        <v>0</v>
      </c>
      <c r="Y270" s="96">
        <f t="shared" si="229"/>
        <v>0</v>
      </c>
      <c r="Z270" s="96">
        <f t="shared" si="229"/>
        <v>0</v>
      </c>
      <c r="AA270" s="96">
        <f t="shared" si="229"/>
        <v>0</v>
      </c>
      <c r="AB270" s="96">
        <f t="shared" si="229"/>
        <v>0</v>
      </c>
      <c r="AC270" s="96">
        <f t="shared" si="229"/>
        <v>0</v>
      </c>
      <c r="AD270" s="96">
        <f t="shared" si="229"/>
        <v>0</v>
      </c>
    </row>
    <row r="271" spans="5:30" ht="36" x14ac:dyDescent="0.2">
      <c r="E271" s="301"/>
      <c r="F271" s="338" t="str">
        <f>"Subtotal: "&amp;E265</f>
        <v>Subtotal: Objetivo estratégico 4: Fortalecer la protección social, la resiliencia de la respuesta a las emergencias y los desastres naturales.</v>
      </c>
      <c r="G271" s="333"/>
      <c r="H271" s="357">
        <f t="shared" ref="H271:AD271" si="230">H194/EXCHANGE_RATE</f>
        <v>21615806.552014668</v>
      </c>
      <c r="I271" s="358">
        <f t="shared" si="230"/>
        <v>10147180.781151051</v>
      </c>
      <c r="J271" s="358">
        <f t="shared" si="230"/>
        <v>11468625.770863619</v>
      </c>
      <c r="K271" s="370">
        <f t="shared" si="230"/>
        <v>1003798.8641535224</v>
      </c>
      <c r="L271" s="370">
        <f t="shared" si="230"/>
        <v>115170.84640905564</v>
      </c>
      <c r="M271" s="370">
        <f t="shared" si="230"/>
        <v>302230.5</v>
      </c>
      <c r="N271" s="370">
        <f t="shared" si="230"/>
        <v>32352.300700237494</v>
      </c>
      <c r="O271" s="370">
        <f t="shared" si="230"/>
        <v>13918.415488410001</v>
      </c>
      <c r="P271" s="370">
        <f t="shared" si="230"/>
        <v>4891501.2477071285</v>
      </c>
      <c r="Q271" s="370">
        <f t="shared" si="230"/>
        <v>609225.49403390998</v>
      </c>
      <c r="R271" s="370">
        <f t="shared" si="230"/>
        <v>29950.602371355006</v>
      </c>
      <c r="S271" s="370">
        <f t="shared" si="230"/>
        <v>0</v>
      </c>
      <c r="T271" s="370">
        <f t="shared" si="230"/>
        <v>0</v>
      </c>
      <c r="U271" s="337">
        <f t="shared" si="230"/>
        <v>400000</v>
      </c>
      <c r="V271" s="337">
        <f t="shared" si="230"/>
        <v>0</v>
      </c>
      <c r="W271" s="337">
        <f t="shared" si="230"/>
        <v>3483077.5</v>
      </c>
      <c r="X271" s="337">
        <f t="shared" si="230"/>
        <v>37400</v>
      </c>
      <c r="Y271" s="337">
        <f t="shared" si="230"/>
        <v>550000</v>
      </c>
      <c r="Z271" s="337">
        <f t="shared" si="230"/>
        <v>0</v>
      </c>
      <c r="AA271" s="337">
        <f t="shared" si="230"/>
        <v>0</v>
      </c>
      <c r="AB271" s="337">
        <f t="shared" si="230"/>
        <v>0</v>
      </c>
      <c r="AC271" s="337">
        <f t="shared" si="230"/>
        <v>0</v>
      </c>
      <c r="AD271" s="337">
        <f t="shared" si="230"/>
        <v>0</v>
      </c>
    </row>
    <row r="272" spans="5:30" ht="12" x14ac:dyDescent="0.2">
      <c r="E272" s="301" t="str">
        <f>Strategy5</f>
        <v xml:space="preserve">Objetivo estratégico 5: Promoción de prácticas favorables a una nutrición óptima, de higiene y saneamiento básico. </v>
      </c>
      <c r="G272" s="94"/>
      <c r="H272" s="363"/>
      <c r="I272" s="364"/>
      <c r="J272" s="356"/>
      <c r="K272" s="369"/>
      <c r="L272" s="369"/>
      <c r="M272" s="369"/>
      <c r="N272" s="369"/>
      <c r="O272" s="369"/>
      <c r="P272" s="369"/>
      <c r="Q272" s="369"/>
      <c r="R272" s="369"/>
      <c r="S272" s="369"/>
      <c r="T272" s="369"/>
      <c r="U272" s="96"/>
      <c r="V272" s="96"/>
      <c r="W272" s="96"/>
      <c r="X272" s="96"/>
      <c r="Y272" s="96"/>
      <c r="Z272" s="96"/>
      <c r="AA272" s="96"/>
      <c r="AB272" s="96"/>
      <c r="AC272" s="96"/>
      <c r="AD272" s="96"/>
    </row>
    <row r="273" spans="5:30" ht="34.200000000000003" x14ac:dyDescent="0.2">
      <c r="F273" s="94" t="str">
        <f>STRAT5_IND1</f>
        <v>Se mejoran las prácticas nutricionales favorables para los niños menores de 5 años, los adolescentes, las mujeres embarazadas y lactantes, y otros grupos vulnerables.</v>
      </c>
      <c r="G273" s="94" t="str">
        <f ca="1">OFFSET(Variables_Lu!$D$10,Basic_Setup!H58,0)</f>
        <v>Nutrition-specific</v>
      </c>
      <c r="H273" s="354">
        <f t="shared" ref="H273:AD273" si="231">H196/EXCHANGE_RATE</f>
        <v>1010628.6854938278</v>
      </c>
      <c r="I273" s="355">
        <f t="shared" si="231"/>
        <v>-1907146.1807170529</v>
      </c>
      <c r="J273" s="356">
        <f t="shared" si="231"/>
        <v>2917774.8662108807</v>
      </c>
      <c r="K273" s="369">
        <f t="shared" si="231"/>
        <v>9182.2938444766642</v>
      </c>
      <c r="L273" s="369">
        <f t="shared" si="231"/>
        <v>1053.5303354191667</v>
      </c>
      <c r="M273" s="369">
        <f t="shared" si="231"/>
        <v>2764.6666666666661</v>
      </c>
      <c r="N273" s="369">
        <f t="shared" si="231"/>
        <v>295.94408021666658</v>
      </c>
      <c r="O273" s="369">
        <f t="shared" si="231"/>
        <v>127.31931209333331</v>
      </c>
      <c r="P273" s="369">
        <f t="shared" si="231"/>
        <v>44745.220781801669</v>
      </c>
      <c r="Q273" s="369">
        <f t="shared" si="231"/>
        <v>5572.9167500933336</v>
      </c>
      <c r="R273" s="369">
        <f t="shared" si="231"/>
        <v>273.97444011333329</v>
      </c>
      <c r="S273" s="369">
        <f t="shared" si="231"/>
        <v>0</v>
      </c>
      <c r="T273" s="369">
        <f t="shared" si="231"/>
        <v>0</v>
      </c>
      <c r="U273" s="96">
        <f t="shared" si="231"/>
        <v>1200000</v>
      </c>
      <c r="V273" s="96">
        <f t="shared" si="231"/>
        <v>0</v>
      </c>
      <c r="W273" s="96">
        <f t="shared" si="231"/>
        <v>283873</v>
      </c>
      <c r="X273" s="96">
        <f t="shared" si="231"/>
        <v>369886</v>
      </c>
      <c r="Y273" s="96">
        <f t="shared" si="231"/>
        <v>1000000</v>
      </c>
      <c r="Z273" s="96">
        <f t="shared" si="231"/>
        <v>0</v>
      </c>
      <c r="AA273" s="96">
        <f t="shared" si="231"/>
        <v>0</v>
      </c>
      <c r="AB273" s="96">
        <f t="shared" si="231"/>
        <v>0</v>
      </c>
      <c r="AC273" s="96">
        <f t="shared" si="231"/>
        <v>0</v>
      </c>
      <c r="AD273" s="96">
        <f t="shared" si="231"/>
        <v>0</v>
      </c>
    </row>
    <row r="274" spans="5:30" ht="22.8" x14ac:dyDescent="0.2">
      <c r="E274" s="301"/>
      <c r="F274" s="94" t="str">
        <f>STRAT5_IND2</f>
        <v>Se promueven dietas saludables y estilos de vida saludables para las personas.</v>
      </c>
      <c r="G274" s="94" t="str">
        <f ca="1">OFFSET(Variables_Lu!$D$10,Basic_Setup!H59,0)</f>
        <v>Nutrition-specific</v>
      </c>
      <c r="H274" s="354">
        <f t="shared" ref="H274:AD274" si="232">H197/EXCHANGE_RATE</f>
        <v>1010628.6854938278</v>
      </c>
      <c r="I274" s="355">
        <f t="shared" si="232"/>
        <v>448012.81928294699</v>
      </c>
      <c r="J274" s="356">
        <f t="shared" si="232"/>
        <v>562615.86621088081</v>
      </c>
      <c r="K274" s="369">
        <f t="shared" si="232"/>
        <v>9182.2938444766642</v>
      </c>
      <c r="L274" s="369">
        <f t="shared" si="232"/>
        <v>1053.5303354191667</v>
      </c>
      <c r="M274" s="369">
        <f t="shared" si="232"/>
        <v>2764.6666666666661</v>
      </c>
      <c r="N274" s="369">
        <f t="shared" si="232"/>
        <v>295.94408021666658</v>
      </c>
      <c r="O274" s="369">
        <f t="shared" si="232"/>
        <v>127.31931209333331</v>
      </c>
      <c r="P274" s="369">
        <f t="shared" si="232"/>
        <v>44745.220781801669</v>
      </c>
      <c r="Q274" s="369">
        <f t="shared" si="232"/>
        <v>5572.9167500933336</v>
      </c>
      <c r="R274" s="369">
        <f t="shared" si="232"/>
        <v>273.97444011333329</v>
      </c>
      <c r="S274" s="369">
        <f t="shared" si="232"/>
        <v>0</v>
      </c>
      <c r="T274" s="369">
        <f t="shared" si="232"/>
        <v>0</v>
      </c>
      <c r="U274" s="96">
        <f t="shared" si="232"/>
        <v>480000</v>
      </c>
      <c r="V274" s="96">
        <f t="shared" si="232"/>
        <v>0</v>
      </c>
      <c r="W274" s="96">
        <f t="shared" si="232"/>
        <v>0</v>
      </c>
      <c r="X274" s="96">
        <f t="shared" si="232"/>
        <v>18600</v>
      </c>
      <c r="Y274" s="96">
        <f t="shared" si="232"/>
        <v>0</v>
      </c>
      <c r="Z274" s="96">
        <f t="shared" si="232"/>
        <v>0</v>
      </c>
      <c r="AA274" s="96">
        <f t="shared" si="232"/>
        <v>0</v>
      </c>
      <c r="AB274" s="96">
        <f t="shared" si="232"/>
        <v>0</v>
      </c>
      <c r="AC274" s="96">
        <f t="shared" si="232"/>
        <v>0</v>
      </c>
      <c r="AD274" s="96">
        <f t="shared" si="232"/>
        <v>0</v>
      </c>
    </row>
    <row r="275" spans="5:30" ht="22.8" x14ac:dyDescent="0.2">
      <c r="E275" s="301"/>
      <c r="F275" s="94" t="str">
        <f>STRAT5_IND3</f>
        <v>Se promueven las buenas prácticas WASH a nivel comunitario y doméstico</v>
      </c>
      <c r="G275" s="94" t="str">
        <f ca="1">OFFSET(Variables_Lu!$D$10,Basic_Setup!H60,0)</f>
        <v>Nutrition-sensitive</v>
      </c>
      <c r="H275" s="354">
        <f t="shared" ref="H275:AD275" si="233">H198/EXCHANGE_RATE</f>
        <v>1010628.6854938278</v>
      </c>
      <c r="I275" s="355">
        <f t="shared" si="233"/>
        <v>226612.81928294699</v>
      </c>
      <c r="J275" s="356">
        <f t="shared" si="233"/>
        <v>784015.86621088081</v>
      </c>
      <c r="K275" s="369">
        <f t="shared" si="233"/>
        <v>9182.2938444766642</v>
      </c>
      <c r="L275" s="369">
        <f t="shared" si="233"/>
        <v>1053.5303354191667</v>
      </c>
      <c r="M275" s="369">
        <f t="shared" si="233"/>
        <v>2764.6666666666661</v>
      </c>
      <c r="N275" s="369">
        <f t="shared" si="233"/>
        <v>295.94408021666658</v>
      </c>
      <c r="O275" s="369">
        <f t="shared" si="233"/>
        <v>127.31931209333331</v>
      </c>
      <c r="P275" s="369">
        <f t="shared" si="233"/>
        <v>44745.220781801669</v>
      </c>
      <c r="Q275" s="369">
        <f t="shared" si="233"/>
        <v>5572.9167500933336</v>
      </c>
      <c r="R275" s="369">
        <f t="shared" si="233"/>
        <v>273.97444011333329</v>
      </c>
      <c r="S275" s="369">
        <f t="shared" si="233"/>
        <v>0</v>
      </c>
      <c r="T275" s="369">
        <f t="shared" si="233"/>
        <v>0</v>
      </c>
      <c r="U275" s="96">
        <f t="shared" si="233"/>
        <v>720000</v>
      </c>
      <c r="V275" s="96">
        <f t="shared" si="233"/>
        <v>0</v>
      </c>
      <c r="W275" s="96">
        <f t="shared" si="233"/>
        <v>0</v>
      </c>
      <c r="X275" s="96">
        <f t="shared" si="233"/>
        <v>0</v>
      </c>
      <c r="Y275" s="96">
        <f t="shared" si="233"/>
        <v>0</v>
      </c>
      <c r="Z275" s="96">
        <f t="shared" si="233"/>
        <v>0</v>
      </c>
      <c r="AA275" s="96">
        <f t="shared" si="233"/>
        <v>0</v>
      </c>
      <c r="AB275" s="96">
        <f t="shared" si="233"/>
        <v>0</v>
      </c>
      <c r="AC275" s="96">
        <f t="shared" si="233"/>
        <v>0</v>
      </c>
      <c r="AD275" s="96">
        <f t="shared" si="233"/>
        <v>0</v>
      </c>
    </row>
    <row r="276" spans="5:30" ht="12" x14ac:dyDescent="0.2">
      <c r="E276" s="301"/>
      <c r="F276" s="94" t="str">
        <f>STRAT5_IND4</f>
        <v>Objetivo estratégico 5 Indicador 4</v>
      </c>
      <c r="G276" s="94" t="str">
        <f ca="1">OFFSET(Variables_Lu!$D$10,Basic_Setup!H61,0)</f>
        <v>Nutrition-specific</v>
      </c>
      <c r="H276" s="354">
        <f t="shared" ref="H276:AD276" si="234">H199/EXCHANGE_RATE</f>
        <v>0</v>
      </c>
      <c r="I276" s="355">
        <f t="shared" si="234"/>
        <v>0</v>
      </c>
      <c r="J276" s="356">
        <f t="shared" si="234"/>
        <v>0</v>
      </c>
      <c r="K276" s="369">
        <f t="shared" si="234"/>
        <v>0</v>
      </c>
      <c r="L276" s="369">
        <f t="shared" si="234"/>
        <v>0</v>
      </c>
      <c r="M276" s="369">
        <f t="shared" si="234"/>
        <v>0</v>
      </c>
      <c r="N276" s="369">
        <f t="shared" si="234"/>
        <v>0</v>
      </c>
      <c r="O276" s="369">
        <f t="shared" si="234"/>
        <v>0</v>
      </c>
      <c r="P276" s="369">
        <f t="shared" si="234"/>
        <v>0</v>
      </c>
      <c r="Q276" s="369">
        <f t="shared" si="234"/>
        <v>0</v>
      </c>
      <c r="R276" s="369">
        <f t="shared" si="234"/>
        <v>0</v>
      </c>
      <c r="S276" s="369">
        <f t="shared" si="234"/>
        <v>0</v>
      </c>
      <c r="T276" s="369">
        <f t="shared" si="234"/>
        <v>0</v>
      </c>
      <c r="U276" s="96">
        <f t="shared" si="234"/>
        <v>0</v>
      </c>
      <c r="V276" s="96">
        <f t="shared" si="234"/>
        <v>0</v>
      </c>
      <c r="W276" s="96">
        <f t="shared" si="234"/>
        <v>0</v>
      </c>
      <c r="X276" s="96">
        <f t="shared" si="234"/>
        <v>0</v>
      </c>
      <c r="Y276" s="96">
        <f t="shared" si="234"/>
        <v>0</v>
      </c>
      <c r="Z276" s="96">
        <f t="shared" si="234"/>
        <v>0</v>
      </c>
      <c r="AA276" s="96">
        <f t="shared" si="234"/>
        <v>0</v>
      </c>
      <c r="AB276" s="96">
        <f t="shared" si="234"/>
        <v>0</v>
      </c>
      <c r="AC276" s="96">
        <f t="shared" si="234"/>
        <v>0</v>
      </c>
      <c r="AD276" s="96">
        <f t="shared" si="234"/>
        <v>0</v>
      </c>
    </row>
    <row r="277" spans="5:30" ht="12" x14ac:dyDescent="0.2">
      <c r="E277" s="301"/>
      <c r="F277" s="94" t="str">
        <f>STRAT5_IND5</f>
        <v>Objetivo estratégico 5 Indicador 5</v>
      </c>
      <c r="G277" s="94" t="str">
        <f ca="1">OFFSET(Variables_Lu!$D$10,Basic_Setup!H62,0)</f>
        <v>Nutrition-specific</v>
      </c>
      <c r="H277" s="354">
        <f t="shared" ref="H277:AD277" si="235">H200/EXCHANGE_RATE</f>
        <v>0</v>
      </c>
      <c r="I277" s="355">
        <f t="shared" si="235"/>
        <v>0</v>
      </c>
      <c r="J277" s="356">
        <f t="shared" si="235"/>
        <v>0</v>
      </c>
      <c r="K277" s="369">
        <f t="shared" si="235"/>
        <v>0</v>
      </c>
      <c r="L277" s="369">
        <f t="shared" si="235"/>
        <v>0</v>
      </c>
      <c r="M277" s="369">
        <f t="shared" si="235"/>
        <v>0</v>
      </c>
      <c r="N277" s="369">
        <f t="shared" si="235"/>
        <v>0</v>
      </c>
      <c r="O277" s="369">
        <f t="shared" si="235"/>
        <v>0</v>
      </c>
      <c r="P277" s="369">
        <f t="shared" si="235"/>
        <v>0</v>
      </c>
      <c r="Q277" s="369">
        <f t="shared" si="235"/>
        <v>0</v>
      </c>
      <c r="R277" s="369">
        <f t="shared" si="235"/>
        <v>0</v>
      </c>
      <c r="S277" s="369">
        <f t="shared" si="235"/>
        <v>0</v>
      </c>
      <c r="T277" s="369">
        <f t="shared" si="235"/>
        <v>0</v>
      </c>
      <c r="U277" s="96">
        <f t="shared" si="235"/>
        <v>0</v>
      </c>
      <c r="V277" s="96">
        <f t="shared" si="235"/>
        <v>0</v>
      </c>
      <c r="W277" s="96">
        <f t="shared" si="235"/>
        <v>0</v>
      </c>
      <c r="X277" s="96">
        <f t="shared" si="235"/>
        <v>0</v>
      </c>
      <c r="Y277" s="96">
        <f t="shared" si="235"/>
        <v>0</v>
      </c>
      <c r="Z277" s="96">
        <f t="shared" si="235"/>
        <v>0</v>
      </c>
      <c r="AA277" s="96">
        <f t="shared" si="235"/>
        <v>0</v>
      </c>
      <c r="AB277" s="96">
        <f t="shared" si="235"/>
        <v>0</v>
      </c>
      <c r="AC277" s="96">
        <f t="shared" si="235"/>
        <v>0</v>
      </c>
      <c r="AD277" s="96">
        <f t="shared" si="235"/>
        <v>0</v>
      </c>
    </row>
    <row r="278" spans="5:30" ht="36" x14ac:dyDescent="0.2">
      <c r="E278" s="301"/>
      <c r="F278" s="338" t="str">
        <f>"Subtotal: "&amp;E272</f>
        <v xml:space="preserve">Subtotal: Objetivo estratégico 5: Promoción de prácticas favorables a una nutrición óptima, de higiene y saneamiento básico. </v>
      </c>
      <c r="G278" s="333"/>
      <c r="H278" s="357">
        <f t="shared" ref="H278:AD278" si="236">H201/EXCHANGE_RATE</f>
        <v>3031886.0564814834</v>
      </c>
      <c r="I278" s="358">
        <f t="shared" si="236"/>
        <v>-1232520.5421511587</v>
      </c>
      <c r="J278" s="358">
        <f t="shared" si="236"/>
        <v>4264406.5986326421</v>
      </c>
      <c r="K278" s="370">
        <f t="shared" si="236"/>
        <v>27546.881533429994</v>
      </c>
      <c r="L278" s="370">
        <f t="shared" si="236"/>
        <v>3160.5910062574999</v>
      </c>
      <c r="M278" s="370">
        <f t="shared" si="236"/>
        <v>8293.9999999999982</v>
      </c>
      <c r="N278" s="370">
        <f t="shared" si="236"/>
        <v>887.83224064999979</v>
      </c>
      <c r="O278" s="370">
        <f t="shared" si="236"/>
        <v>381.95793627999996</v>
      </c>
      <c r="P278" s="370">
        <f t="shared" si="236"/>
        <v>134235.662345405</v>
      </c>
      <c r="Q278" s="370">
        <f t="shared" si="236"/>
        <v>16718.750250279998</v>
      </c>
      <c r="R278" s="370">
        <f t="shared" si="236"/>
        <v>821.92332033999992</v>
      </c>
      <c r="S278" s="370">
        <f t="shared" si="236"/>
        <v>0</v>
      </c>
      <c r="T278" s="370">
        <f t="shared" si="236"/>
        <v>0</v>
      </c>
      <c r="U278" s="337">
        <f t="shared" si="236"/>
        <v>2400000</v>
      </c>
      <c r="V278" s="337">
        <f t="shared" si="236"/>
        <v>0</v>
      </c>
      <c r="W278" s="337">
        <f t="shared" si="236"/>
        <v>283873</v>
      </c>
      <c r="X278" s="337">
        <f t="shared" si="236"/>
        <v>388486</v>
      </c>
      <c r="Y278" s="337">
        <f t="shared" si="236"/>
        <v>1000000</v>
      </c>
      <c r="Z278" s="337">
        <f t="shared" si="236"/>
        <v>0</v>
      </c>
      <c r="AA278" s="337">
        <f t="shared" si="236"/>
        <v>0</v>
      </c>
      <c r="AB278" s="337">
        <f t="shared" si="236"/>
        <v>0</v>
      </c>
      <c r="AC278" s="337">
        <f t="shared" si="236"/>
        <v>0</v>
      </c>
      <c r="AD278" s="337">
        <f t="shared" si="236"/>
        <v>0</v>
      </c>
    </row>
    <row r="279" spans="5:30" ht="12" x14ac:dyDescent="0.2">
      <c r="E279" s="301" t="str">
        <f>Strategy6</f>
        <v>Objetivo estratégico 6: [No está en uso]</v>
      </c>
      <c r="G279" s="94"/>
      <c r="H279" s="363"/>
      <c r="I279" s="364"/>
      <c r="J279" s="356"/>
      <c r="K279" s="369"/>
      <c r="L279" s="369"/>
      <c r="M279" s="369"/>
      <c r="N279" s="369"/>
      <c r="O279" s="369"/>
      <c r="P279" s="369"/>
      <c r="Q279" s="369"/>
      <c r="R279" s="369"/>
      <c r="S279" s="369"/>
      <c r="T279" s="369"/>
      <c r="U279" s="96"/>
      <c r="V279" s="96"/>
      <c r="W279" s="96"/>
      <c r="X279" s="96"/>
      <c r="Y279" s="96"/>
      <c r="Z279" s="96"/>
      <c r="AA279" s="96"/>
      <c r="AB279" s="96"/>
      <c r="AC279" s="96"/>
      <c r="AD279" s="96"/>
    </row>
    <row r="280" spans="5:30" ht="12" x14ac:dyDescent="0.2">
      <c r="E280" s="301"/>
      <c r="F280" s="94" t="str">
        <f>STRAT6_IND1</f>
        <v>Objetivo estratégico 6 Indicador 1</v>
      </c>
      <c r="G280" s="94" t="str">
        <f ca="1">OFFSET(Variables_Lu!$D$10,Basic_Setup!H64,0)</f>
        <v>Nutrition-specific</v>
      </c>
      <c r="H280" s="354">
        <f t="shared" ref="H280:AD280" si="237">H203/EXCHANGE_RATE</f>
        <v>0</v>
      </c>
      <c r="I280" s="355">
        <f t="shared" si="237"/>
        <v>0</v>
      </c>
      <c r="J280" s="356">
        <f t="shared" si="237"/>
        <v>0</v>
      </c>
      <c r="K280" s="369">
        <f t="shared" si="237"/>
        <v>0</v>
      </c>
      <c r="L280" s="369">
        <f t="shared" si="237"/>
        <v>0</v>
      </c>
      <c r="M280" s="369">
        <f t="shared" si="237"/>
        <v>0</v>
      </c>
      <c r="N280" s="369">
        <f t="shared" si="237"/>
        <v>0</v>
      </c>
      <c r="O280" s="369">
        <f t="shared" si="237"/>
        <v>0</v>
      </c>
      <c r="P280" s="369">
        <f t="shared" si="237"/>
        <v>0</v>
      </c>
      <c r="Q280" s="369">
        <f t="shared" si="237"/>
        <v>0</v>
      </c>
      <c r="R280" s="369">
        <f t="shared" si="237"/>
        <v>0</v>
      </c>
      <c r="S280" s="369">
        <f t="shared" si="237"/>
        <v>0</v>
      </c>
      <c r="T280" s="369">
        <f t="shared" si="237"/>
        <v>0</v>
      </c>
      <c r="U280" s="96">
        <f t="shared" si="237"/>
        <v>0</v>
      </c>
      <c r="V280" s="96">
        <f t="shared" si="237"/>
        <v>0</v>
      </c>
      <c r="W280" s="96">
        <f t="shared" si="237"/>
        <v>0</v>
      </c>
      <c r="X280" s="96">
        <f t="shared" si="237"/>
        <v>0</v>
      </c>
      <c r="Y280" s="96">
        <f t="shared" si="237"/>
        <v>0</v>
      </c>
      <c r="Z280" s="96">
        <f t="shared" si="237"/>
        <v>0</v>
      </c>
      <c r="AA280" s="96">
        <f t="shared" si="237"/>
        <v>0</v>
      </c>
      <c r="AB280" s="96">
        <f t="shared" si="237"/>
        <v>0</v>
      </c>
      <c r="AC280" s="96">
        <f t="shared" si="237"/>
        <v>0</v>
      </c>
      <c r="AD280" s="96">
        <f t="shared" si="237"/>
        <v>0</v>
      </c>
    </row>
    <row r="281" spans="5:30" ht="12" x14ac:dyDescent="0.2">
      <c r="E281" s="301"/>
      <c r="F281" s="94" t="str">
        <f>STRAT6_IND2</f>
        <v>Objetivo estratégico 6 Indicador 2</v>
      </c>
      <c r="G281" s="94" t="str">
        <f ca="1">OFFSET(Variables_Lu!$D$10,Basic_Setup!H65,0)</f>
        <v>Nutrition-specific</v>
      </c>
      <c r="H281" s="354">
        <f t="shared" ref="H281:AD281" si="238">H204/EXCHANGE_RATE</f>
        <v>0</v>
      </c>
      <c r="I281" s="355">
        <f t="shared" si="238"/>
        <v>0</v>
      </c>
      <c r="J281" s="356">
        <f t="shared" si="238"/>
        <v>0</v>
      </c>
      <c r="K281" s="369">
        <f t="shared" si="238"/>
        <v>0</v>
      </c>
      <c r="L281" s="369">
        <f t="shared" si="238"/>
        <v>0</v>
      </c>
      <c r="M281" s="369">
        <f t="shared" si="238"/>
        <v>0</v>
      </c>
      <c r="N281" s="369">
        <f t="shared" si="238"/>
        <v>0</v>
      </c>
      <c r="O281" s="369">
        <f t="shared" si="238"/>
        <v>0</v>
      </c>
      <c r="P281" s="369">
        <f t="shared" si="238"/>
        <v>0</v>
      </c>
      <c r="Q281" s="369">
        <f t="shared" si="238"/>
        <v>0</v>
      </c>
      <c r="R281" s="369">
        <f t="shared" si="238"/>
        <v>0</v>
      </c>
      <c r="S281" s="369">
        <f t="shared" si="238"/>
        <v>0</v>
      </c>
      <c r="T281" s="369">
        <f t="shared" si="238"/>
        <v>0</v>
      </c>
      <c r="U281" s="96">
        <f t="shared" si="238"/>
        <v>0</v>
      </c>
      <c r="V281" s="96">
        <f t="shared" si="238"/>
        <v>0</v>
      </c>
      <c r="W281" s="96">
        <f t="shared" si="238"/>
        <v>0</v>
      </c>
      <c r="X281" s="96">
        <f t="shared" si="238"/>
        <v>0</v>
      </c>
      <c r="Y281" s="96">
        <f t="shared" si="238"/>
        <v>0</v>
      </c>
      <c r="Z281" s="96">
        <f t="shared" si="238"/>
        <v>0</v>
      </c>
      <c r="AA281" s="96">
        <f t="shared" si="238"/>
        <v>0</v>
      </c>
      <c r="AB281" s="96">
        <f t="shared" si="238"/>
        <v>0</v>
      </c>
      <c r="AC281" s="96">
        <f t="shared" si="238"/>
        <v>0</v>
      </c>
      <c r="AD281" s="96">
        <f t="shared" si="238"/>
        <v>0</v>
      </c>
    </row>
    <row r="282" spans="5:30" ht="12" x14ac:dyDescent="0.2">
      <c r="E282" s="301"/>
      <c r="F282" s="94" t="str">
        <f>STRAT6_IND3</f>
        <v>Objetivo estratégico 6 Indicador 3</v>
      </c>
      <c r="G282" s="94" t="str">
        <f ca="1">OFFSET(Variables_Lu!$D$10,Basic_Setup!H66,0)</f>
        <v>Nutrition-specific</v>
      </c>
      <c r="H282" s="354">
        <f t="shared" ref="H282:AD282" si="239">H205/EXCHANGE_RATE</f>
        <v>0</v>
      </c>
      <c r="I282" s="355">
        <f t="shared" si="239"/>
        <v>0</v>
      </c>
      <c r="J282" s="356">
        <f t="shared" si="239"/>
        <v>0</v>
      </c>
      <c r="K282" s="369">
        <f t="shared" si="239"/>
        <v>0</v>
      </c>
      <c r="L282" s="369">
        <f t="shared" si="239"/>
        <v>0</v>
      </c>
      <c r="M282" s="369">
        <f t="shared" si="239"/>
        <v>0</v>
      </c>
      <c r="N282" s="369">
        <f t="shared" si="239"/>
        <v>0</v>
      </c>
      <c r="O282" s="369">
        <f t="shared" si="239"/>
        <v>0</v>
      </c>
      <c r="P282" s="369">
        <f t="shared" si="239"/>
        <v>0</v>
      </c>
      <c r="Q282" s="369">
        <f t="shared" si="239"/>
        <v>0</v>
      </c>
      <c r="R282" s="369">
        <f t="shared" si="239"/>
        <v>0</v>
      </c>
      <c r="S282" s="369">
        <f t="shared" si="239"/>
        <v>0</v>
      </c>
      <c r="T282" s="369">
        <f t="shared" si="239"/>
        <v>0</v>
      </c>
      <c r="U282" s="96">
        <f t="shared" si="239"/>
        <v>0</v>
      </c>
      <c r="V282" s="96">
        <f t="shared" si="239"/>
        <v>0</v>
      </c>
      <c r="W282" s="96">
        <f t="shared" si="239"/>
        <v>0</v>
      </c>
      <c r="X282" s="96">
        <f t="shared" si="239"/>
        <v>0</v>
      </c>
      <c r="Y282" s="96">
        <f t="shared" si="239"/>
        <v>0</v>
      </c>
      <c r="Z282" s="96">
        <f t="shared" si="239"/>
        <v>0</v>
      </c>
      <c r="AA282" s="96">
        <f t="shared" si="239"/>
        <v>0</v>
      </c>
      <c r="AB282" s="96">
        <f t="shared" si="239"/>
        <v>0</v>
      </c>
      <c r="AC282" s="96">
        <f t="shared" si="239"/>
        <v>0</v>
      </c>
      <c r="AD282" s="96">
        <f t="shared" si="239"/>
        <v>0</v>
      </c>
    </row>
    <row r="283" spans="5:30" ht="12" x14ac:dyDescent="0.2">
      <c r="E283" s="301"/>
      <c r="F283" s="94" t="str">
        <f>STRAT6_IND4</f>
        <v>Objetivo estratégico 6 Indicador 4</v>
      </c>
      <c r="G283" s="94" t="str">
        <f ca="1">OFFSET(Variables_Lu!$D$10,Basic_Setup!H67,0)</f>
        <v>Nutrition-specific</v>
      </c>
      <c r="H283" s="354">
        <f t="shared" ref="H283:AD283" si="240">H206/EXCHANGE_RATE</f>
        <v>0</v>
      </c>
      <c r="I283" s="355">
        <f t="shared" si="240"/>
        <v>0</v>
      </c>
      <c r="J283" s="356">
        <f t="shared" si="240"/>
        <v>0</v>
      </c>
      <c r="K283" s="369">
        <f t="shared" si="240"/>
        <v>0</v>
      </c>
      <c r="L283" s="369">
        <f t="shared" si="240"/>
        <v>0</v>
      </c>
      <c r="M283" s="369">
        <f t="shared" si="240"/>
        <v>0</v>
      </c>
      <c r="N283" s="369">
        <f t="shared" si="240"/>
        <v>0</v>
      </c>
      <c r="O283" s="369">
        <f t="shared" si="240"/>
        <v>0</v>
      </c>
      <c r="P283" s="369">
        <f t="shared" si="240"/>
        <v>0</v>
      </c>
      <c r="Q283" s="369">
        <f t="shared" si="240"/>
        <v>0</v>
      </c>
      <c r="R283" s="369">
        <f t="shared" si="240"/>
        <v>0</v>
      </c>
      <c r="S283" s="369">
        <f t="shared" si="240"/>
        <v>0</v>
      </c>
      <c r="T283" s="369">
        <f t="shared" si="240"/>
        <v>0</v>
      </c>
      <c r="U283" s="96">
        <f t="shared" si="240"/>
        <v>0</v>
      </c>
      <c r="V283" s="96">
        <f t="shared" si="240"/>
        <v>0</v>
      </c>
      <c r="W283" s="96">
        <f t="shared" si="240"/>
        <v>0</v>
      </c>
      <c r="X283" s="96">
        <f t="shared" si="240"/>
        <v>0</v>
      </c>
      <c r="Y283" s="96">
        <f t="shared" si="240"/>
        <v>0</v>
      </c>
      <c r="Z283" s="96">
        <f t="shared" si="240"/>
        <v>0</v>
      </c>
      <c r="AA283" s="96">
        <f t="shared" si="240"/>
        <v>0</v>
      </c>
      <c r="AB283" s="96">
        <f t="shared" si="240"/>
        <v>0</v>
      </c>
      <c r="AC283" s="96">
        <f t="shared" si="240"/>
        <v>0</v>
      </c>
      <c r="AD283" s="96">
        <f t="shared" si="240"/>
        <v>0</v>
      </c>
    </row>
    <row r="284" spans="5:30" ht="12" x14ac:dyDescent="0.2">
      <c r="E284" s="301"/>
      <c r="F284" s="94" t="str">
        <f>STRAT6_IND5</f>
        <v>Objetivo estratégico 6 Indicador 5</v>
      </c>
      <c r="G284" s="94" t="str">
        <f ca="1">OFFSET(Variables_Lu!$D$10,Basic_Setup!H68,0)</f>
        <v>Nutrition-specific</v>
      </c>
      <c r="H284" s="354">
        <f t="shared" ref="H284:AD284" si="241">H207/EXCHANGE_RATE</f>
        <v>0</v>
      </c>
      <c r="I284" s="355">
        <f t="shared" si="241"/>
        <v>0</v>
      </c>
      <c r="J284" s="356">
        <f t="shared" si="241"/>
        <v>0</v>
      </c>
      <c r="K284" s="369">
        <f t="shared" si="241"/>
        <v>0</v>
      </c>
      <c r="L284" s="369">
        <f t="shared" si="241"/>
        <v>0</v>
      </c>
      <c r="M284" s="369">
        <f t="shared" si="241"/>
        <v>0</v>
      </c>
      <c r="N284" s="369">
        <f t="shared" si="241"/>
        <v>0</v>
      </c>
      <c r="O284" s="369">
        <f t="shared" si="241"/>
        <v>0</v>
      </c>
      <c r="P284" s="369">
        <f t="shared" si="241"/>
        <v>0</v>
      </c>
      <c r="Q284" s="369">
        <f t="shared" si="241"/>
        <v>0</v>
      </c>
      <c r="R284" s="369">
        <f t="shared" si="241"/>
        <v>0</v>
      </c>
      <c r="S284" s="369">
        <f t="shared" si="241"/>
        <v>0</v>
      </c>
      <c r="T284" s="369">
        <f t="shared" si="241"/>
        <v>0</v>
      </c>
      <c r="U284" s="96">
        <f t="shared" si="241"/>
        <v>0</v>
      </c>
      <c r="V284" s="96">
        <f t="shared" si="241"/>
        <v>0</v>
      </c>
      <c r="W284" s="96">
        <f t="shared" si="241"/>
        <v>0</v>
      </c>
      <c r="X284" s="96">
        <f t="shared" si="241"/>
        <v>0</v>
      </c>
      <c r="Y284" s="96">
        <f t="shared" si="241"/>
        <v>0</v>
      </c>
      <c r="Z284" s="96">
        <f t="shared" si="241"/>
        <v>0</v>
      </c>
      <c r="AA284" s="96">
        <f t="shared" si="241"/>
        <v>0</v>
      </c>
      <c r="AB284" s="96">
        <f t="shared" si="241"/>
        <v>0</v>
      </c>
      <c r="AC284" s="96">
        <f t="shared" si="241"/>
        <v>0</v>
      </c>
      <c r="AD284" s="96">
        <f t="shared" si="241"/>
        <v>0</v>
      </c>
    </row>
    <row r="285" spans="5:30" ht="12" x14ac:dyDescent="0.2">
      <c r="E285" s="301"/>
      <c r="F285" s="338" t="str">
        <f>"Subtotal: "&amp;E279</f>
        <v>Subtotal: Objetivo estratégico 6: [No está en uso]</v>
      </c>
      <c r="G285" s="333"/>
      <c r="H285" s="357">
        <f t="shared" ref="H285:AD285" si="242">H208/EXCHANGE_RATE</f>
        <v>0</v>
      </c>
      <c r="I285" s="358">
        <f t="shared" si="242"/>
        <v>0</v>
      </c>
      <c r="J285" s="358">
        <f t="shared" si="242"/>
        <v>0</v>
      </c>
      <c r="K285" s="370">
        <f t="shared" si="242"/>
        <v>0</v>
      </c>
      <c r="L285" s="370">
        <f t="shared" si="242"/>
        <v>0</v>
      </c>
      <c r="M285" s="370">
        <f t="shared" si="242"/>
        <v>0</v>
      </c>
      <c r="N285" s="370">
        <f t="shared" si="242"/>
        <v>0</v>
      </c>
      <c r="O285" s="370">
        <f t="shared" si="242"/>
        <v>0</v>
      </c>
      <c r="P285" s="370">
        <f t="shared" si="242"/>
        <v>0</v>
      </c>
      <c r="Q285" s="370">
        <f t="shared" si="242"/>
        <v>0</v>
      </c>
      <c r="R285" s="370">
        <f t="shared" si="242"/>
        <v>0</v>
      </c>
      <c r="S285" s="370">
        <f t="shared" si="242"/>
        <v>0</v>
      </c>
      <c r="T285" s="370">
        <f t="shared" si="242"/>
        <v>0</v>
      </c>
      <c r="U285" s="337">
        <f t="shared" si="242"/>
        <v>0</v>
      </c>
      <c r="V285" s="337">
        <f t="shared" si="242"/>
        <v>0</v>
      </c>
      <c r="W285" s="337">
        <f t="shared" si="242"/>
        <v>0</v>
      </c>
      <c r="X285" s="337">
        <f t="shared" si="242"/>
        <v>0</v>
      </c>
      <c r="Y285" s="337">
        <f t="shared" si="242"/>
        <v>0</v>
      </c>
      <c r="Z285" s="337">
        <f t="shared" si="242"/>
        <v>0</v>
      </c>
      <c r="AA285" s="337">
        <f t="shared" si="242"/>
        <v>0</v>
      </c>
      <c r="AB285" s="337">
        <f t="shared" si="242"/>
        <v>0</v>
      </c>
      <c r="AC285" s="337">
        <f t="shared" si="242"/>
        <v>0</v>
      </c>
      <c r="AD285" s="337">
        <f t="shared" si="242"/>
        <v>0</v>
      </c>
    </row>
    <row r="286" spans="5:30" ht="12" x14ac:dyDescent="0.2">
      <c r="E286" s="301" t="str">
        <f>Strategy7</f>
        <v>Objetivo estratégico 7: [No está en uso]</v>
      </c>
      <c r="G286" s="94"/>
      <c r="H286" s="363"/>
      <c r="I286" s="364"/>
      <c r="J286" s="356"/>
      <c r="K286" s="369"/>
      <c r="L286" s="369"/>
      <c r="M286" s="369"/>
      <c r="N286" s="369"/>
      <c r="O286" s="369"/>
      <c r="P286" s="369"/>
      <c r="Q286" s="369"/>
      <c r="R286" s="369"/>
      <c r="S286" s="369"/>
      <c r="T286" s="369"/>
      <c r="U286" s="96"/>
      <c r="V286" s="96"/>
      <c r="W286" s="96"/>
      <c r="X286" s="96"/>
      <c r="Y286" s="96"/>
      <c r="Z286" s="96"/>
      <c r="AA286" s="96"/>
      <c r="AB286" s="96"/>
      <c r="AC286" s="96"/>
      <c r="AD286" s="96"/>
    </row>
    <row r="287" spans="5:30" ht="12" x14ac:dyDescent="0.2">
      <c r="E287" s="301"/>
      <c r="F287" s="94" t="str">
        <f>STRAT7_IND1</f>
        <v>Objetivo estratégico 7 Indicador 1</v>
      </c>
      <c r="G287" s="94" t="str">
        <f ca="1">OFFSET(Variables_Lu!$D$10,Basic_Setup!H70,0)</f>
        <v>Nutrition-specific</v>
      </c>
      <c r="H287" s="354">
        <f t="shared" ref="H287:AD287" si="243">H210/EXCHANGE_RATE</f>
        <v>0</v>
      </c>
      <c r="I287" s="355">
        <f t="shared" si="243"/>
        <v>0</v>
      </c>
      <c r="J287" s="356">
        <f t="shared" si="243"/>
        <v>0</v>
      </c>
      <c r="K287" s="369">
        <f t="shared" si="243"/>
        <v>0</v>
      </c>
      <c r="L287" s="369">
        <f t="shared" si="243"/>
        <v>0</v>
      </c>
      <c r="M287" s="369">
        <f t="shared" si="243"/>
        <v>0</v>
      </c>
      <c r="N287" s="369">
        <f t="shared" si="243"/>
        <v>0</v>
      </c>
      <c r="O287" s="369">
        <f t="shared" si="243"/>
        <v>0</v>
      </c>
      <c r="P287" s="369">
        <f t="shared" si="243"/>
        <v>0</v>
      </c>
      <c r="Q287" s="369">
        <f t="shared" si="243"/>
        <v>0</v>
      </c>
      <c r="R287" s="369">
        <f t="shared" si="243"/>
        <v>0</v>
      </c>
      <c r="S287" s="369">
        <f t="shared" si="243"/>
        <v>0</v>
      </c>
      <c r="T287" s="369">
        <f t="shared" si="243"/>
        <v>0</v>
      </c>
      <c r="U287" s="96">
        <f t="shared" si="243"/>
        <v>0</v>
      </c>
      <c r="V287" s="96">
        <f t="shared" si="243"/>
        <v>0</v>
      </c>
      <c r="W287" s="96">
        <f t="shared" si="243"/>
        <v>0</v>
      </c>
      <c r="X287" s="96">
        <f t="shared" si="243"/>
        <v>0</v>
      </c>
      <c r="Y287" s="96">
        <f t="shared" si="243"/>
        <v>0</v>
      </c>
      <c r="Z287" s="96">
        <f t="shared" si="243"/>
        <v>0</v>
      </c>
      <c r="AA287" s="96">
        <f t="shared" si="243"/>
        <v>0</v>
      </c>
      <c r="AB287" s="96">
        <f t="shared" si="243"/>
        <v>0</v>
      </c>
      <c r="AC287" s="96">
        <f t="shared" si="243"/>
        <v>0</v>
      </c>
      <c r="AD287" s="96">
        <f t="shared" si="243"/>
        <v>0</v>
      </c>
    </row>
    <row r="288" spans="5:30" ht="12" x14ac:dyDescent="0.2">
      <c r="E288" s="301"/>
      <c r="F288" s="94" t="str">
        <f>STRAT7_IND2</f>
        <v>Objetivo estratégico 7 Indicador 2</v>
      </c>
      <c r="G288" s="94" t="str">
        <f ca="1">OFFSET(Variables_Lu!$D$10,Basic_Setup!H71,0)</f>
        <v>Nutrition-specific</v>
      </c>
      <c r="H288" s="354">
        <f t="shared" ref="H288:AD288" si="244">H211/EXCHANGE_RATE</f>
        <v>0</v>
      </c>
      <c r="I288" s="355">
        <f t="shared" si="244"/>
        <v>0</v>
      </c>
      <c r="J288" s="356">
        <f t="shared" si="244"/>
        <v>0</v>
      </c>
      <c r="K288" s="369">
        <f t="shared" si="244"/>
        <v>0</v>
      </c>
      <c r="L288" s="369">
        <f t="shared" si="244"/>
        <v>0</v>
      </c>
      <c r="M288" s="369">
        <f t="shared" si="244"/>
        <v>0</v>
      </c>
      <c r="N288" s="369">
        <f t="shared" si="244"/>
        <v>0</v>
      </c>
      <c r="O288" s="369">
        <f t="shared" si="244"/>
        <v>0</v>
      </c>
      <c r="P288" s="369">
        <f t="shared" si="244"/>
        <v>0</v>
      </c>
      <c r="Q288" s="369">
        <f t="shared" si="244"/>
        <v>0</v>
      </c>
      <c r="R288" s="369">
        <f t="shared" si="244"/>
        <v>0</v>
      </c>
      <c r="S288" s="369">
        <f t="shared" si="244"/>
        <v>0</v>
      </c>
      <c r="T288" s="369">
        <f t="shared" si="244"/>
        <v>0</v>
      </c>
      <c r="U288" s="96">
        <f t="shared" si="244"/>
        <v>0</v>
      </c>
      <c r="V288" s="96">
        <f t="shared" si="244"/>
        <v>0</v>
      </c>
      <c r="W288" s="96">
        <f t="shared" si="244"/>
        <v>0</v>
      </c>
      <c r="X288" s="96">
        <f t="shared" si="244"/>
        <v>0</v>
      </c>
      <c r="Y288" s="96">
        <f t="shared" si="244"/>
        <v>0</v>
      </c>
      <c r="Z288" s="96">
        <f t="shared" si="244"/>
        <v>0</v>
      </c>
      <c r="AA288" s="96">
        <f t="shared" si="244"/>
        <v>0</v>
      </c>
      <c r="AB288" s="96">
        <f t="shared" si="244"/>
        <v>0</v>
      </c>
      <c r="AC288" s="96">
        <f t="shared" si="244"/>
        <v>0</v>
      </c>
      <c r="AD288" s="96">
        <f t="shared" si="244"/>
        <v>0</v>
      </c>
    </row>
    <row r="289" spans="5:30" ht="12" x14ac:dyDescent="0.2">
      <c r="E289" s="301"/>
      <c r="F289" s="94" t="str">
        <f>STRAT7_IND3</f>
        <v>Objetivo estratégico 7 Indicador 3</v>
      </c>
      <c r="G289" s="94" t="str">
        <f ca="1">OFFSET(Variables_Lu!$D$10,Basic_Setup!H72,0)</f>
        <v>Nutrition-specific</v>
      </c>
      <c r="H289" s="354">
        <f t="shared" ref="H289:AD289" si="245">H212/EXCHANGE_RATE</f>
        <v>0</v>
      </c>
      <c r="I289" s="355">
        <f t="shared" si="245"/>
        <v>0</v>
      </c>
      <c r="J289" s="356">
        <f t="shared" si="245"/>
        <v>0</v>
      </c>
      <c r="K289" s="369">
        <f t="shared" si="245"/>
        <v>0</v>
      </c>
      <c r="L289" s="369">
        <f t="shared" si="245"/>
        <v>0</v>
      </c>
      <c r="M289" s="369">
        <f t="shared" si="245"/>
        <v>0</v>
      </c>
      <c r="N289" s="369">
        <f t="shared" si="245"/>
        <v>0</v>
      </c>
      <c r="O289" s="369">
        <f t="shared" si="245"/>
        <v>0</v>
      </c>
      <c r="P289" s="369">
        <f t="shared" si="245"/>
        <v>0</v>
      </c>
      <c r="Q289" s="369">
        <f t="shared" si="245"/>
        <v>0</v>
      </c>
      <c r="R289" s="369">
        <f t="shared" si="245"/>
        <v>0</v>
      </c>
      <c r="S289" s="369">
        <f t="shared" si="245"/>
        <v>0</v>
      </c>
      <c r="T289" s="369">
        <f t="shared" si="245"/>
        <v>0</v>
      </c>
      <c r="U289" s="96">
        <f t="shared" si="245"/>
        <v>0</v>
      </c>
      <c r="V289" s="96">
        <f t="shared" si="245"/>
        <v>0</v>
      </c>
      <c r="W289" s="96">
        <f t="shared" si="245"/>
        <v>0</v>
      </c>
      <c r="X289" s="96">
        <f t="shared" si="245"/>
        <v>0</v>
      </c>
      <c r="Y289" s="96">
        <f t="shared" si="245"/>
        <v>0</v>
      </c>
      <c r="Z289" s="96">
        <f t="shared" si="245"/>
        <v>0</v>
      </c>
      <c r="AA289" s="96">
        <f t="shared" si="245"/>
        <v>0</v>
      </c>
      <c r="AB289" s="96">
        <f t="shared" si="245"/>
        <v>0</v>
      </c>
      <c r="AC289" s="96">
        <f t="shared" si="245"/>
        <v>0</v>
      </c>
      <c r="AD289" s="96">
        <f t="shared" si="245"/>
        <v>0</v>
      </c>
    </row>
    <row r="290" spans="5:30" ht="12" x14ac:dyDescent="0.2">
      <c r="E290" s="301"/>
      <c r="F290" s="94" t="str">
        <f>STRAT7_IND4</f>
        <v>Objetivo estratégico 7 Indicador 4</v>
      </c>
      <c r="G290" s="94" t="str">
        <f ca="1">OFFSET(Variables_Lu!$D$10,Basic_Setup!H73,0)</f>
        <v>Nutrition-specific</v>
      </c>
      <c r="H290" s="354">
        <f t="shared" ref="H290:AD290" si="246">H213/EXCHANGE_RATE</f>
        <v>0</v>
      </c>
      <c r="I290" s="355">
        <f t="shared" si="246"/>
        <v>0</v>
      </c>
      <c r="J290" s="356">
        <f t="shared" si="246"/>
        <v>0</v>
      </c>
      <c r="K290" s="369">
        <f t="shared" si="246"/>
        <v>0</v>
      </c>
      <c r="L290" s="369">
        <f t="shared" si="246"/>
        <v>0</v>
      </c>
      <c r="M290" s="369">
        <f t="shared" si="246"/>
        <v>0</v>
      </c>
      <c r="N290" s="369">
        <f t="shared" si="246"/>
        <v>0</v>
      </c>
      <c r="O290" s="369">
        <f t="shared" si="246"/>
        <v>0</v>
      </c>
      <c r="P290" s="369">
        <f t="shared" si="246"/>
        <v>0</v>
      </c>
      <c r="Q290" s="369">
        <f t="shared" si="246"/>
        <v>0</v>
      </c>
      <c r="R290" s="369">
        <f t="shared" si="246"/>
        <v>0</v>
      </c>
      <c r="S290" s="369">
        <f t="shared" si="246"/>
        <v>0</v>
      </c>
      <c r="T290" s="369">
        <f t="shared" si="246"/>
        <v>0</v>
      </c>
      <c r="U290" s="96">
        <f t="shared" si="246"/>
        <v>0</v>
      </c>
      <c r="V290" s="96">
        <f t="shared" si="246"/>
        <v>0</v>
      </c>
      <c r="W290" s="96">
        <f t="shared" si="246"/>
        <v>0</v>
      </c>
      <c r="X290" s="96">
        <f t="shared" si="246"/>
        <v>0</v>
      </c>
      <c r="Y290" s="96">
        <f t="shared" si="246"/>
        <v>0</v>
      </c>
      <c r="Z290" s="96">
        <f t="shared" si="246"/>
        <v>0</v>
      </c>
      <c r="AA290" s="96">
        <f t="shared" si="246"/>
        <v>0</v>
      </c>
      <c r="AB290" s="96">
        <f t="shared" si="246"/>
        <v>0</v>
      </c>
      <c r="AC290" s="96">
        <f t="shared" si="246"/>
        <v>0</v>
      </c>
      <c r="AD290" s="96">
        <f t="shared" si="246"/>
        <v>0</v>
      </c>
    </row>
    <row r="291" spans="5:30" ht="12" x14ac:dyDescent="0.2">
      <c r="E291" s="301"/>
      <c r="F291" s="94" t="str">
        <f>STRAT7_IND5</f>
        <v>Objetivo estratégico 7 Indicador 5</v>
      </c>
      <c r="G291" s="94" t="str">
        <f ca="1">OFFSET(Variables_Lu!$D$10,Basic_Setup!H74,0)</f>
        <v>Nutrition-specific</v>
      </c>
      <c r="H291" s="354">
        <f t="shared" ref="H291:AD291" si="247">H214/EXCHANGE_RATE</f>
        <v>0</v>
      </c>
      <c r="I291" s="355">
        <f t="shared" si="247"/>
        <v>0</v>
      </c>
      <c r="J291" s="356">
        <f t="shared" si="247"/>
        <v>0</v>
      </c>
      <c r="K291" s="369">
        <f t="shared" si="247"/>
        <v>0</v>
      </c>
      <c r="L291" s="369">
        <f t="shared" si="247"/>
        <v>0</v>
      </c>
      <c r="M291" s="369">
        <f t="shared" si="247"/>
        <v>0</v>
      </c>
      <c r="N291" s="369">
        <f t="shared" si="247"/>
        <v>0</v>
      </c>
      <c r="O291" s="369">
        <f t="shared" si="247"/>
        <v>0</v>
      </c>
      <c r="P291" s="369">
        <f t="shared" si="247"/>
        <v>0</v>
      </c>
      <c r="Q291" s="369">
        <f t="shared" si="247"/>
        <v>0</v>
      </c>
      <c r="R291" s="369">
        <f t="shared" si="247"/>
        <v>0</v>
      </c>
      <c r="S291" s="369">
        <f t="shared" si="247"/>
        <v>0</v>
      </c>
      <c r="T291" s="369">
        <f t="shared" si="247"/>
        <v>0</v>
      </c>
      <c r="U291" s="96">
        <f t="shared" si="247"/>
        <v>0</v>
      </c>
      <c r="V291" s="96">
        <f t="shared" si="247"/>
        <v>0</v>
      </c>
      <c r="W291" s="96">
        <f t="shared" si="247"/>
        <v>0</v>
      </c>
      <c r="X291" s="96">
        <f t="shared" si="247"/>
        <v>0</v>
      </c>
      <c r="Y291" s="96">
        <f t="shared" si="247"/>
        <v>0</v>
      </c>
      <c r="Z291" s="96">
        <f t="shared" si="247"/>
        <v>0</v>
      </c>
      <c r="AA291" s="96">
        <f t="shared" si="247"/>
        <v>0</v>
      </c>
      <c r="AB291" s="96">
        <f t="shared" si="247"/>
        <v>0</v>
      </c>
      <c r="AC291" s="96">
        <f t="shared" si="247"/>
        <v>0</v>
      </c>
      <c r="AD291" s="96">
        <f t="shared" si="247"/>
        <v>0</v>
      </c>
    </row>
    <row r="292" spans="5:30" ht="12" x14ac:dyDescent="0.2">
      <c r="E292" s="301"/>
      <c r="F292" s="338" t="str">
        <f>"Subtotal: "&amp;E286</f>
        <v>Subtotal: Objetivo estratégico 7: [No está en uso]</v>
      </c>
      <c r="G292" s="333"/>
      <c r="H292" s="357">
        <f t="shared" ref="H292:AD292" si="248">H215/EXCHANGE_RATE</f>
        <v>0</v>
      </c>
      <c r="I292" s="358">
        <f t="shared" si="248"/>
        <v>0</v>
      </c>
      <c r="J292" s="358">
        <f t="shared" si="248"/>
        <v>0</v>
      </c>
      <c r="K292" s="370">
        <f t="shared" si="248"/>
        <v>0</v>
      </c>
      <c r="L292" s="370">
        <f t="shared" si="248"/>
        <v>0</v>
      </c>
      <c r="M292" s="370">
        <f t="shared" si="248"/>
        <v>0</v>
      </c>
      <c r="N292" s="370">
        <f t="shared" si="248"/>
        <v>0</v>
      </c>
      <c r="O292" s="370">
        <f t="shared" si="248"/>
        <v>0</v>
      </c>
      <c r="P292" s="370">
        <f t="shared" si="248"/>
        <v>0</v>
      </c>
      <c r="Q292" s="370">
        <f t="shared" si="248"/>
        <v>0</v>
      </c>
      <c r="R292" s="370">
        <f t="shared" si="248"/>
        <v>0</v>
      </c>
      <c r="S292" s="370">
        <f t="shared" si="248"/>
        <v>0</v>
      </c>
      <c r="T292" s="370">
        <f t="shared" si="248"/>
        <v>0</v>
      </c>
      <c r="U292" s="337">
        <f t="shared" si="248"/>
        <v>0</v>
      </c>
      <c r="V292" s="337">
        <f t="shared" si="248"/>
        <v>0</v>
      </c>
      <c r="W292" s="337">
        <f t="shared" si="248"/>
        <v>0</v>
      </c>
      <c r="X292" s="337">
        <f t="shared" si="248"/>
        <v>0</v>
      </c>
      <c r="Y292" s="337">
        <f t="shared" si="248"/>
        <v>0</v>
      </c>
      <c r="Z292" s="337">
        <f t="shared" si="248"/>
        <v>0</v>
      </c>
      <c r="AA292" s="337">
        <f t="shared" si="248"/>
        <v>0</v>
      </c>
      <c r="AB292" s="337">
        <f t="shared" si="248"/>
        <v>0</v>
      </c>
      <c r="AC292" s="337">
        <f t="shared" si="248"/>
        <v>0</v>
      </c>
      <c r="AD292" s="337">
        <f t="shared" si="248"/>
        <v>0</v>
      </c>
    </row>
    <row r="293" spans="5:30" ht="12" x14ac:dyDescent="0.2">
      <c r="E293" s="301" t="str">
        <f>Strategy8</f>
        <v>Objetivo estratégico 8: [No está en uso]</v>
      </c>
      <c r="G293" s="94"/>
      <c r="H293" s="363"/>
      <c r="I293" s="364"/>
      <c r="J293" s="356"/>
      <c r="K293" s="369"/>
      <c r="L293" s="369"/>
      <c r="M293" s="369"/>
      <c r="N293" s="369"/>
      <c r="O293" s="369"/>
      <c r="P293" s="369"/>
      <c r="Q293" s="369"/>
      <c r="R293" s="369"/>
      <c r="S293" s="369"/>
      <c r="T293" s="369"/>
      <c r="U293" s="96"/>
      <c r="V293" s="96"/>
      <c r="W293" s="96"/>
      <c r="X293" s="96"/>
      <c r="Y293" s="96"/>
      <c r="Z293" s="96"/>
      <c r="AA293" s="96"/>
      <c r="AB293" s="96"/>
      <c r="AC293" s="96"/>
      <c r="AD293" s="96"/>
    </row>
    <row r="294" spans="5:30" ht="12" x14ac:dyDescent="0.2">
      <c r="E294" s="301"/>
      <c r="F294" s="94" t="str">
        <f>STRAT8_IND1</f>
        <v>Objetivo estratégico 8 Indicador 1</v>
      </c>
      <c r="G294" s="94" t="str">
        <f ca="1">OFFSET(Variables_Lu!$D$10,Basic_Setup!H76,0)</f>
        <v>Nutrition-specific</v>
      </c>
      <c r="H294" s="354">
        <f t="shared" ref="H294:AD294" si="249">H217/EXCHANGE_RATE</f>
        <v>0</v>
      </c>
      <c r="I294" s="355">
        <f t="shared" si="249"/>
        <v>0</v>
      </c>
      <c r="J294" s="356">
        <f t="shared" si="249"/>
        <v>0</v>
      </c>
      <c r="K294" s="369">
        <f t="shared" si="249"/>
        <v>0</v>
      </c>
      <c r="L294" s="369">
        <f t="shared" si="249"/>
        <v>0</v>
      </c>
      <c r="M294" s="369">
        <f t="shared" si="249"/>
        <v>0</v>
      </c>
      <c r="N294" s="369">
        <f t="shared" si="249"/>
        <v>0</v>
      </c>
      <c r="O294" s="369">
        <f t="shared" si="249"/>
        <v>0</v>
      </c>
      <c r="P294" s="369">
        <f t="shared" si="249"/>
        <v>0</v>
      </c>
      <c r="Q294" s="369">
        <f t="shared" si="249"/>
        <v>0</v>
      </c>
      <c r="R294" s="369">
        <f t="shared" si="249"/>
        <v>0</v>
      </c>
      <c r="S294" s="369">
        <f t="shared" si="249"/>
        <v>0</v>
      </c>
      <c r="T294" s="369">
        <f t="shared" si="249"/>
        <v>0</v>
      </c>
      <c r="U294" s="96">
        <f t="shared" si="249"/>
        <v>0</v>
      </c>
      <c r="V294" s="96">
        <f t="shared" si="249"/>
        <v>0</v>
      </c>
      <c r="W294" s="96">
        <f t="shared" si="249"/>
        <v>0</v>
      </c>
      <c r="X294" s="96">
        <f t="shared" si="249"/>
        <v>0</v>
      </c>
      <c r="Y294" s="96">
        <f t="shared" si="249"/>
        <v>0</v>
      </c>
      <c r="Z294" s="96">
        <f t="shared" si="249"/>
        <v>0</v>
      </c>
      <c r="AA294" s="96">
        <f t="shared" si="249"/>
        <v>0</v>
      </c>
      <c r="AB294" s="96">
        <f t="shared" si="249"/>
        <v>0</v>
      </c>
      <c r="AC294" s="96">
        <f t="shared" si="249"/>
        <v>0</v>
      </c>
      <c r="AD294" s="96">
        <f t="shared" si="249"/>
        <v>0</v>
      </c>
    </row>
    <row r="295" spans="5:30" ht="12" x14ac:dyDescent="0.2">
      <c r="E295" s="301"/>
      <c r="F295" s="94" t="str">
        <f>STRAT8_IND2</f>
        <v>Objetivo estratégico 8 Indicador 2</v>
      </c>
      <c r="G295" s="94" t="str">
        <f ca="1">OFFSET(Variables_Lu!$D$10,Basic_Setup!H77,0)</f>
        <v>Nutrition-specific</v>
      </c>
      <c r="H295" s="354">
        <f t="shared" ref="H295:AD295" si="250">H218/EXCHANGE_RATE</f>
        <v>0</v>
      </c>
      <c r="I295" s="355">
        <f t="shared" si="250"/>
        <v>0</v>
      </c>
      <c r="J295" s="356">
        <f t="shared" si="250"/>
        <v>0</v>
      </c>
      <c r="K295" s="369">
        <f t="shared" si="250"/>
        <v>0</v>
      </c>
      <c r="L295" s="369">
        <f t="shared" si="250"/>
        <v>0</v>
      </c>
      <c r="M295" s="369">
        <f t="shared" si="250"/>
        <v>0</v>
      </c>
      <c r="N295" s="369">
        <f t="shared" si="250"/>
        <v>0</v>
      </c>
      <c r="O295" s="369">
        <f t="shared" si="250"/>
        <v>0</v>
      </c>
      <c r="P295" s="369">
        <f t="shared" si="250"/>
        <v>0</v>
      </c>
      <c r="Q295" s="369">
        <f t="shared" si="250"/>
        <v>0</v>
      </c>
      <c r="R295" s="369">
        <f t="shared" si="250"/>
        <v>0</v>
      </c>
      <c r="S295" s="369">
        <f t="shared" si="250"/>
        <v>0</v>
      </c>
      <c r="T295" s="369">
        <f t="shared" si="250"/>
        <v>0</v>
      </c>
      <c r="U295" s="96">
        <f t="shared" si="250"/>
        <v>0</v>
      </c>
      <c r="V295" s="96">
        <f t="shared" si="250"/>
        <v>0</v>
      </c>
      <c r="W295" s="96">
        <f t="shared" si="250"/>
        <v>0</v>
      </c>
      <c r="X295" s="96">
        <f t="shared" si="250"/>
        <v>0</v>
      </c>
      <c r="Y295" s="96">
        <f t="shared" si="250"/>
        <v>0</v>
      </c>
      <c r="Z295" s="96">
        <f t="shared" si="250"/>
        <v>0</v>
      </c>
      <c r="AA295" s="96">
        <f t="shared" si="250"/>
        <v>0</v>
      </c>
      <c r="AB295" s="96">
        <f t="shared" si="250"/>
        <v>0</v>
      </c>
      <c r="AC295" s="96">
        <f t="shared" si="250"/>
        <v>0</v>
      </c>
      <c r="AD295" s="96">
        <f t="shared" si="250"/>
        <v>0</v>
      </c>
    </row>
    <row r="296" spans="5:30" ht="12" x14ac:dyDescent="0.2">
      <c r="E296" s="301"/>
      <c r="F296" s="94" t="str">
        <f>STRAT8_IND3</f>
        <v>Objetivo estratégico 8 Indicador 3</v>
      </c>
      <c r="G296" s="94" t="str">
        <f ca="1">OFFSET(Variables_Lu!$D$10,Basic_Setup!H78,0)</f>
        <v>Nutrition-specific</v>
      </c>
      <c r="H296" s="354">
        <f t="shared" ref="H296:AD296" si="251">H219/EXCHANGE_RATE</f>
        <v>0</v>
      </c>
      <c r="I296" s="355">
        <f t="shared" si="251"/>
        <v>0</v>
      </c>
      <c r="J296" s="356">
        <f t="shared" si="251"/>
        <v>0</v>
      </c>
      <c r="K296" s="369">
        <f t="shared" si="251"/>
        <v>0</v>
      </c>
      <c r="L296" s="369">
        <f t="shared" si="251"/>
        <v>0</v>
      </c>
      <c r="M296" s="369">
        <f t="shared" si="251"/>
        <v>0</v>
      </c>
      <c r="N296" s="369">
        <f t="shared" si="251"/>
        <v>0</v>
      </c>
      <c r="O296" s="369">
        <f t="shared" si="251"/>
        <v>0</v>
      </c>
      <c r="P296" s="369">
        <f t="shared" si="251"/>
        <v>0</v>
      </c>
      <c r="Q296" s="369">
        <f t="shared" si="251"/>
        <v>0</v>
      </c>
      <c r="R296" s="369">
        <f t="shared" si="251"/>
        <v>0</v>
      </c>
      <c r="S296" s="369">
        <f t="shared" si="251"/>
        <v>0</v>
      </c>
      <c r="T296" s="369">
        <f t="shared" si="251"/>
        <v>0</v>
      </c>
      <c r="U296" s="96">
        <f t="shared" si="251"/>
        <v>0</v>
      </c>
      <c r="V296" s="96">
        <f t="shared" si="251"/>
        <v>0</v>
      </c>
      <c r="W296" s="96">
        <f t="shared" si="251"/>
        <v>0</v>
      </c>
      <c r="X296" s="96">
        <f t="shared" si="251"/>
        <v>0</v>
      </c>
      <c r="Y296" s="96">
        <f t="shared" si="251"/>
        <v>0</v>
      </c>
      <c r="Z296" s="96">
        <f t="shared" si="251"/>
        <v>0</v>
      </c>
      <c r="AA296" s="96">
        <f t="shared" si="251"/>
        <v>0</v>
      </c>
      <c r="AB296" s="96">
        <f t="shared" si="251"/>
        <v>0</v>
      </c>
      <c r="AC296" s="96">
        <f t="shared" si="251"/>
        <v>0</v>
      </c>
      <c r="AD296" s="96">
        <f t="shared" si="251"/>
        <v>0</v>
      </c>
    </row>
    <row r="297" spans="5:30" ht="12" x14ac:dyDescent="0.2">
      <c r="E297" s="301"/>
      <c r="F297" s="94" t="str">
        <f>STRAT8_IND4</f>
        <v>Objetivo estratégico 8 Indicador 4</v>
      </c>
      <c r="G297" s="94" t="str">
        <f ca="1">OFFSET(Variables_Lu!$D$10,Basic_Setup!H79,0)</f>
        <v>Nutrition-specific</v>
      </c>
      <c r="H297" s="354">
        <f t="shared" ref="H297:AD297" si="252">H220/EXCHANGE_RATE</f>
        <v>0</v>
      </c>
      <c r="I297" s="355">
        <f t="shared" si="252"/>
        <v>0</v>
      </c>
      <c r="J297" s="356">
        <f t="shared" si="252"/>
        <v>0</v>
      </c>
      <c r="K297" s="369">
        <f t="shared" si="252"/>
        <v>0</v>
      </c>
      <c r="L297" s="369">
        <f t="shared" si="252"/>
        <v>0</v>
      </c>
      <c r="M297" s="369">
        <f t="shared" si="252"/>
        <v>0</v>
      </c>
      <c r="N297" s="369">
        <f t="shared" si="252"/>
        <v>0</v>
      </c>
      <c r="O297" s="369">
        <f t="shared" si="252"/>
        <v>0</v>
      </c>
      <c r="P297" s="369">
        <f t="shared" si="252"/>
        <v>0</v>
      </c>
      <c r="Q297" s="369">
        <f t="shared" si="252"/>
        <v>0</v>
      </c>
      <c r="R297" s="369">
        <f t="shared" si="252"/>
        <v>0</v>
      </c>
      <c r="S297" s="369">
        <f t="shared" si="252"/>
        <v>0</v>
      </c>
      <c r="T297" s="369">
        <f t="shared" si="252"/>
        <v>0</v>
      </c>
      <c r="U297" s="96">
        <f t="shared" si="252"/>
        <v>0</v>
      </c>
      <c r="V297" s="96">
        <f t="shared" si="252"/>
        <v>0</v>
      </c>
      <c r="W297" s="96">
        <f t="shared" si="252"/>
        <v>0</v>
      </c>
      <c r="X297" s="96">
        <f t="shared" si="252"/>
        <v>0</v>
      </c>
      <c r="Y297" s="96">
        <f t="shared" si="252"/>
        <v>0</v>
      </c>
      <c r="Z297" s="96">
        <f t="shared" si="252"/>
        <v>0</v>
      </c>
      <c r="AA297" s="96">
        <f t="shared" si="252"/>
        <v>0</v>
      </c>
      <c r="AB297" s="96">
        <f t="shared" si="252"/>
        <v>0</v>
      </c>
      <c r="AC297" s="96">
        <f t="shared" si="252"/>
        <v>0</v>
      </c>
      <c r="AD297" s="96">
        <f t="shared" si="252"/>
        <v>0</v>
      </c>
    </row>
    <row r="298" spans="5:30" ht="12" x14ac:dyDescent="0.2">
      <c r="E298" s="301"/>
      <c r="F298" s="94" t="str">
        <f>STRAT8_IND5</f>
        <v>Objetivo estratégico 8 Indicador 5</v>
      </c>
      <c r="G298" s="94" t="str">
        <f ca="1">OFFSET(Variables_Lu!$D$10,Basic_Setup!H80,0)</f>
        <v>Nutrition-specific</v>
      </c>
      <c r="H298" s="354">
        <f t="shared" ref="H298:AD298" si="253">H221/EXCHANGE_RATE</f>
        <v>0</v>
      </c>
      <c r="I298" s="355">
        <f t="shared" si="253"/>
        <v>0</v>
      </c>
      <c r="J298" s="356">
        <f t="shared" si="253"/>
        <v>0</v>
      </c>
      <c r="K298" s="369">
        <f t="shared" si="253"/>
        <v>0</v>
      </c>
      <c r="L298" s="369">
        <f t="shared" si="253"/>
        <v>0</v>
      </c>
      <c r="M298" s="369">
        <f t="shared" si="253"/>
        <v>0</v>
      </c>
      <c r="N298" s="369">
        <f t="shared" si="253"/>
        <v>0</v>
      </c>
      <c r="O298" s="369">
        <f t="shared" si="253"/>
        <v>0</v>
      </c>
      <c r="P298" s="369">
        <f t="shared" si="253"/>
        <v>0</v>
      </c>
      <c r="Q298" s="369">
        <f t="shared" si="253"/>
        <v>0</v>
      </c>
      <c r="R298" s="369">
        <f t="shared" si="253"/>
        <v>0</v>
      </c>
      <c r="S298" s="369">
        <f t="shared" si="253"/>
        <v>0</v>
      </c>
      <c r="T298" s="369">
        <f t="shared" si="253"/>
        <v>0</v>
      </c>
      <c r="U298" s="96">
        <f t="shared" si="253"/>
        <v>0</v>
      </c>
      <c r="V298" s="96">
        <f t="shared" si="253"/>
        <v>0</v>
      </c>
      <c r="W298" s="96">
        <f t="shared" si="253"/>
        <v>0</v>
      </c>
      <c r="X298" s="96">
        <f t="shared" si="253"/>
        <v>0</v>
      </c>
      <c r="Y298" s="96">
        <f t="shared" si="253"/>
        <v>0</v>
      </c>
      <c r="Z298" s="96">
        <f t="shared" si="253"/>
        <v>0</v>
      </c>
      <c r="AA298" s="96">
        <f t="shared" si="253"/>
        <v>0</v>
      </c>
      <c r="AB298" s="96">
        <f t="shared" si="253"/>
        <v>0</v>
      </c>
      <c r="AC298" s="96">
        <f t="shared" si="253"/>
        <v>0</v>
      </c>
      <c r="AD298" s="96">
        <f t="shared" si="253"/>
        <v>0</v>
      </c>
    </row>
    <row r="299" spans="5:30" ht="12" x14ac:dyDescent="0.2">
      <c r="E299" s="301"/>
      <c r="F299" s="338" t="str">
        <f>"Subtotal: "&amp;E293</f>
        <v>Subtotal: Objetivo estratégico 8: [No está en uso]</v>
      </c>
      <c r="G299" s="333"/>
      <c r="H299" s="357">
        <f t="shared" ref="H299:AD299" si="254">H222/EXCHANGE_RATE</f>
        <v>0</v>
      </c>
      <c r="I299" s="358">
        <f t="shared" si="254"/>
        <v>0</v>
      </c>
      <c r="J299" s="358">
        <f t="shared" si="254"/>
        <v>0</v>
      </c>
      <c r="K299" s="370">
        <f t="shared" si="254"/>
        <v>0</v>
      </c>
      <c r="L299" s="370">
        <f t="shared" si="254"/>
        <v>0</v>
      </c>
      <c r="M299" s="370">
        <f t="shared" si="254"/>
        <v>0</v>
      </c>
      <c r="N299" s="370">
        <f t="shared" si="254"/>
        <v>0</v>
      </c>
      <c r="O299" s="370">
        <f t="shared" si="254"/>
        <v>0</v>
      </c>
      <c r="P299" s="370">
        <f t="shared" si="254"/>
        <v>0</v>
      </c>
      <c r="Q299" s="370">
        <f t="shared" si="254"/>
        <v>0</v>
      </c>
      <c r="R299" s="370">
        <f t="shared" si="254"/>
        <v>0</v>
      </c>
      <c r="S299" s="370">
        <f t="shared" si="254"/>
        <v>0</v>
      </c>
      <c r="T299" s="370">
        <f t="shared" si="254"/>
        <v>0</v>
      </c>
      <c r="U299" s="337">
        <f t="shared" si="254"/>
        <v>0</v>
      </c>
      <c r="V299" s="337">
        <f t="shared" si="254"/>
        <v>0</v>
      </c>
      <c r="W299" s="337">
        <f t="shared" si="254"/>
        <v>0</v>
      </c>
      <c r="X299" s="337">
        <f t="shared" si="254"/>
        <v>0</v>
      </c>
      <c r="Y299" s="337">
        <f t="shared" si="254"/>
        <v>0</v>
      </c>
      <c r="Z299" s="337">
        <f t="shared" si="254"/>
        <v>0</v>
      </c>
      <c r="AA299" s="337">
        <f t="shared" si="254"/>
        <v>0</v>
      </c>
      <c r="AB299" s="337">
        <f t="shared" si="254"/>
        <v>0</v>
      </c>
      <c r="AC299" s="337">
        <f t="shared" si="254"/>
        <v>0</v>
      </c>
      <c r="AD299" s="337">
        <f t="shared" si="254"/>
        <v>0</v>
      </c>
    </row>
    <row r="300" spans="5:30" ht="12" x14ac:dyDescent="0.2">
      <c r="E300" s="301" t="str">
        <f>Strategy9</f>
        <v>Objetivo estratégico 9: [No está en uso]</v>
      </c>
      <c r="G300" s="94"/>
      <c r="H300" s="363"/>
      <c r="I300" s="364"/>
      <c r="J300" s="356"/>
      <c r="K300" s="369"/>
      <c r="L300" s="369"/>
      <c r="M300" s="369"/>
      <c r="N300" s="369"/>
      <c r="O300" s="369"/>
      <c r="P300" s="369"/>
      <c r="Q300" s="369"/>
      <c r="R300" s="369"/>
      <c r="S300" s="369"/>
      <c r="T300" s="369"/>
      <c r="U300" s="96"/>
      <c r="V300" s="96"/>
      <c r="W300" s="96"/>
      <c r="X300" s="96"/>
      <c r="Y300" s="96"/>
      <c r="Z300" s="96"/>
      <c r="AA300" s="96"/>
      <c r="AB300" s="96"/>
      <c r="AC300" s="96"/>
      <c r="AD300" s="96"/>
    </row>
    <row r="301" spans="5:30" ht="12" x14ac:dyDescent="0.2">
      <c r="E301" s="301"/>
      <c r="F301" s="94" t="str">
        <f>STRAT9_IND1</f>
        <v>Objetivo estratégico 9 Indicador 1</v>
      </c>
      <c r="G301" s="94" t="str">
        <f ca="1">OFFSET(Variables_Lu!$D$10,Basic_Setup!H82,0)</f>
        <v>Nutrition-specific</v>
      </c>
      <c r="H301" s="354">
        <f t="shared" ref="H301:AD301" si="255">H224/EXCHANGE_RATE</f>
        <v>0</v>
      </c>
      <c r="I301" s="355">
        <f t="shared" si="255"/>
        <v>0</v>
      </c>
      <c r="J301" s="356">
        <f t="shared" si="255"/>
        <v>0</v>
      </c>
      <c r="K301" s="369">
        <f t="shared" si="255"/>
        <v>0</v>
      </c>
      <c r="L301" s="369">
        <f t="shared" si="255"/>
        <v>0</v>
      </c>
      <c r="M301" s="369">
        <f t="shared" si="255"/>
        <v>0</v>
      </c>
      <c r="N301" s="369">
        <f t="shared" si="255"/>
        <v>0</v>
      </c>
      <c r="O301" s="369">
        <f t="shared" si="255"/>
        <v>0</v>
      </c>
      <c r="P301" s="369">
        <f t="shared" si="255"/>
        <v>0</v>
      </c>
      <c r="Q301" s="369">
        <f t="shared" si="255"/>
        <v>0</v>
      </c>
      <c r="R301" s="369">
        <f t="shared" si="255"/>
        <v>0</v>
      </c>
      <c r="S301" s="369">
        <f t="shared" si="255"/>
        <v>0</v>
      </c>
      <c r="T301" s="369">
        <f t="shared" si="255"/>
        <v>0</v>
      </c>
      <c r="U301" s="96">
        <f t="shared" si="255"/>
        <v>0</v>
      </c>
      <c r="V301" s="96">
        <f t="shared" si="255"/>
        <v>0</v>
      </c>
      <c r="W301" s="96">
        <f t="shared" si="255"/>
        <v>0</v>
      </c>
      <c r="X301" s="96">
        <f t="shared" si="255"/>
        <v>0</v>
      </c>
      <c r="Y301" s="96">
        <f t="shared" si="255"/>
        <v>0</v>
      </c>
      <c r="Z301" s="96">
        <f t="shared" si="255"/>
        <v>0</v>
      </c>
      <c r="AA301" s="96">
        <f t="shared" si="255"/>
        <v>0</v>
      </c>
      <c r="AB301" s="96">
        <f t="shared" si="255"/>
        <v>0</v>
      </c>
      <c r="AC301" s="96">
        <f t="shared" si="255"/>
        <v>0</v>
      </c>
      <c r="AD301" s="96">
        <f t="shared" si="255"/>
        <v>0</v>
      </c>
    </row>
    <row r="302" spans="5:30" ht="12" x14ac:dyDescent="0.2">
      <c r="E302" s="301"/>
      <c r="F302" s="94" t="str">
        <f>STRAT9_IND2</f>
        <v>Objetivo estratégico 9 Indicador 2</v>
      </c>
      <c r="G302" s="94" t="str">
        <f ca="1">OFFSET(Variables_Lu!$D$10,Basic_Setup!H83,0)</f>
        <v>Nutrition-specific</v>
      </c>
      <c r="H302" s="354">
        <f t="shared" ref="H302:AD302" si="256">H225/EXCHANGE_RATE</f>
        <v>0</v>
      </c>
      <c r="I302" s="355">
        <f t="shared" si="256"/>
        <v>0</v>
      </c>
      <c r="J302" s="356">
        <f t="shared" si="256"/>
        <v>0</v>
      </c>
      <c r="K302" s="369">
        <f t="shared" si="256"/>
        <v>0</v>
      </c>
      <c r="L302" s="369">
        <f t="shared" si="256"/>
        <v>0</v>
      </c>
      <c r="M302" s="369">
        <f t="shared" si="256"/>
        <v>0</v>
      </c>
      <c r="N302" s="369">
        <f t="shared" si="256"/>
        <v>0</v>
      </c>
      <c r="O302" s="369">
        <f t="shared" si="256"/>
        <v>0</v>
      </c>
      <c r="P302" s="369">
        <f t="shared" si="256"/>
        <v>0</v>
      </c>
      <c r="Q302" s="369">
        <f t="shared" si="256"/>
        <v>0</v>
      </c>
      <c r="R302" s="369">
        <f t="shared" si="256"/>
        <v>0</v>
      </c>
      <c r="S302" s="369">
        <f t="shared" si="256"/>
        <v>0</v>
      </c>
      <c r="T302" s="369">
        <f t="shared" si="256"/>
        <v>0</v>
      </c>
      <c r="U302" s="96">
        <f t="shared" si="256"/>
        <v>0</v>
      </c>
      <c r="V302" s="96">
        <f t="shared" si="256"/>
        <v>0</v>
      </c>
      <c r="W302" s="96">
        <f t="shared" si="256"/>
        <v>0</v>
      </c>
      <c r="X302" s="96">
        <f t="shared" si="256"/>
        <v>0</v>
      </c>
      <c r="Y302" s="96">
        <f t="shared" si="256"/>
        <v>0</v>
      </c>
      <c r="Z302" s="96">
        <f t="shared" si="256"/>
        <v>0</v>
      </c>
      <c r="AA302" s="96">
        <f t="shared" si="256"/>
        <v>0</v>
      </c>
      <c r="AB302" s="96">
        <f t="shared" si="256"/>
        <v>0</v>
      </c>
      <c r="AC302" s="96">
        <f t="shared" si="256"/>
        <v>0</v>
      </c>
      <c r="AD302" s="96">
        <f t="shared" si="256"/>
        <v>0</v>
      </c>
    </row>
    <row r="303" spans="5:30" ht="12" x14ac:dyDescent="0.2">
      <c r="E303" s="301"/>
      <c r="F303" s="94" t="str">
        <f>STRAT9_IND3</f>
        <v>Objetivo estratégico 9 Indicador 3</v>
      </c>
      <c r="G303" s="94" t="str">
        <f ca="1">OFFSET(Variables_Lu!$D$10,Basic_Setup!H84,0)</f>
        <v>Nutrition-specific</v>
      </c>
      <c r="H303" s="354">
        <f t="shared" ref="H303:AD303" si="257">H226/EXCHANGE_RATE</f>
        <v>0</v>
      </c>
      <c r="I303" s="355">
        <f t="shared" si="257"/>
        <v>0</v>
      </c>
      <c r="J303" s="356">
        <f t="shared" si="257"/>
        <v>0</v>
      </c>
      <c r="K303" s="369">
        <f t="shared" si="257"/>
        <v>0</v>
      </c>
      <c r="L303" s="369">
        <f t="shared" si="257"/>
        <v>0</v>
      </c>
      <c r="M303" s="369">
        <f t="shared" si="257"/>
        <v>0</v>
      </c>
      <c r="N303" s="369">
        <f t="shared" si="257"/>
        <v>0</v>
      </c>
      <c r="O303" s="369">
        <f t="shared" si="257"/>
        <v>0</v>
      </c>
      <c r="P303" s="369">
        <f t="shared" si="257"/>
        <v>0</v>
      </c>
      <c r="Q303" s="369">
        <f t="shared" si="257"/>
        <v>0</v>
      </c>
      <c r="R303" s="369">
        <f t="shared" si="257"/>
        <v>0</v>
      </c>
      <c r="S303" s="369">
        <f t="shared" si="257"/>
        <v>0</v>
      </c>
      <c r="T303" s="369">
        <f t="shared" si="257"/>
        <v>0</v>
      </c>
      <c r="U303" s="96">
        <f t="shared" si="257"/>
        <v>0</v>
      </c>
      <c r="V303" s="96">
        <f t="shared" si="257"/>
        <v>0</v>
      </c>
      <c r="W303" s="96">
        <f t="shared" si="257"/>
        <v>0</v>
      </c>
      <c r="X303" s="96">
        <f t="shared" si="257"/>
        <v>0</v>
      </c>
      <c r="Y303" s="96">
        <f t="shared" si="257"/>
        <v>0</v>
      </c>
      <c r="Z303" s="96">
        <f t="shared" si="257"/>
        <v>0</v>
      </c>
      <c r="AA303" s="96">
        <f t="shared" si="257"/>
        <v>0</v>
      </c>
      <c r="AB303" s="96">
        <f t="shared" si="257"/>
        <v>0</v>
      </c>
      <c r="AC303" s="96">
        <f t="shared" si="257"/>
        <v>0</v>
      </c>
      <c r="AD303" s="96">
        <f t="shared" si="257"/>
        <v>0</v>
      </c>
    </row>
    <row r="304" spans="5:30" ht="11.25" customHeight="1" x14ac:dyDescent="0.2">
      <c r="E304" s="301"/>
      <c r="F304" s="94" t="str">
        <f>STRAT9_IND4</f>
        <v>Objetivo estratégico 9 Indicador 4</v>
      </c>
      <c r="G304" s="94" t="str">
        <f ca="1">OFFSET(Variables_Lu!$D$10,Basic_Setup!H85,0)</f>
        <v>Nutrition-specific</v>
      </c>
      <c r="H304" s="354">
        <f t="shared" ref="H304:AD304" si="258">H227/EXCHANGE_RATE</f>
        <v>0</v>
      </c>
      <c r="I304" s="355">
        <f t="shared" si="258"/>
        <v>0</v>
      </c>
      <c r="J304" s="356">
        <f t="shared" si="258"/>
        <v>0</v>
      </c>
      <c r="K304" s="369">
        <f t="shared" si="258"/>
        <v>0</v>
      </c>
      <c r="L304" s="369">
        <f t="shared" si="258"/>
        <v>0</v>
      </c>
      <c r="M304" s="369">
        <f t="shared" si="258"/>
        <v>0</v>
      </c>
      <c r="N304" s="369">
        <f t="shared" si="258"/>
        <v>0</v>
      </c>
      <c r="O304" s="369">
        <f t="shared" si="258"/>
        <v>0</v>
      </c>
      <c r="P304" s="369">
        <f t="shared" si="258"/>
        <v>0</v>
      </c>
      <c r="Q304" s="369">
        <f t="shared" si="258"/>
        <v>0</v>
      </c>
      <c r="R304" s="369">
        <f t="shared" si="258"/>
        <v>0</v>
      </c>
      <c r="S304" s="369">
        <f t="shared" si="258"/>
        <v>0</v>
      </c>
      <c r="T304" s="369">
        <f t="shared" si="258"/>
        <v>0</v>
      </c>
      <c r="U304" s="96">
        <f t="shared" si="258"/>
        <v>0</v>
      </c>
      <c r="V304" s="96">
        <f t="shared" si="258"/>
        <v>0</v>
      </c>
      <c r="W304" s="96">
        <f t="shared" si="258"/>
        <v>0</v>
      </c>
      <c r="X304" s="96">
        <f t="shared" si="258"/>
        <v>0</v>
      </c>
      <c r="Y304" s="96">
        <f t="shared" si="258"/>
        <v>0</v>
      </c>
      <c r="Z304" s="96">
        <f t="shared" si="258"/>
        <v>0</v>
      </c>
      <c r="AA304" s="96">
        <f t="shared" si="258"/>
        <v>0</v>
      </c>
      <c r="AB304" s="96">
        <f t="shared" si="258"/>
        <v>0</v>
      </c>
      <c r="AC304" s="96">
        <f t="shared" si="258"/>
        <v>0</v>
      </c>
      <c r="AD304" s="96">
        <f t="shared" si="258"/>
        <v>0</v>
      </c>
    </row>
    <row r="305" spans="1:30" ht="12" x14ac:dyDescent="0.2">
      <c r="E305" s="301"/>
      <c r="F305" s="94" t="str">
        <f>STRAT9_IND5</f>
        <v>Objetivo estratégico 9 Indicador 5</v>
      </c>
      <c r="G305" s="94" t="str">
        <f ca="1">OFFSET(Variables_Lu!$D$10,Basic_Setup!H86,0)</f>
        <v>Nutrition-specific</v>
      </c>
      <c r="H305" s="354">
        <f t="shared" ref="H305:AD305" si="259">H228/EXCHANGE_RATE</f>
        <v>0</v>
      </c>
      <c r="I305" s="355">
        <f t="shared" si="259"/>
        <v>0</v>
      </c>
      <c r="J305" s="356">
        <f t="shared" si="259"/>
        <v>0</v>
      </c>
      <c r="K305" s="369">
        <f t="shared" si="259"/>
        <v>0</v>
      </c>
      <c r="L305" s="369">
        <f t="shared" si="259"/>
        <v>0</v>
      </c>
      <c r="M305" s="369">
        <f t="shared" si="259"/>
        <v>0</v>
      </c>
      <c r="N305" s="369">
        <f t="shared" si="259"/>
        <v>0</v>
      </c>
      <c r="O305" s="369">
        <f t="shared" si="259"/>
        <v>0</v>
      </c>
      <c r="P305" s="369">
        <f t="shared" si="259"/>
        <v>0</v>
      </c>
      <c r="Q305" s="369">
        <f t="shared" si="259"/>
        <v>0</v>
      </c>
      <c r="R305" s="369">
        <f t="shared" si="259"/>
        <v>0</v>
      </c>
      <c r="S305" s="369">
        <f t="shared" si="259"/>
        <v>0</v>
      </c>
      <c r="T305" s="369">
        <f t="shared" si="259"/>
        <v>0</v>
      </c>
      <c r="U305" s="96">
        <f t="shared" si="259"/>
        <v>0</v>
      </c>
      <c r="V305" s="96">
        <f t="shared" si="259"/>
        <v>0</v>
      </c>
      <c r="W305" s="96">
        <f t="shared" si="259"/>
        <v>0</v>
      </c>
      <c r="X305" s="96">
        <f t="shared" si="259"/>
        <v>0</v>
      </c>
      <c r="Y305" s="96">
        <f t="shared" si="259"/>
        <v>0</v>
      </c>
      <c r="Z305" s="96">
        <f t="shared" si="259"/>
        <v>0</v>
      </c>
      <c r="AA305" s="96">
        <f t="shared" si="259"/>
        <v>0</v>
      </c>
      <c r="AB305" s="96">
        <f t="shared" si="259"/>
        <v>0</v>
      </c>
      <c r="AC305" s="96">
        <f t="shared" si="259"/>
        <v>0</v>
      </c>
      <c r="AD305" s="96">
        <f t="shared" si="259"/>
        <v>0</v>
      </c>
    </row>
    <row r="306" spans="1:30" ht="12" x14ac:dyDescent="0.2">
      <c r="E306" s="301"/>
      <c r="F306" s="338" t="str">
        <f>"Subtotal: "&amp;E300</f>
        <v>Subtotal: Objetivo estratégico 9: [No está en uso]</v>
      </c>
      <c r="G306" s="333"/>
      <c r="H306" s="357">
        <f t="shared" ref="H306:AD306" si="260">H229/EXCHANGE_RATE</f>
        <v>0</v>
      </c>
      <c r="I306" s="358">
        <f t="shared" si="260"/>
        <v>0</v>
      </c>
      <c r="J306" s="358">
        <f t="shared" si="260"/>
        <v>0</v>
      </c>
      <c r="K306" s="370">
        <f t="shared" si="260"/>
        <v>0</v>
      </c>
      <c r="L306" s="370">
        <f t="shared" si="260"/>
        <v>0</v>
      </c>
      <c r="M306" s="370">
        <f t="shared" si="260"/>
        <v>0</v>
      </c>
      <c r="N306" s="370">
        <f t="shared" si="260"/>
        <v>0</v>
      </c>
      <c r="O306" s="370">
        <f t="shared" si="260"/>
        <v>0</v>
      </c>
      <c r="P306" s="370">
        <f t="shared" si="260"/>
        <v>0</v>
      </c>
      <c r="Q306" s="370">
        <f t="shared" si="260"/>
        <v>0</v>
      </c>
      <c r="R306" s="370">
        <f t="shared" si="260"/>
        <v>0</v>
      </c>
      <c r="S306" s="370">
        <f t="shared" si="260"/>
        <v>0</v>
      </c>
      <c r="T306" s="370">
        <f t="shared" si="260"/>
        <v>0</v>
      </c>
      <c r="U306" s="337">
        <f t="shared" si="260"/>
        <v>0</v>
      </c>
      <c r="V306" s="337">
        <f t="shared" si="260"/>
        <v>0</v>
      </c>
      <c r="W306" s="337">
        <f t="shared" si="260"/>
        <v>0</v>
      </c>
      <c r="X306" s="337">
        <f t="shared" si="260"/>
        <v>0</v>
      </c>
      <c r="Y306" s="337">
        <f t="shared" si="260"/>
        <v>0</v>
      </c>
      <c r="Z306" s="337">
        <f t="shared" si="260"/>
        <v>0</v>
      </c>
      <c r="AA306" s="337">
        <f t="shared" si="260"/>
        <v>0</v>
      </c>
      <c r="AB306" s="337">
        <f t="shared" si="260"/>
        <v>0</v>
      </c>
      <c r="AC306" s="337">
        <f t="shared" si="260"/>
        <v>0</v>
      </c>
      <c r="AD306" s="337">
        <f t="shared" si="260"/>
        <v>0</v>
      </c>
    </row>
    <row r="307" spans="1:30" ht="12" x14ac:dyDescent="0.2">
      <c r="E307" s="301" t="str">
        <f>Strategy10</f>
        <v>Objetivo estratégico 10: [No está en uso]</v>
      </c>
      <c r="G307" s="94"/>
      <c r="H307" s="363"/>
      <c r="I307" s="364"/>
      <c r="J307" s="356"/>
      <c r="K307" s="369"/>
      <c r="L307" s="369"/>
      <c r="M307" s="369"/>
      <c r="N307" s="369"/>
      <c r="O307" s="369"/>
      <c r="P307" s="369"/>
      <c r="Q307" s="369"/>
      <c r="R307" s="369"/>
      <c r="S307" s="369"/>
      <c r="T307" s="369"/>
      <c r="U307" s="96"/>
      <c r="V307" s="96"/>
      <c r="W307" s="96"/>
      <c r="X307" s="96"/>
      <c r="Y307" s="96"/>
      <c r="Z307" s="96"/>
      <c r="AA307" s="96"/>
      <c r="AB307" s="96"/>
      <c r="AC307" s="96"/>
      <c r="AD307" s="96"/>
    </row>
    <row r="308" spans="1:30" ht="12" x14ac:dyDescent="0.2">
      <c r="F308" s="94" t="str">
        <f>STRAT10_IND1</f>
        <v>Objetivo estratégico 10 Indicador 1</v>
      </c>
      <c r="G308" s="94" t="str">
        <f ca="1">OFFSET(Variables_Lu!$D$10,Basic_Setup!H88,0)</f>
        <v>Nutrition-specific</v>
      </c>
      <c r="H308" s="354">
        <f t="shared" ref="H308:AD308" si="261">H231/EXCHANGE_RATE</f>
        <v>0</v>
      </c>
      <c r="I308" s="355">
        <f t="shared" si="261"/>
        <v>0</v>
      </c>
      <c r="J308" s="356">
        <f t="shared" si="261"/>
        <v>0</v>
      </c>
      <c r="K308" s="369">
        <f t="shared" si="261"/>
        <v>0</v>
      </c>
      <c r="L308" s="369">
        <f t="shared" si="261"/>
        <v>0</v>
      </c>
      <c r="M308" s="369">
        <f t="shared" si="261"/>
        <v>0</v>
      </c>
      <c r="N308" s="369">
        <f t="shared" si="261"/>
        <v>0</v>
      </c>
      <c r="O308" s="369">
        <f t="shared" si="261"/>
        <v>0</v>
      </c>
      <c r="P308" s="369">
        <f t="shared" si="261"/>
        <v>0</v>
      </c>
      <c r="Q308" s="369">
        <f t="shared" si="261"/>
        <v>0</v>
      </c>
      <c r="R308" s="369">
        <f t="shared" si="261"/>
        <v>0</v>
      </c>
      <c r="S308" s="369">
        <f t="shared" si="261"/>
        <v>0</v>
      </c>
      <c r="T308" s="369">
        <f t="shared" si="261"/>
        <v>0</v>
      </c>
      <c r="U308" s="96">
        <f t="shared" si="261"/>
        <v>0</v>
      </c>
      <c r="V308" s="96">
        <f t="shared" si="261"/>
        <v>0</v>
      </c>
      <c r="W308" s="96">
        <f t="shared" si="261"/>
        <v>0</v>
      </c>
      <c r="X308" s="96">
        <f t="shared" si="261"/>
        <v>0</v>
      </c>
      <c r="Y308" s="96">
        <f t="shared" si="261"/>
        <v>0</v>
      </c>
      <c r="Z308" s="96">
        <f t="shared" si="261"/>
        <v>0</v>
      </c>
      <c r="AA308" s="96">
        <f t="shared" si="261"/>
        <v>0</v>
      </c>
      <c r="AB308" s="96">
        <f t="shared" si="261"/>
        <v>0</v>
      </c>
      <c r="AC308" s="96">
        <f t="shared" si="261"/>
        <v>0</v>
      </c>
      <c r="AD308" s="96">
        <f t="shared" si="261"/>
        <v>0</v>
      </c>
    </row>
    <row r="309" spans="1:30" ht="12" x14ac:dyDescent="0.2">
      <c r="F309" s="94" t="str">
        <f>STRAT10_IND2</f>
        <v>Objetivo estratégico 10 Indicador 2</v>
      </c>
      <c r="G309" s="94" t="str">
        <f ca="1">OFFSET(Variables_Lu!$D$10,Basic_Setup!H89,0)</f>
        <v>Nutrition-specific</v>
      </c>
      <c r="H309" s="354">
        <f t="shared" ref="H309:AD309" si="262">H232/EXCHANGE_RATE</f>
        <v>0</v>
      </c>
      <c r="I309" s="355">
        <f t="shared" si="262"/>
        <v>0</v>
      </c>
      <c r="J309" s="356">
        <f t="shared" si="262"/>
        <v>0</v>
      </c>
      <c r="K309" s="369">
        <f t="shared" si="262"/>
        <v>0</v>
      </c>
      <c r="L309" s="369">
        <f t="shared" si="262"/>
        <v>0</v>
      </c>
      <c r="M309" s="369">
        <f t="shared" si="262"/>
        <v>0</v>
      </c>
      <c r="N309" s="369">
        <f t="shared" si="262"/>
        <v>0</v>
      </c>
      <c r="O309" s="369">
        <f t="shared" si="262"/>
        <v>0</v>
      </c>
      <c r="P309" s="369">
        <f t="shared" si="262"/>
        <v>0</v>
      </c>
      <c r="Q309" s="369">
        <f t="shared" si="262"/>
        <v>0</v>
      </c>
      <c r="R309" s="369">
        <f t="shared" si="262"/>
        <v>0</v>
      </c>
      <c r="S309" s="369">
        <f t="shared" si="262"/>
        <v>0</v>
      </c>
      <c r="T309" s="369">
        <f t="shared" si="262"/>
        <v>0</v>
      </c>
      <c r="U309" s="96">
        <f t="shared" si="262"/>
        <v>0</v>
      </c>
      <c r="V309" s="96">
        <f t="shared" si="262"/>
        <v>0</v>
      </c>
      <c r="W309" s="96">
        <f t="shared" si="262"/>
        <v>0</v>
      </c>
      <c r="X309" s="96">
        <f t="shared" si="262"/>
        <v>0</v>
      </c>
      <c r="Y309" s="96">
        <f t="shared" si="262"/>
        <v>0</v>
      </c>
      <c r="Z309" s="96">
        <f t="shared" si="262"/>
        <v>0</v>
      </c>
      <c r="AA309" s="96">
        <f t="shared" si="262"/>
        <v>0</v>
      </c>
      <c r="AB309" s="96">
        <f t="shared" si="262"/>
        <v>0</v>
      </c>
      <c r="AC309" s="96">
        <f t="shared" si="262"/>
        <v>0</v>
      </c>
      <c r="AD309" s="96">
        <f t="shared" si="262"/>
        <v>0</v>
      </c>
    </row>
    <row r="310" spans="1:30" ht="12" x14ac:dyDescent="0.2">
      <c r="F310" s="94" t="str">
        <f>STRAT10_IND3</f>
        <v>Objetivo estratégico 10 Indicador 3</v>
      </c>
      <c r="G310" s="94" t="str">
        <f ca="1">OFFSET(Variables_Lu!$D$10,Basic_Setup!H90,0)</f>
        <v>Nutrition-specific</v>
      </c>
      <c r="H310" s="354">
        <f t="shared" ref="H310:AD310" si="263">H233/EXCHANGE_RATE</f>
        <v>0</v>
      </c>
      <c r="I310" s="355">
        <f t="shared" si="263"/>
        <v>0</v>
      </c>
      <c r="J310" s="356">
        <f t="shared" si="263"/>
        <v>0</v>
      </c>
      <c r="K310" s="369">
        <f t="shared" si="263"/>
        <v>0</v>
      </c>
      <c r="L310" s="369">
        <f t="shared" si="263"/>
        <v>0</v>
      </c>
      <c r="M310" s="369">
        <f t="shared" si="263"/>
        <v>0</v>
      </c>
      <c r="N310" s="369">
        <f t="shared" si="263"/>
        <v>0</v>
      </c>
      <c r="O310" s="369">
        <f t="shared" si="263"/>
        <v>0</v>
      </c>
      <c r="P310" s="369">
        <f t="shared" si="263"/>
        <v>0</v>
      </c>
      <c r="Q310" s="369">
        <f t="shared" si="263"/>
        <v>0</v>
      </c>
      <c r="R310" s="369">
        <f t="shared" si="263"/>
        <v>0</v>
      </c>
      <c r="S310" s="369">
        <f t="shared" si="263"/>
        <v>0</v>
      </c>
      <c r="T310" s="369">
        <f t="shared" si="263"/>
        <v>0</v>
      </c>
      <c r="U310" s="96">
        <f t="shared" si="263"/>
        <v>0</v>
      </c>
      <c r="V310" s="96">
        <f t="shared" si="263"/>
        <v>0</v>
      </c>
      <c r="W310" s="96">
        <f t="shared" si="263"/>
        <v>0</v>
      </c>
      <c r="X310" s="96">
        <f t="shared" si="263"/>
        <v>0</v>
      </c>
      <c r="Y310" s="96">
        <f t="shared" si="263"/>
        <v>0</v>
      </c>
      <c r="Z310" s="96">
        <f t="shared" si="263"/>
        <v>0</v>
      </c>
      <c r="AA310" s="96">
        <f t="shared" si="263"/>
        <v>0</v>
      </c>
      <c r="AB310" s="96">
        <f t="shared" si="263"/>
        <v>0</v>
      </c>
      <c r="AC310" s="96">
        <f t="shared" si="263"/>
        <v>0</v>
      </c>
      <c r="AD310" s="96">
        <f t="shared" si="263"/>
        <v>0</v>
      </c>
    </row>
    <row r="311" spans="1:30" ht="12" x14ac:dyDescent="0.2">
      <c r="F311" s="94" t="str">
        <f>STRAT10_IND4</f>
        <v>Objetivo estratégico 10 Indicador 4</v>
      </c>
      <c r="G311" s="94" t="str">
        <f ca="1">OFFSET(Variables_Lu!$D$10,Basic_Setup!H91,0)</f>
        <v>Nutrition-specific</v>
      </c>
      <c r="H311" s="354">
        <f t="shared" ref="H311:AD311" si="264">H234/EXCHANGE_RATE</f>
        <v>0</v>
      </c>
      <c r="I311" s="355">
        <f t="shared" si="264"/>
        <v>0</v>
      </c>
      <c r="J311" s="356">
        <f t="shared" si="264"/>
        <v>0</v>
      </c>
      <c r="K311" s="369">
        <f t="shared" si="264"/>
        <v>0</v>
      </c>
      <c r="L311" s="369">
        <f t="shared" si="264"/>
        <v>0</v>
      </c>
      <c r="M311" s="369">
        <f t="shared" si="264"/>
        <v>0</v>
      </c>
      <c r="N311" s="369">
        <f t="shared" si="264"/>
        <v>0</v>
      </c>
      <c r="O311" s="369">
        <f t="shared" si="264"/>
        <v>0</v>
      </c>
      <c r="P311" s="369">
        <f t="shared" si="264"/>
        <v>0</v>
      </c>
      <c r="Q311" s="369">
        <f t="shared" si="264"/>
        <v>0</v>
      </c>
      <c r="R311" s="369">
        <f t="shared" si="264"/>
        <v>0</v>
      </c>
      <c r="S311" s="369">
        <f t="shared" si="264"/>
        <v>0</v>
      </c>
      <c r="T311" s="369">
        <f t="shared" si="264"/>
        <v>0</v>
      </c>
      <c r="U311" s="96">
        <f t="shared" si="264"/>
        <v>0</v>
      </c>
      <c r="V311" s="96">
        <f t="shared" si="264"/>
        <v>0</v>
      </c>
      <c r="W311" s="96">
        <f t="shared" si="264"/>
        <v>0</v>
      </c>
      <c r="X311" s="96">
        <f t="shared" si="264"/>
        <v>0</v>
      </c>
      <c r="Y311" s="96">
        <f t="shared" si="264"/>
        <v>0</v>
      </c>
      <c r="Z311" s="96">
        <f t="shared" si="264"/>
        <v>0</v>
      </c>
      <c r="AA311" s="96">
        <f t="shared" si="264"/>
        <v>0</v>
      </c>
      <c r="AB311" s="96">
        <f t="shared" si="264"/>
        <v>0</v>
      </c>
      <c r="AC311" s="96">
        <f t="shared" si="264"/>
        <v>0</v>
      </c>
      <c r="AD311" s="96">
        <f t="shared" si="264"/>
        <v>0</v>
      </c>
    </row>
    <row r="312" spans="1:30" ht="12" x14ac:dyDescent="0.2">
      <c r="F312" s="94" t="str">
        <f>STRAT10_IND5</f>
        <v>Objetivo estratégico 10 Indicador 5</v>
      </c>
      <c r="G312" s="94" t="str">
        <f ca="1">OFFSET(Variables_Lu!$D$10,Basic_Setup!H92,0)</f>
        <v>Nutrition-specific</v>
      </c>
      <c r="H312" s="354">
        <f t="shared" ref="H312:AD312" si="265">H235/EXCHANGE_RATE</f>
        <v>0</v>
      </c>
      <c r="I312" s="355">
        <f t="shared" si="265"/>
        <v>0</v>
      </c>
      <c r="J312" s="356">
        <f t="shared" si="265"/>
        <v>0</v>
      </c>
      <c r="K312" s="369">
        <f t="shared" si="265"/>
        <v>0</v>
      </c>
      <c r="L312" s="369">
        <f t="shared" si="265"/>
        <v>0</v>
      </c>
      <c r="M312" s="369">
        <f t="shared" si="265"/>
        <v>0</v>
      </c>
      <c r="N312" s="369">
        <f t="shared" si="265"/>
        <v>0</v>
      </c>
      <c r="O312" s="369">
        <f t="shared" si="265"/>
        <v>0</v>
      </c>
      <c r="P312" s="369">
        <f t="shared" si="265"/>
        <v>0</v>
      </c>
      <c r="Q312" s="369">
        <f t="shared" si="265"/>
        <v>0</v>
      </c>
      <c r="R312" s="369">
        <f t="shared" si="265"/>
        <v>0</v>
      </c>
      <c r="S312" s="369">
        <f t="shared" si="265"/>
        <v>0</v>
      </c>
      <c r="T312" s="369">
        <f t="shared" si="265"/>
        <v>0</v>
      </c>
      <c r="U312" s="96">
        <f t="shared" si="265"/>
        <v>0</v>
      </c>
      <c r="V312" s="96">
        <f t="shared" si="265"/>
        <v>0</v>
      </c>
      <c r="W312" s="96">
        <f t="shared" si="265"/>
        <v>0</v>
      </c>
      <c r="X312" s="96">
        <f t="shared" si="265"/>
        <v>0</v>
      </c>
      <c r="Y312" s="96">
        <f t="shared" si="265"/>
        <v>0</v>
      </c>
      <c r="Z312" s="96">
        <f t="shared" si="265"/>
        <v>0</v>
      </c>
      <c r="AA312" s="96">
        <f t="shared" si="265"/>
        <v>0</v>
      </c>
      <c r="AB312" s="96">
        <f t="shared" si="265"/>
        <v>0</v>
      </c>
      <c r="AC312" s="96">
        <f t="shared" si="265"/>
        <v>0</v>
      </c>
      <c r="AD312" s="96">
        <f t="shared" si="265"/>
        <v>0</v>
      </c>
    </row>
    <row r="313" spans="1:30" ht="12.75" customHeight="1" x14ac:dyDescent="0.2">
      <c r="F313" s="338" t="str">
        <f>"Subtotal: "&amp;E307</f>
        <v>Subtotal: Objetivo estratégico 10: [No está en uso]</v>
      </c>
      <c r="G313" s="333"/>
      <c r="H313" s="373">
        <f t="shared" ref="H313:AD313" si="266">H236/EXCHANGE_RATE</f>
        <v>0</v>
      </c>
      <c r="I313" s="358">
        <f t="shared" si="266"/>
        <v>0</v>
      </c>
      <c r="J313" s="358">
        <f t="shared" si="266"/>
        <v>0</v>
      </c>
      <c r="K313" s="370">
        <f t="shared" si="266"/>
        <v>0</v>
      </c>
      <c r="L313" s="370">
        <f t="shared" si="266"/>
        <v>0</v>
      </c>
      <c r="M313" s="370">
        <f t="shared" si="266"/>
        <v>0</v>
      </c>
      <c r="N313" s="370">
        <f t="shared" si="266"/>
        <v>0</v>
      </c>
      <c r="O313" s="370">
        <f t="shared" si="266"/>
        <v>0</v>
      </c>
      <c r="P313" s="370">
        <f t="shared" si="266"/>
        <v>0</v>
      </c>
      <c r="Q313" s="370">
        <f t="shared" si="266"/>
        <v>0</v>
      </c>
      <c r="R313" s="370">
        <f t="shared" si="266"/>
        <v>0</v>
      </c>
      <c r="S313" s="370">
        <f t="shared" si="266"/>
        <v>0</v>
      </c>
      <c r="T313" s="370">
        <f t="shared" si="266"/>
        <v>0</v>
      </c>
      <c r="U313" s="337">
        <f t="shared" si="266"/>
        <v>0</v>
      </c>
      <c r="V313" s="337">
        <f t="shared" si="266"/>
        <v>0</v>
      </c>
      <c r="W313" s="337">
        <f t="shared" si="266"/>
        <v>0</v>
      </c>
      <c r="X313" s="337">
        <f t="shared" si="266"/>
        <v>0</v>
      </c>
      <c r="Y313" s="337">
        <f t="shared" si="266"/>
        <v>0</v>
      </c>
      <c r="Z313" s="337">
        <f t="shared" si="266"/>
        <v>0</v>
      </c>
      <c r="AA313" s="337">
        <f t="shared" si="266"/>
        <v>0</v>
      </c>
      <c r="AB313" s="337">
        <f t="shared" si="266"/>
        <v>0</v>
      </c>
      <c r="AC313" s="337">
        <f t="shared" si="266"/>
        <v>0</v>
      </c>
      <c r="AD313" s="337">
        <f t="shared" si="266"/>
        <v>0</v>
      </c>
    </row>
    <row r="314" spans="1:30" ht="12" x14ac:dyDescent="0.2">
      <c r="F314" s="142" t="str">
        <f>"Total "&amp;" ("&amp;E240&amp;")"</f>
        <v>Total  (USD)</v>
      </c>
      <c r="G314" s="142"/>
      <c r="H314" s="360">
        <f t="shared" ref="H314:AD314" si="267">H237/EXCHANGE_RATE</f>
        <v>85463226.160927922</v>
      </c>
      <c r="I314" s="360">
        <f t="shared" si="267"/>
        <v>30757834.692596681</v>
      </c>
      <c r="J314" s="361">
        <f t="shared" si="267"/>
        <v>54705391.468331248</v>
      </c>
      <c r="K314" s="371">
        <f t="shared" si="267"/>
        <v>2374731.166675</v>
      </c>
      <c r="L314" s="371">
        <f t="shared" si="267"/>
        <v>272464.74191875005</v>
      </c>
      <c r="M314" s="371">
        <f t="shared" si="267"/>
        <v>715000</v>
      </c>
      <c r="N314" s="371">
        <f t="shared" si="267"/>
        <v>76537.262124999994</v>
      </c>
      <c r="O314" s="371">
        <f t="shared" si="267"/>
        <v>32927.408300000003</v>
      </c>
      <c r="P314" s="371">
        <f t="shared" si="267"/>
        <v>11572039.857362499</v>
      </c>
      <c r="Q314" s="371">
        <f t="shared" si="267"/>
        <v>1441271.5733</v>
      </c>
      <c r="R314" s="371">
        <f t="shared" si="267"/>
        <v>70855.45865</v>
      </c>
      <c r="S314" s="371">
        <f t="shared" si="267"/>
        <v>0</v>
      </c>
      <c r="T314" s="371">
        <f t="shared" si="267"/>
        <v>0</v>
      </c>
      <c r="U314" s="371">
        <f t="shared" si="267"/>
        <v>7608000</v>
      </c>
      <c r="V314" s="371">
        <f t="shared" si="267"/>
        <v>20000</v>
      </c>
      <c r="W314" s="371">
        <f t="shared" si="267"/>
        <v>24909278</v>
      </c>
      <c r="X314" s="371">
        <f t="shared" si="267"/>
        <v>1787286</v>
      </c>
      <c r="Y314" s="371">
        <f t="shared" si="267"/>
        <v>3825000</v>
      </c>
      <c r="Z314" s="371">
        <f t="shared" si="267"/>
        <v>0</v>
      </c>
      <c r="AA314" s="371">
        <f t="shared" si="267"/>
        <v>0</v>
      </c>
      <c r="AB314" s="371">
        <f t="shared" si="267"/>
        <v>0</v>
      </c>
      <c r="AC314" s="371">
        <f t="shared" si="267"/>
        <v>0</v>
      </c>
      <c r="AD314" s="371">
        <f t="shared" si="267"/>
        <v>0</v>
      </c>
    </row>
    <row r="316" spans="1:30" s="1" customFormat="1" ht="17.399999999999999" x14ac:dyDescent="0.2">
      <c r="A316" s="35" t="s">
        <v>77</v>
      </c>
      <c r="B316" s="1" t="str">
        <f>"Detailed Report of Financial Requirements, Financing Available (by Contributor), and Financial Gap -"&amp;Ts_First_Fin_Yr+1</f>
        <v>Detailed Report of Financial Requirements, Financing Available (by Contributor), and Financial Gap -2020</v>
      </c>
      <c r="E316" s="304"/>
      <c r="F316" s="99"/>
      <c r="G316" s="99"/>
    </row>
    <row r="318" spans="1:30" ht="17.399999999999999" x14ac:dyDescent="0.2">
      <c r="E318" s="305" t="str">
        <f>CURR_LCU_ABBR</f>
        <v>GOZ</v>
      </c>
    </row>
    <row r="320" spans="1:30" ht="84" x14ac:dyDescent="0.2">
      <c r="E320" s="303" t="s">
        <v>140</v>
      </c>
      <c r="F320" s="10"/>
      <c r="G320" s="302" t="s">
        <v>482</v>
      </c>
      <c r="H320" s="340" t="s">
        <v>143</v>
      </c>
      <c r="I320" s="341" t="s">
        <v>565</v>
      </c>
      <c r="J320" s="342" t="s">
        <v>141</v>
      </c>
      <c r="K320" s="339" t="str">
        <f>Government1</f>
        <v>Ministerio de Agricultura y Ganadería</v>
      </c>
      <c r="L320" s="339" t="str">
        <f>Government2</f>
        <v>Ministerio de Energía y Minas</v>
      </c>
      <c r="M320" s="339" t="str">
        <f>Government3</f>
        <v>Ministerio de Educación Nacional, de Educación Superior e Investigación Científica</v>
      </c>
      <c r="N320" s="339" t="str">
        <f>Government4</f>
        <v>Ministerio de Medioambiente</v>
      </c>
      <c r="O320" s="339" t="str">
        <f>Government5</f>
        <v>Ministerio de Servicio Público</v>
      </c>
      <c r="P320" s="339" t="str">
        <f>Government6</f>
        <v>Ministerio de Salud Pública y Lucha contra el SIDA</v>
      </c>
      <c r="Q320" s="339" t="str">
        <f>Government7</f>
        <v xml:space="preserve">Ministerio de Derechos Humanos, Asuntos Sociales y Género </v>
      </c>
      <c r="R320" s="339" t="str">
        <f>Government8</f>
        <v>Ministerio de Desarrollo Municipal</v>
      </c>
      <c r="S320" s="339" t="str">
        <f>Government9</f>
        <v>[No está en uso]</v>
      </c>
      <c r="T320" s="339" t="str">
        <f>Government10</f>
        <v>[No está en uso]</v>
      </c>
      <c r="U320" s="97" t="str">
        <f>Partner1</f>
        <v>UNICEF</v>
      </c>
      <c r="V320" s="97" t="str">
        <f>Partner2</f>
        <v>Organización Mundial de la Salud</v>
      </c>
      <c r="W320" s="97" t="str">
        <f>Partner3</f>
        <v>Banco Mundial</v>
      </c>
      <c r="X320" s="97" t="str">
        <f>Partner4</f>
        <v>Organización de las Naciones Unidas para la Alimentación y la Agricultura</v>
      </c>
      <c r="Y320" s="97" t="str">
        <f>Partner5</f>
        <v>Programa Mundial de Alimentos</v>
      </c>
      <c r="Z320" s="97" t="str">
        <f>Partner6</f>
        <v>[No está en uso]</v>
      </c>
      <c r="AA320" s="97" t="str">
        <f>Partner7</f>
        <v>[No está en uso]</v>
      </c>
      <c r="AB320" s="97" t="str">
        <f>Partner8</f>
        <v>[No está en uso]</v>
      </c>
      <c r="AC320" s="97" t="str">
        <f>Partner9</f>
        <v>[No está en uso]</v>
      </c>
      <c r="AD320" s="97" t="str">
        <f>Partner10</f>
        <v>[No está en uso]</v>
      </c>
    </row>
    <row r="321" spans="5:30" x14ac:dyDescent="0.2">
      <c r="H321" s="372"/>
      <c r="I321" s="372"/>
      <c r="J321" s="372"/>
    </row>
    <row r="322" spans="5:30" ht="12" x14ac:dyDescent="0.2">
      <c r="E322" s="301" t="str">
        <f>Strategy1</f>
        <v>Objetivo estratégico 1: Fortalecer la gobernanza de la nutrición</v>
      </c>
      <c r="H322" s="343"/>
      <c r="I322" s="344"/>
      <c r="J322" s="345"/>
      <c r="K322" s="368"/>
      <c r="L322" s="368"/>
      <c r="M322" s="368"/>
      <c r="N322" s="368"/>
      <c r="O322" s="368"/>
      <c r="P322" s="368"/>
      <c r="Q322" s="368"/>
      <c r="R322" s="368"/>
      <c r="S322" s="368"/>
      <c r="T322" s="368"/>
      <c r="U322" s="179"/>
      <c r="V322" s="179"/>
      <c r="W322" s="179"/>
      <c r="X322" s="179"/>
      <c r="Y322" s="179"/>
      <c r="Z322" s="179"/>
      <c r="AA322" s="179"/>
      <c r="AB322" s="179"/>
      <c r="AC322" s="179"/>
      <c r="AD322" s="179"/>
    </row>
    <row r="323" spans="5:30" ht="12" x14ac:dyDescent="0.2">
      <c r="F323" s="94" t="str">
        <f>STRAT1_IND1</f>
        <v>Se refuerza la coordinación multisectorial en materia de nutrición</v>
      </c>
      <c r="G323" s="94" t="str">
        <f ca="1">OFFSET(Variables_Lu!$D$10,Basic_Setup!H34,0)</f>
        <v>Governance</v>
      </c>
      <c r="H323" s="346">
        <f>'Financial Req'!$K20</f>
        <v>346606842.5</v>
      </c>
      <c r="I323" s="347">
        <f>H323-J323</f>
        <v>-1026379753.2771986</v>
      </c>
      <c r="J323" s="345">
        <f>SUM(K323:AD323)</f>
        <v>1372986595.7771986</v>
      </c>
      <c r="K323" s="365">
        <f>Government1!$K20</f>
        <v>1709806.440006</v>
      </c>
      <c r="L323" s="365">
        <f>Government2!$K20</f>
        <v>196174.61418150002</v>
      </c>
      <c r="M323" s="365">
        <f>Government3!$K20</f>
        <v>514800</v>
      </c>
      <c r="N323" s="365">
        <f>Government4!$K20</f>
        <v>55106.828730000001</v>
      </c>
      <c r="O323" s="365">
        <f>Government5!$K20</f>
        <v>23707.733976</v>
      </c>
      <c r="P323" s="365">
        <f>Government6!$K20</f>
        <v>8331868.6973009994</v>
      </c>
      <c r="Q323" s="365">
        <f>Government7!$K20</f>
        <v>1037715.5327760001</v>
      </c>
      <c r="R323" s="365">
        <f>Government8!$K20</f>
        <v>51015.930227999997</v>
      </c>
      <c r="S323" s="365">
        <f>Government9!$K20</f>
        <v>0</v>
      </c>
      <c r="T323" s="365">
        <f>Government10!$K20</f>
        <v>0</v>
      </c>
      <c r="U323" s="179">
        <f>Partner1!$K91</f>
        <v>8640000</v>
      </c>
      <c r="V323" s="179">
        <f>Partner2!$K91</f>
        <v>9000000</v>
      </c>
      <c r="W323" s="179">
        <f>Partner3!$K91</f>
        <v>1024376400</v>
      </c>
      <c r="X323" s="179">
        <f>Partner4!$K91</f>
        <v>49050000</v>
      </c>
      <c r="Y323" s="179">
        <f>Partner5!$K91</f>
        <v>270000000</v>
      </c>
      <c r="Z323" s="179">
        <f>Partner6!$K91</f>
        <v>0</v>
      </c>
      <c r="AA323" s="179">
        <f>Partner7!$K91</f>
        <v>0</v>
      </c>
      <c r="AB323" s="179">
        <f>Partner8!$K91</f>
        <v>0</v>
      </c>
      <c r="AC323" s="179">
        <f>Partner9!$K91</f>
        <v>0</v>
      </c>
      <c r="AD323" s="179">
        <f>Partner10!$K91</f>
        <v>0</v>
      </c>
    </row>
    <row r="324" spans="5:30" ht="22.8" x14ac:dyDescent="0.2">
      <c r="F324" s="94" t="str">
        <f>STRAT1_IND2</f>
        <v>Está en funcionamiento el sistema multisectorial de información sobre nutrición para la adopción de decisiones eficaces.</v>
      </c>
      <c r="G324" s="94" t="str">
        <f ca="1">OFFSET(Variables_Lu!$D$10,Basic_Setup!H35,0)</f>
        <v>Governance</v>
      </c>
      <c r="H324" s="346">
        <f>'Financial Req'!$K21</f>
        <v>346606842.5</v>
      </c>
      <c r="I324" s="347">
        <f>H324-J324</f>
        <v>303186646.72280151</v>
      </c>
      <c r="J324" s="345">
        <f>SUM(K324:AD324)</f>
        <v>43420195.777198501</v>
      </c>
      <c r="K324" s="365">
        <f>Government1!$K21</f>
        <v>1709806.440006</v>
      </c>
      <c r="L324" s="365">
        <f>Government2!$K21</f>
        <v>196174.61418150002</v>
      </c>
      <c r="M324" s="365">
        <f>Government3!$K21</f>
        <v>514800</v>
      </c>
      <c r="N324" s="365">
        <f>Government4!$K21</f>
        <v>55106.828730000001</v>
      </c>
      <c r="O324" s="365">
        <f>Government5!$K21</f>
        <v>23707.733976</v>
      </c>
      <c r="P324" s="365">
        <f>Government6!$K21</f>
        <v>8331868.6973009994</v>
      </c>
      <c r="Q324" s="365">
        <f>Government7!$K21</f>
        <v>1037715.5327760001</v>
      </c>
      <c r="R324" s="365">
        <f>Government8!$K21</f>
        <v>51015.930227999997</v>
      </c>
      <c r="S324" s="365">
        <f>Government9!$K21</f>
        <v>0</v>
      </c>
      <c r="T324" s="365">
        <f>Government10!$K21</f>
        <v>0</v>
      </c>
      <c r="U324" s="179">
        <f>Partner1!$K92</f>
        <v>1440000</v>
      </c>
      <c r="V324" s="179">
        <f>Partner2!$K92</f>
        <v>0</v>
      </c>
      <c r="W324" s="179">
        <f>Partner3!$K92</f>
        <v>0</v>
      </c>
      <c r="X324" s="179">
        <f>Partner4!$K92</f>
        <v>30060000</v>
      </c>
      <c r="Y324" s="179">
        <f>Partner5!$K92</f>
        <v>0</v>
      </c>
      <c r="Z324" s="179">
        <f>Partner6!$K92</f>
        <v>0</v>
      </c>
      <c r="AA324" s="179">
        <f>Partner7!$K92</f>
        <v>0</v>
      </c>
      <c r="AB324" s="179">
        <f>Partner8!$K92</f>
        <v>0</v>
      </c>
      <c r="AC324" s="179">
        <f>Partner9!$K92</f>
        <v>0</v>
      </c>
      <c r="AD324" s="179">
        <f>Partner10!$K92</f>
        <v>0</v>
      </c>
    </row>
    <row r="325" spans="5:30" ht="22.8" x14ac:dyDescent="0.2">
      <c r="F325" s="94" t="str">
        <f>STRAT1_IND3</f>
        <v>La investigación en nutrición se utiliza para aclarar que la toma de decisiones se mejora y se refuerza.</v>
      </c>
      <c r="G325" s="94" t="str">
        <f ca="1">OFFSET(Variables_Lu!$D$10,Basic_Setup!H36,0)</f>
        <v>Governance</v>
      </c>
      <c r="H325" s="346">
        <f>'Financial Req'!$K22</f>
        <v>346606842.5</v>
      </c>
      <c r="I325" s="347">
        <f>H325-J325</f>
        <v>331806646.72280151</v>
      </c>
      <c r="J325" s="345">
        <f>SUM(K325:AD325)</f>
        <v>14800195.777198501</v>
      </c>
      <c r="K325" s="365">
        <f>Government1!$K22</f>
        <v>1709806.440006</v>
      </c>
      <c r="L325" s="365">
        <f>Government2!$K22</f>
        <v>196174.61418150002</v>
      </c>
      <c r="M325" s="365">
        <f>Government3!$K22</f>
        <v>514800</v>
      </c>
      <c r="N325" s="365">
        <f>Government4!$K22</f>
        <v>55106.828730000001</v>
      </c>
      <c r="O325" s="365">
        <f>Government5!$K22</f>
        <v>23707.733976</v>
      </c>
      <c r="P325" s="365">
        <f>Government6!$K22</f>
        <v>8331868.6973009994</v>
      </c>
      <c r="Q325" s="365">
        <f>Government7!$K22</f>
        <v>1037715.5327760001</v>
      </c>
      <c r="R325" s="365">
        <f>Government8!$K22</f>
        <v>51015.930227999997</v>
      </c>
      <c r="S325" s="365">
        <f>Government9!$K22</f>
        <v>0</v>
      </c>
      <c r="T325" s="365">
        <f>Government10!$K22</f>
        <v>0</v>
      </c>
      <c r="U325" s="179">
        <f>Partner1!$K93</f>
        <v>2880000</v>
      </c>
      <c r="V325" s="179">
        <f>Partner2!$K93</f>
        <v>0</v>
      </c>
      <c r="W325" s="179">
        <f>Partner3!$K93</f>
        <v>0</v>
      </c>
      <c r="X325" s="179">
        <f>Partner4!$K93</f>
        <v>0</v>
      </c>
      <c r="Y325" s="179">
        <f>Partner5!$K93</f>
        <v>0</v>
      </c>
      <c r="Z325" s="179">
        <f>Partner6!$K93</f>
        <v>0</v>
      </c>
      <c r="AA325" s="179">
        <f>Partner7!$K93</f>
        <v>0</v>
      </c>
      <c r="AB325" s="179">
        <f>Partner8!$K93</f>
        <v>0</v>
      </c>
      <c r="AC325" s="179">
        <f>Partner9!$K93</f>
        <v>0</v>
      </c>
      <c r="AD325" s="179">
        <f>Partner10!$K93</f>
        <v>0</v>
      </c>
    </row>
    <row r="326" spans="5:30" ht="22.8" x14ac:dyDescent="0.2">
      <c r="F326" s="94" t="str">
        <f>STRAT1_IND4</f>
        <v>El marco legislativo y reglamentario de la nutrición se ha fortalecido y está en funcionamiento.</v>
      </c>
      <c r="G326" s="94" t="str">
        <f ca="1">OFFSET(Variables_Lu!$D$10,Basic_Setup!H37,0)</f>
        <v>Governance</v>
      </c>
      <c r="H326" s="346">
        <f>'Financial Req'!$K23</f>
        <v>346606842.5</v>
      </c>
      <c r="I326" s="347">
        <f>H326-J326</f>
        <v>333246646.72280151</v>
      </c>
      <c r="J326" s="345">
        <f>SUM(K326:AD326)</f>
        <v>13360195.777198501</v>
      </c>
      <c r="K326" s="365">
        <f>Government1!$K23</f>
        <v>1709806.440006</v>
      </c>
      <c r="L326" s="365">
        <f>Government2!$K23</f>
        <v>196174.61418150002</v>
      </c>
      <c r="M326" s="365">
        <f>Government3!$K23</f>
        <v>514800</v>
      </c>
      <c r="N326" s="365">
        <f>Government4!$K23</f>
        <v>55106.828730000001</v>
      </c>
      <c r="O326" s="365">
        <f>Government5!$K23</f>
        <v>23707.733976</v>
      </c>
      <c r="P326" s="365">
        <f>Government6!$K23</f>
        <v>8331868.6973009994</v>
      </c>
      <c r="Q326" s="365">
        <f>Government7!$K23</f>
        <v>1037715.5327760001</v>
      </c>
      <c r="R326" s="365">
        <f>Government8!$K23</f>
        <v>51015.930227999997</v>
      </c>
      <c r="S326" s="365">
        <f>Government9!$K23</f>
        <v>0</v>
      </c>
      <c r="T326" s="365">
        <f>Government10!$K23</f>
        <v>0</v>
      </c>
      <c r="U326" s="179">
        <f>Partner1!$K94</f>
        <v>1440000</v>
      </c>
      <c r="V326" s="179">
        <f>Partner2!$K94</f>
        <v>0</v>
      </c>
      <c r="W326" s="179">
        <f>Partner3!$K94</f>
        <v>0</v>
      </c>
      <c r="X326" s="179">
        <f>Partner4!$K94</f>
        <v>0</v>
      </c>
      <c r="Y326" s="179">
        <f>Partner5!$K94</f>
        <v>0</v>
      </c>
      <c r="Z326" s="179">
        <f>Partner6!$K94</f>
        <v>0</v>
      </c>
      <c r="AA326" s="179">
        <f>Partner7!$K94</f>
        <v>0</v>
      </c>
      <c r="AB326" s="179">
        <f>Partner8!$K94</f>
        <v>0</v>
      </c>
      <c r="AC326" s="179">
        <f>Partner9!$K94</f>
        <v>0</v>
      </c>
      <c r="AD326" s="179">
        <f>Partner10!$K94</f>
        <v>0</v>
      </c>
    </row>
    <row r="327" spans="5:30" ht="12" x14ac:dyDescent="0.2">
      <c r="F327" s="94" t="str">
        <f>STRAT1_IND5</f>
        <v>Objetivo estratégico 1 Indicador 5</v>
      </c>
      <c r="G327" s="94" t="str">
        <f ca="1">OFFSET(Variables_Lu!$D$10,Basic_Setup!H38,0)</f>
        <v>Governance</v>
      </c>
      <c r="H327" s="346">
        <f>'Financial Req'!$K24</f>
        <v>0</v>
      </c>
      <c r="I327" s="347">
        <f>H327-J327</f>
        <v>0</v>
      </c>
      <c r="J327" s="345">
        <f>SUM(K327:AD327)</f>
        <v>0</v>
      </c>
      <c r="K327" s="365">
        <f>Government1!$K24</f>
        <v>0</v>
      </c>
      <c r="L327" s="365">
        <f>Government2!$K24</f>
        <v>0</v>
      </c>
      <c r="M327" s="365">
        <f>Government3!$K24</f>
        <v>0</v>
      </c>
      <c r="N327" s="365">
        <f>Government4!$K24</f>
        <v>0</v>
      </c>
      <c r="O327" s="365">
        <f>Government5!$K24</f>
        <v>0</v>
      </c>
      <c r="P327" s="365">
        <f>Government6!$K24</f>
        <v>0</v>
      </c>
      <c r="Q327" s="365">
        <f>Government7!$K24</f>
        <v>0</v>
      </c>
      <c r="R327" s="365">
        <f>Government8!$K24</f>
        <v>0</v>
      </c>
      <c r="S327" s="365">
        <f>Government9!$K24</f>
        <v>0</v>
      </c>
      <c r="T327" s="365">
        <f>Government10!$K24</f>
        <v>0</v>
      </c>
      <c r="U327" s="179">
        <f>Partner1!$K95</f>
        <v>0</v>
      </c>
      <c r="V327" s="179">
        <f>Partner2!$K95</f>
        <v>0</v>
      </c>
      <c r="W327" s="179">
        <f>Partner3!$K95</f>
        <v>0</v>
      </c>
      <c r="X327" s="179">
        <f>Partner4!$K95</f>
        <v>0</v>
      </c>
      <c r="Y327" s="179">
        <f>Partner5!$K95</f>
        <v>0</v>
      </c>
      <c r="Z327" s="179">
        <f>Partner6!$K95</f>
        <v>0</v>
      </c>
      <c r="AA327" s="179">
        <f>Partner7!$K95</f>
        <v>0</v>
      </c>
      <c r="AB327" s="179">
        <f>Partner8!$K95</f>
        <v>0</v>
      </c>
      <c r="AC327" s="179">
        <f>Partner9!$K95</f>
        <v>0</v>
      </c>
      <c r="AD327" s="179">
        <f>Partner10!$K95</f>
        <v>0</v>
      </c>
    </row>
    <row r="328" spans="5:30" ht="22.8" x14ac:dyDescent="0.2">
      <c r="F328" s="332" t="str">
        <f>"Subtotal: "&amp;E167</f>
        <v>Subtotal: Objetivo estratégico 1: Fortalecer la gobernanza de la nutrición</v>
      </c>
      <c r="G328" s="333"/>
      <c r="H328" s="348">
        <f>'Financial Req'!$K25</f>
        <v>1386427370</v>
      </c>
      <c r="I328" s="349">
        <f>SUM(I323:I327)</f>
        <v>-58139813.108794093</v>
      </c>
      <c r="J328" s="350">
        <f>SUM(J323:J327)</f>
        <v>1444567183.1087942</v>
      </c>
      <c r="K328" s="366">
        <f>Government1!$K25</f>
        <v>6839225.760024</v>
      </c>
      <c r="L328" s="366">
        <f>Government2!$K25</f>
        <v>784698.45672600006</v>
      </c>
      <c r="M328" s="366">
        <f>Government3!$K25</f>
        <v>2059200</v>
      </c>
      <c r="N328" s="366">
        <f>Government4!$K25</f>
        <v>220427.31492</v>
      </c>
      <c r="O328" s="366">
        <f>Government5!$K25</f>
        <v>94830.935903999998</v>
      </c>
      <c r="P328" s="366">
        <f>Government6!$K25</f>
        <v>33327474.789203998</v>
      </c>
      <c r="Q328" s="366">
        <f>Government7!$K25</f>
        <v>4150862.1311040004</v>
      </c>
      <c r="R328" s="366">
        <f>Government8!$K25</f>
        <v>204063.72091199999</v>
      </c>
      <c r="S328" s="366">
        <f>Government9!$K25</f>
        <v>0</v>
      </c>
      <c r="T328" s="366">
        <f>Government10!$K25</f>
        <v>0</v>
      </c>
      <c r="U328" s="331">
        <f>Partner1!$K96</f>
        <v>14400000</v>
      </c>
      <c r="V328" s="331">
        <f>Partner2!$K96</f>
        <v>9000000</v>
      </c>
      <c r="W328" s="331">
        <f>Partner3!$K96</f>
        <v>1024376400</v>
      </c>
      <c r="X328" s="331">
        <f>Partner4!$K96</f>
        <v>79110000</v>
      </c>
      <c r="Y328" s="331">
        <f>Partner5!$K96</f>
        <v>270000000</v>
      </c>
      <c r="Z328" s="331">
        <f>Partner6!$K96</f>
        <v>0</v>
      </c>
      <c r="AA328" s="331">
        <f>Partner7!$K96</f>
        <v>0</v>
      </c>
      <c r="AB328" s="331">
        <f>Partner8!$K96</f>
        <v>0</v>
      </c>
      <c r="AC328" s="331">
        <f>Partner9!$K96</f>
        <v>0</v>
      </c>
      <c r="AD328" s="331">
        <f>Partner10!$K96</f>
        <v>0</v>
      </c>
    </row>
    <row r="329" spans="5:30" ht="12" x14ac:dyDescent="0.2">
      <c r="E329" s="301" t="str">
        <f>Strategy2</f>
        <v>Objetivo estratégico 2: Fortalecer el acceso al tratamiento y a los servicios de salud y nutrición de calidad, así como al tratamiento de todas las formas de malnutrición</v>
      </c>
      <c r="G329" s="94"/>
      <c r="H329" s="343"/>
      <c r="I329" s="344"/>
      <c r="J329" s="345"/>
      <c r="K329" s="365"/>
      <c r="L329" s="365"/>
      <c r="M329" s="365"/>
      <c r="N329" s="365"/>
      <c r="O329" s="365"/>
      <c r="P329" s="365"/>
      <c r="Q329" s="365"/>
      <c r="R329" s="365"/>
      <c r="S329" s="365"/>
      <c r="T329" s="365"/>
      <c r="U329" s="179"/>
      <c r="V329" s="179"/>
      <c r="W329" s="179"/>
      <c r="X329" s="179"/>
      <c r="Y329" s="179"/>
      <c r="Z329" s="179"/>
      <c r="AA329" s="179"/>
      <c r="AB329" s="179"/>
      <c r="AC329" s="179"/>
      <c r="AD329" s="179"/>
    </row>
    <row r="330" spans="5:30" ht="34.200000000000003" x14ac:dyDescent="0.2">
      <c r="F330" s="94" t="str">
        <f>STRAT2_IND1</f>
        <v>Se fortalece el acceso y la utilización sostenible de los servicios de salud y nutrición para los niños menores de 5 años, los adolescentes, las mujeres embarazadas y lactantes, y los demás grupos vulnerables</v>
      </c>
      <c r="G330" s="94" t="str">
        <f ca="1">OFFSET(Variables_Lu!$D$10,Basic_Setup!H40,0)</f>
        <v>Nutrition-specific</v>
      </c>
      <c r="H330" s="346">
        <f>'Financial Req'!$K26</f>
        <v>8719468430.4946671</v>
      </c>
      <c r="I330" s="347">
        <f>H330-J330</f>
        <v>-29308596.048753738</v>
      </c>
      <c r="J330" s="345">
        <f>SUM(K330:AD330)</f>
        <v>8748777026.5434208</v>
      </c>
      <c r="K330" s="365">
        <f>Government1!$K26</f>
        <v>90477257.450317502</v>
      </c>
      <c r="L330" s="365">
        <f>Government2!$K26</f>
        <v>10380906.667104376</v>
      </c>
      <c r="M330" s="365">
        <f>Government3!$K26</f>
        <v>27241500</v>
      </c>
      <c r="N330" s="365">
        <f>Government4!$K26</f>
        <v>2916069.6869624997</v>
      </c>
      <c r="O330" s="365">
        <f>Government5!$K26</f>
        <v>1254534.2562299999</v>
      </c>
      <c r="P330" s="365">
        <f>Government6!$K26</f>
        <v>440894718.56551123</v>
      </c>
      <c r="Q330" s="365">
        <f>Government7!$K26</f>
        <v>54912446.942730002</v>
      </c>
      <c r="R330" s="365">
        <f>Government8!$K26</f>
        <v>2699592.9745649998</v>
      </c>
      <c r="S330" s="365">
        <f>Government9!$K26</f>
        <v>0</v>
      </c>
      <c r="T330" s="365">
        <f>Government10!$K26</f>
        <v>0</v>
      </c>
      <c r="U330" s="179">
        <f>Partner1!$K97</f>
        <v>5400000000</v>
      </c>
      <c r="V330" s="179">
        <f>Partner2!$K97</f>
        <v>18000000</v>
      </c>
      <c r="W330" s="179">
        <f>Partner3!$K97</f>
        <v>0</v>
      </c>
      <c r="X330" s="179">
        <f>Partner4!$K97</f>
        <v>0</v>
      </c>
      <c r="Y330" s="179">
        <f>Partner5!$K97</f>
        <v>2700000000</v>
      </c>
      <c r="Z330" s="179">
        <f>Partner6!$K97</f>
        <v>0</v>
      </c>
      <c r="AA330" s="179">
        <f>Partner7!$K97</f>
        <v>0</v>
      </c>
      <c r="AB330" s="179">
        <f>Partner8!$K97</f>
        <v>0</v>
      </c>
      <c r="AC330" s="179">
        <f>Partner9!$K97</f>
        <v>0</v>
      </c>
      <c r="AD330" s="179">
        <f>Partner10!$K97</f>
        <v>0</v>
      </c>
    </row>
    <row r="331" spans="5:30" ht="45.6" x14ac:dyDescent="0.2">
      <c r="F331" s="94" t="str">
        <f>STRAT2_IND2</f>
        <v xml:space="preserve">Se reduce la prevalencia de enfermedades relacionadas con la prevalencia de la malnutrición (paludismo, diarrea, neumonía, parásitos intestinales, VIH, TNM) en lactantes, adolescentes y mujeres en edad reproductiva. </v>
      </c>
      <c r="G331" s="94" t="str">
        <f ca="1">OFFSET(Variables_Lu!$D$10,Basic_Setup!H41,0)</f>
        <v>Nutrition-sensitive</v>
      </c>
      <c r="H331" s="346">
        <f>'Financial Req'!$K27</f>
        <v>8719468430.4946671</v>
      </c>
      <c r="I331" s="347">
        <f>H331-J331</f>
        <v>-3425598996.0487537</v>
      </c>
      <c r="J331" s="345">
        <f>SUM(K331:AD331)</f>
        <v>12145067426.543421</v>
      </c>
      <c r="K331" s="365">
        <f>Government1!$K27</f>
        <v>90477257.450317502</v>
      </c>
      <c r="L331" s="365">
        <f>Government2!$K27</f>
        <v>10380906.667104376</v>
      </c>
      <c r="M331" s="365">
        <f>Government3!$K27</f>
        <v>27241500</v>
      </c>
      <c r="N331" s="365">
        <f>Government4!$K27</f>
        <v>2916069.6869624997</v>
      </c>
      <c r="O331" s="365">
        <f>Government5!$K27</f>
        <v>1254534.2562299999</v>
      </c>
      <c r="P331" s="365">
        <f>Government6!$K27</f>
        <v>440894718.56551123</v>
      </c>
      <c r="Q331" s="365">
        <f>Government7!$K27</f>
        <v>54912446.942730002</v>
      </c>
      <c r="R331" s="365">
        <f>Government8!$K27</f>
        <v>2699592.9745649998</v>
      </c>
      <c r="S331" s="365">
        <f>Government9!$K27</f>
        <v>0</v>
      </c>
      <c r="T331" s="365">
        <f>Government10!$K27</f>
        <v>0</v>
      </c>
      <c r="U331" s="179">
        <f>Partner1!$K98</f>
        <v>900000000</v>
      </c>
      <c r="V331" s="179">
        <f>Partner2!$K98</f>
        <v>36000000</v>
      </c>
      <c r="W331" s="179">
        <f>Partner3!$K98</f>
        <v>10578290400</v>
      </c>
      <c r="X331" s="179">
        <f>Partner4!$K98</f>
        <v>0</v>
      </c>
      <c r="Y331" s="179">
        <f>Partner5!$K98</f>
        <v>0</v>
      </c>
      <c r="Z331" s="179">
        <f>Partner6!$K98</f>
        <v>0</v>
      </c>
      <c r="AA331" s="179">
        <f>Partner7!$K98</f>
        <v>0</v>
      </c>
      <c r="AB331" s="179">
        <f>Partner8!$K98</f>
        <v>0</v>
      </c>
      <c r="AC331" s="179">
        <f>Partner9!$K98</f>
        <v>0</v>
      </c>
      <c r="AD331" s="179">
        <f>Partner10!$K98</f>
        <v>0</v>
      </c>
    </row>
    <row r="332" spans="5:30" ht="12" x14ac:dyDescent="0.2">
      <c r="F332" s="94" t="str">
        <f>STRAT2_IND3</f>
        <v>Se refuerzan las intervenciones comunitarias en materia de nutrición.</v>
      </c>
      <c r="G332" s="94" t="str">
        <f ca="1">OFFSET(Variables_Lu!$D$10,Basic_Setup!H42,0)</f>
        <v>Nutrition-specific</v>
      </c>
      <c r="H332" s="346">
        <f>'Financial Req'!$K28</f>
        <v>8719468430.4946671</v>
      </c>
      <c r="I332" s="347">
        <f>H332-J332</f>
        <v>5748691403.9512463</v>
      </c>
      <c r="J332" s="345">
        <f>SUM(K332:AD332)</f>
        <v>2970777026.5434208</v>
      </c>
      <c r="K332" s="365">
        <f>Government1!$K28</f>
        <v>90477257.450317502</v>
      </c>
      <c r="L332" s="365">
        <f>Government2!$K28</f>
        <v>10380906.667104376</v>
      </c>
      <c r="M332" s="365">
        <f>Government3!$K28</f>
        <v>27241500</v>
      </c>
      <c r="N332" s="365">
        <f>Government4!$K28</f>
        <v>2916069.6869624997</v>
      </c>
      <c r="O332" s="365">
        <f>Government5!$K28</f>
        <v>1254534.2562299999</v>
      </c>
      <c r="P332" s="365">
        <f>Government6!$K28</f>
        <v>440894718.56551123</v>
      </c>
      <c r="Q332" s="365">
        <f>Government7!$K28</f>
        <v>54912446.942730002</v>
      </c>
      <c r="R332" s="365">
        <f>Government8!$K28</f>
        <v>2699592.9745649998</v>
      </c>
      <c r="S332" s="365">
        <f>Government9!$K28</f>
        <v>0</v>
      </c>
      <c r="T332" s="365">
        <f>Government10!$K28</f>
        <v>0</v>
      </c>
      <c r="U332" s="179">
        <f>Partner1!$K99</f>
        <v>2340000000</v>
      </c>
      <c r="V332" s="179">
        <f>Partner2!$K99</f>
        <v>0</v>
      </c>
      <c r="W332" s="179">
        <f>Partner3!$K99</f>
        <v>0</v>
      </c>
      <c r="X332" s="179">
        <f>Partner4!$K99</f>
        <v>0</v>
      </c>
      <c r="Y332" s="179">
        <f>Partner5!$K99</f>
        <v>0</v>
      </c>
      <c r="Z332" s="179">
        <f>Partner6!$K99</f>
        <v>0</v>
      </c>
      <c r="AA332" s="179">
        <f>Partner7!$K99</f>
        <v>0</v>
      </c>
      <c r="AB332" s="179">
        <f>Partner8!$K99</f>
        <v>0</v>
      </c>
      <c r="AC332" s="179">
        <f>Partner9!$K99</f>
        <v>0</v>
      </c>
      <c r="AD332" s="179">
        <f>Partner10!$K99</f>
        <v>0</v>
      </c>
    </row>
    <row r="333" spans="5:30" ht="12" x14ac:dyDescent="0.2">
      <c r="F333" s="94" t="str">
        <f>STRAT2_IND4</f>
        <v>Objetivo estratégico 2 Indicador 4</v>
      </c>
      <c r="G333" s="94" t="str">
        <f ca="1">OFFSET(Variables_Lu!$D$10,Basic_Setup!H43,0)</f>
        <v>Nutrition-specific</v>
      </c>
      <c r="H333" s="346">
        <f>'Financial Req'!$K29</f>
        <v>0</v>
      </c>
      <c r="I333" s="347">
        <f>H333-J333</f>
        <v>0</v>
      </c>
      <c r="J333" s="345">
        <f>SUM(K333:AD333)</f>
        <v>0</v>
      </c>
      <c r="K333" s="365">
        <f>Government1!$K29</f>
        <v>0</v>
      </c>
      <c r="L333" s="365">
        <f>Government2!$K29</f>
        <v>0</v>
      </c>
      <c r="M333" s="365">
        <f>Government3!$K29</f>
        <v>0</v>
      </c>
      <c r="N333" s="365">
        <f>Government4!$K29</f>
        <v>0</v>
      </c>
      <c r="O333" s="365">
        <f>Government5!$K29</f>
        <v>0</v>
      </c>
      <c r="P333" s="365">
        <f>Government6!$K29</f>
        <v>0</v>
      </c>
      <c r="Q333" s="365">
        <f>Government7!$K29</f>
        <v>0</v>
      </c>
      <c r="R333" s="365">
        <f>Government8!$K29</f>
        <v>0</v>
      </c>
      <c r="S333" s="365">
        <f>Government9!$K29</f>
        <v>0</v>
      </c>
      <c r="T333" s="365">
        <f>Government10!$K29</f>
        <v>0</v>
      </c>
      <c r="U333" s="179">
        <f>Partner1!$K100</f>
        <v>0</v>
      </c>
      <c r="V333" s="179">
        <f>Partner2!$K100</f>
        <v>0</v>
      </c>
      <c r="W333" s="179">
        <f>Partner3!$K100</f>
        <v>0</v>
      </c>
      <c r="X333" s="179">
        <f>Partner4!$K100</f>
        <v>0</v>
      </c>
      <c r="Y333" s="179">
        <f>Partner5!$K100</f>
        <v>0</v>
      </c>
      <c r="Z333" s="179">
        <f>Partner6!$K100</f>
        <v>0</v>
      </c>
      <c r="AA333" s="179">
        <f>Partner7!$K100</f>
        <v>0</v>
      </c>
      <c r="AB333" s="179">
        <f>Partner8!$K100</f>
        <v>0</v>
      </c>
      <c r="AC333" s="179">
        <f>Partner9!$K100</f>
        <v>0</v>
      </c>
      <c r="AD333" s="179">
        <f>Partner10!$K100</f>
        <v>0</v>
      </c>
    </row>
    <row r="334" spans="5:30" ht="12" x14ac:dyDescent="0.2">
      <c r="F334" s="94" t="str">
        <f>STRAT2_IND5</f>
        <v>Objetivo estratégico 2 Indicador 5</v>
      </c>
      <c r="G334" s="94" t="str">
        <f ca="1">OFFSET(Variables_Lu!$D$10,Basic_Setup!H44,0)</f>
        <v>Nutrition-specific</v>
      </c>
      <c r="H334" s="346">
        <f>'Financial Req'!$K30</f>
        <v>0</v>
      </c>
      <c r="I334" s="347">
        <f>H334-J334</f>
        <v>0</v>
      </c>
      <c r="J334" s="345">
        <f>SUM(K334:AD334)</f>
        <v>0</v>
      </c>
      <c r="K334" s="365">
        <f>Government1!$K30</f>
        <v>0</v>
      </c>
      <c r="L334" s="365">
        <f>Government2!$K30</f>
        <v>0</v>
      </c>
      <c r="M334" s="365">
        <f>Government3!$K30</f>
        <v>0</v>
      </c>
      <c r="N334" s="365">
        <f>Government4!$K30</f>
        <v>0</v>
      </c>
      <c r="O334" s="365">
        <f>Government5!$K30</f>
        <v>0</v>
      </c>
      <c r="P334" s="365">
        <f>Government6!$K30</f>
        <v>0</v>
      </c>
      <c r="Q334" s="365">
        <f>Government7!$K30</f>
        <v>0</v>
      </c>
      <c r="R334" s="365">
        <f>Government8!$K30</f>
        <v>0</v>
      </c>
      <c r="S334" s="365">
        <f>Government9!$K30</f>
        <v>0</v>
      </c>
      <c r="T334" s="365">
        <f>Government10!$K30</f>
        <v>0</v>
      </c>
      <c r="U334" s="179">
        <f>Partner1!$K101</f>
        <v>0</v>
      </c>
      <c r="V334" s="179">
        <f>Partner2!$K101</f>
        <v>0</v>
      </c>
      <c r="W334" s="179">
        <f>Partner3!$K101</f>
        <v>0</v>
      </c>
      <c r="X334" s="179">
        <f>Partner4!$K101</f>
        <v>0</v>
      </c>
      <c r="Y334" s="179">
        <f>Partner5!$K101</f>
        <v>0</v>
      </c>
      <c r="Z334" s="179">
        <f>Partner6!$K101</f>
        <v>0</v>
      </c>
      <c r="AA334" s="179">
        <f>Partner7!$K101</f>
        <v>0</v>
      </c>
      <c r="AB334" s="179">
        <f>Partner8!$K101</f>
        <v>0</v>
      </c>
      <c r="AC334" s="179">
        <f>Partner9!$K101</f>
        <v>0</v>
      </c>
      <c r="AD334" s="179">
        <f>Partner10!$K101</f>
        <v>0</v>
      </c>
    </row>
    <row r="335" spans="5:30" ht="34.200000000000003" x14ac:dyDescent="0.2">
      <c r="F335" s="332" t="str">
        <f>"Subtotal: "&amp;E174</f>
        <v>Subtotal: Objetivo estratégico 2: Fortalecer el acceso al tratamiento y a los servicios de salud y nutrición de calidad, así como al tratamiento de todas las formas de malnutrición</v>
      </c>
      <c r="G335" s="333"/>
      <c r="H335" s="348">
        <f>'Financial Req'!$K31</f>
        <v>26158405291.484001</v>
      </c>
      <c r="I335" s="349">
        <f>SUM(I330:I334)</f>
        <v>2293783811.8537388</v>
      </c>
      <c r="J335" s="350">
        <f>SUM(J330:J334)</f>
        <v>23864621479.630264</v>
      </c>
      <c r="K335" s="366">
        <f>Government1!$K31</f>
        <v>271431772.35095251</v>
      </c>
      <c r="L335" s="366">
        <f>Government2!$K31</f>
        <v>31142720.001313128</v>
      </c>
      <c r="M335" s="366">
        <f>Government3!$K31</f>
        <v>81724500</v>
      </c>
      <c r="N335" s="366">
        <f>Government4!$K31</f>
        <v>8748209.0608874988</v>
      </c>
      <c r="O335" s="366">
        <f>Government5!$K31</f>
        <v>3763602.7686899998</v>
      </c>
      <c r="P335" s="366">
        <f>Government6!$K31</f>
        <v>1322684155.6965337</v>
      </c>
      <c r="Q335" s="366">
        <f>Government7!$K31</f>
        <v>164737340.82819</v>
      </c>
      <c r="R335" s="366">
        <f>Government8!$K31</f>
        <v>8098778.9236949999</v>
      </c>
      <c r="S335" s="366">
        <f>Government9!$K31</f>
        <v>0</v>
      </c>
      <c r="T335" s="366">
        <f>Government10!$K31</f>
        <v>0</v>
      </c>
      <c r="U335" s="331">
        <f>Partner1!$K102</f>
        <v>8640000000</v>
      </c>
      <c r="V335" s="331">
        <f>Partner2!$K102</f>
        <v>54000000</v>
      </c>
      <c r="W335" s="331">
        <f>Partner3!$K102</f>
        <v>10578290400</v>
      </c>
      <c r="X335" s="331">
        <f>Partner4!$K102</f>
        <v>0</v>
      </c>
      <c r="Y335" s="331">
        <f>Partner5!$K102</f>
        <v>2700000000</v>
      </c>
      <c r="Z335" s="331">
        <f>Partner6!$K102</f>
        <v>0</v>
      </c>
      <c r="AA335" s="331">
        <f>Partner7!$K102</f>
        <v>0</v>
      </c>
      <c r="AB335" s="331">
        <f>Partner8!$K102</f>
        <v>0</v>
      </c>
      <c r="AC335" s="331">
        <f>Partner9!$K102</f>
        <v>0</v>
      </c>
      <c r="AD335" s="331">
        <f>Partner10!$K102</f>
        <v>0</v>
      </c>
    </row>
    <row r="336" spans="5:30" ht="12" x14ac:dyDescent="0.2">
      <c r="E336" s="301" t="str">
        <f>Strategy3</f>
        <v>Objetivo estratégico 3: Aumentar la disponibilidad y el acceso a alimentos nutritivos de alto valor, seguros y diversificados</v>
      </c>
      <c r="G336" s="94"/>
      <c r="H336" s="343"/>
      <c r="I336" s="344"/>
      <c r="J336" s="345"/>
      <c r="K336" s="365"/>
      <c r="L336" s="365"/>
      <c r="M336" s="365"/>
      <c r="N336" s="365"/>
      <c r="O336" s="365"/>
      <c r="P336" s="365"/>
      <c r="Q336" s="365"/>
      <c r="R336" s="365"/>
      <c r="S336" s="365"/>
      <c r="T336" s="365"/>
      <c r="U336" s="179"/>
      <c r="V336" s="179"/>
      <c r="W336" s="179"/>
      <c r="X336" s="179"/>
      <c r="Y336" s="179"/>
      <c r="Z336" s="179"/>
      <c r="AA336" s="179"/>
      <c r="AB336" s="179"/>
      <c r="AC336" s="179"/>
      <c r="AD336" s="179"/>
    </row>
    <row r="337" spans="5:30" ht="33" customHeight="1" x14ac:dyDescent="0.2">
      <c r="F337" s="94" t="str">
        <f>STRAT3_IND1</f>
        <v xml:space="preserve">Aumenta la disponibilidad y el acceso a alimentos de alto valor nutritivo en los hogares. </v>
      </c>
      <c r="G337" s="94" t="str">
        <f ca="1">OFFSET(Variables_Lu!$D$10,Basic_Setup!H46,0)</f>
        <v>Nutrition-specific</v>
      </c>
      <c r="H337" s="346">
        <f>'Financial Req'!$K32</f>
        <v>44392749614.5411</v>
      </c>
      <c r="I337" s="347">
        <f>H337-J337</f>
        <v>-31057405093.040855</v>
      </c>
      <c r="J337" s="345">
        <f>SUM(K337:AD337)</f>
        <v>75450154707.581955</v>
      </c>
      <c r="K337" s="365">
        <f>Government1!$K32</f>
        <v>1069911379.8337545</v>
      </c>
      <c r="L337" s="365">
        <f>Government2!$K32</f>
        <v>122756264.82407364</v>
      </c>
      <c r="M337" s="365">
        <f>Government3!$K32</f>
        <v>322136100</v>
      </c>
      <c r="N337" s="365">
        <f>Government4!$K32</f>
        <v>34483098.077797502</v>
      </c>
      <c r="O337" s="365">
        <f>Government5!$K32</f>
        <v>14835114.535482001</v>
      </c>
      <c r="P337" s="365">
        <f>Government6!$K32</f>
        <v>5213666837.3361006</v>
      </c>
      <c r="Q337" s="365">
        <f>Government7!$K32</f>
        <v>649350494.63458204</v>
      </c>
      <c r="R337" s="365">
        <f>Government8!$K32</f>
        <v>31923218.340171002</v>
      </c>
      <c r="S337" s="365">
        <f>Government9!$K32</f>
        <v>0</v>
      </c>
      <c r="T337" s="365">
        <f>Government10!$K32</f>
        <v>0</v>
      </c>
      <c r="U337" s="179">
        <f>Partner1!$K103</f>
        <v>0</v>
      </c>
      <c r="V337" s="179">
        <f>Partner2!$K103</f>
        <v>0</v>
      </c>
      <c r="W337" s="179">
        <f>Partner3!$K103</f>
        <v>65847699000</v>
      </c>
      <c r="X337" s="179">
        <f>Partner4!$K103</f>
        <v>1018393200</v>
      </c>
      <c r="Y337" s="179">
        <f>Partner5!$K103</f>
        <v>1125000000</v>
      </c>
      <c r="Z337" s="179">
        <f>Partner6!$K103</f>
        <v>0</v>
      </c>
      <c r="AA337" s="179">
        <f>Partner7!$K103</f>
        <v>0</v>
      </c>
      <c r="AB337" s="179">
        <f>Partner8!$K103</f>
        <v>0</v>
      </c>
      <c r="AC337" s="179">
        <f>Partner9!$K103</f>
        <v>0</v>
      </c>
      <c r="AD337" s="179">
        <f>Partner10!$K103</f>
        <v>0</v>
      </c>
    </row>
    <row r="338" spans="5:30" ht="13.5" customHeight="1" x14ac:dyDescent="0.2">
      <c r="F338" s="94" t="str">
        <f>STRAT3_IND2</f>
        <v xml:space="preserve"> La seguridad alimentaria está garantizada para toda la nación.</v>
      </c>
      <c r="G338" s="94" t="str">
        <f ca="1">OFFSET(Variables_Lu!$D$10,Basic_Setup!H47,0)</f>
        <v>Nutrition-sensitive</v>
      </c>
      <c r="H338" s="346">
        <f>'Financial Req'!$K33</f>
        <v>44392749614.5411</v>
      </c>
      <c r="I338" s="347">
        <f>H338-J338</f>
        <v>36933687106.959137</v>
      </c>
      <c r="J338" s="345">
        <f>SUM(K338:AD338)</f>
        <v>7459062507.5819616</v>
      </c>
      <c r="K338" s="365">
        <f>Government1!$K33</f>
        <v>1069911379.8337545</v>
      </c>
      <c r="L338" s="365">
        <f>Government2!$K33</f>
        <v>122756264.82407364</v>
      </c>
      <c r="M338" s="365">
        <f>Government3!$K33</f>
        <v>322136100</v>
      </c>
      <c r="N338" s="365">
        <f>Government4!$K33</f>
        <v>34483098.077797502</v>
      </c>
      <c r="O338" s="365">
        <f>Government5!$K33</f>
        <v>14835114.535482001</v>
      </c>
      <c r="P338" s="365">
        <f>Government6!$K33</f>
        <v>5213666837.3361006</v>
      </c>
      <c r="Q338" s="365">
        <f>Government7!$K33</f>
        <v>649350494.63458204</v>
      </c>
      <c r="R338" s="365">
        <f>Government8!$K33</f>
        <v>31923218.340171002</v>
      </c>
      <c r="S338" s="365">
        <f>Government9!$K33</f>
        <v>0</v>
      </c>
      <c r="T338" s="365">
        <f>Government10!$K33</f>
        <v>0</v>
      </c>
      <c r="U338" s="179">
        <f>Partner1!$K104</f>
        <v>0</v>
      </c>
      <c r="V338" s="179">
        <f>Partner2!$K104</f>
        <v>0</v>
      </c>
      <c r="W338" s="179">
        <f>Partner3!$K104</f>
        <v>0</v>
      </c>
      <c r="X338" s="179">
        <f>Partner4!$K104</f>
        <v>0</v>
      </c>
      <c r="Y338" s="179">
        <f>Partner5!$K104</f>
        <v>0</v>
      </c>
      <c r="Z338" s="179">
        <f>Partner6!$K104</f>
        <v>0</v>
      </c>
      <c r="AA338" s="179">
        <f>Partner7!$K104</f>
        <v>0</v>
      </c>
      <c r="AB338" s="179">
        <f>Partner8!$K104</f>
        <v>0</v>
      </c>
      <c r="AC338" s="179">
        <f>Partner9!$K104</f>
        <v>0</v>
      </c>
      <c r="AD338" s="179">
        <f>Partner10!$K104</f>
        <v>0</v>
      </c>
    </row>
    <row r="339" spans="5:30" ht="12" x14ac:dyDescent="0.2">
      <c r="F339" s="94" t="str">
        <f>STRAT3_IND3</f>
        <v>Objetivo estratégico 3 Indicador 3</v>
      </c>
      <c r="G339" s="94" t="str">
        <f ca="1">OFFSET(Variables_Lu!$D$10,Basic_Setup!H48,0)</f>
        <v>Nutrition-specific</v>
      </c>
      <c r="H339" s="346">
        <f>'Financial Req'!$K34</f>
        <v>0</v>
      </c>
      <c r="I339" s="347">
        <f>H339-J339</f>
        <v>0</v>
      </c>
      <c r="J339" s="345">
        <f>SUM(K339:AD339)</f>
        <v>0</v>
      </c>
      <c r="K339" s="365">
        <f>Government1!$K34</f>
        <v>0</v>
      </c>
      <c r="L339" s="365">
        <f>Government2!$K34</f>
        <v>0</v>
      </c>
      <c r="M339" s="365">
        <f>Government3!$K34</f>
        <v>0</v>
      </c>
      <c r="N339" s="365">
        <f>Government4!$K34</f>
        <v>0</v>
      </c>
      <c r="O339" s="365">
        <f>Government5!$K34</f>
        <v>0</v>
      </c>
      <c r="P339" s="365">
        <f>Government6!$K34</f>
        <v>0</v>
      </c>
      <c r="Q339" s="365">
        <f>Government7!$K34</f>
        <v>0</v>
      </c>
      <c r="R339" s="365">
        <f>Government8!$K34</f>
        <v>0</v>
      </c>
      <c r="S339" s="365">
        <f>Government9!$K34</f>
        <v>0</v>
      </c>
      <c r="T339" s="365">
        <f>Government10!$K34</f>
        <v>0</v>
      </c>
      <c r="U339" s="179">
        <f>Partner1!$K105</f>
        <v>0</v>
      </c>
      <c r="V339" s="179">
        <f>Partner2!$K105</f>
        <v>0</v>
      </c>
      <c r="W339" s="179">
        <f>Partner3!$K105</f>
        <v>0</v>
      </c>
      <c r="X339" s="179">
        <f>Partner4!$K105</f>
        <v>0</v>
      </c>
      <c r="Y339" s="179">
        <f>Partner5!$K105</f>
        <v>0</v>
      </c>
      <c r="Z339" s="179">
        <f>Partner6!$K105</f>
        <v>0</v>
      </c>
      <c r="AA339" s="179">
        <f>Partner7!$K105</f>
        <v>0</v>
      </c>
      <c r="AB339" s="179">
        <f>Partner8!$K105</f>
        <v>0</v>
      </c>
      <c r="AC339" s="179">
        <f>Partner9!$K105</f>
        <v>0</v>
      </c>
      <c r="AD339" s="179">
        <f>Partner10!$K105</f>
        <v>0</v>
      </c>
    </row>
    <row r="340" spans="5:30" ht="12" x14ac:dyDescent="0.2">
      <c r="F340" s="94" t="str">
        <f>STRAT3_IND4</f>
        <v>Objetivo estratégico 3 Indicador 4</v>
      </c>
      <c r="G340" s="94" t="str">
        <f ca="1">OFFSET(Variables_Lu!$D$10,Basic_Setup!H49,0)</f>
        <v>Nutrition-specific</v>
      </c>
      <c r="H340" s="346">
        <f>'Financial Req'!$K35</f>
        <v>0</v>
      </c>
      <c r="I340" s="347">
        <f>H340-J340</f>
        <v>0</v>
      </c>
      <c r="J340" s="345">
        <f>SUM(K340:AD340)</f>
        <v>0</v>
      </c>
      <c r="K340" s="365">
        <f>Government1!$K35</f>
        <v>0</v>
      </c>
      <c r="L340" s="365">
        <f>Government2!$K35</f>
        <v>0</v>
      </c>
      <c r="M340" s="365">
        <f>Government3!$K35</f>
        <v>0</v>
      </c>
      <c r="N340" s="365">
        <f>Government4!$K35</f>
        <v>0</v>
      </c>
      <c r="O340" s="365">
        <f>Government5!$K35</f>
        <v>0</v>
      </c>
      <c r="P340" s="365">
        <f>Government6!$K35</f>
        <v>0</v>
      </c>
      <c r="Q340" s="365">
        <f>Government7!$K35</f>
        <v>0</v>
      </c>
      <c r="R340" s="365">
        <f>Government8!$K35</f>
        <v>0</v>
      </c>
      <c r="S340" s="365">
        <f>Government9!$K35</f>
        <v>0</v>
      </c>
      <c r="T340" s="365">
        <f>Government10!$K35</f>
        <v>0</v>
      </c>
      <c r="U340" s="179">
        <f>Partner1!$K106</f>
        <v>0</v>
      </c>
      <c r="V340" s="179">
        <f>Partner2!$K106</f>
        <v>0</v>
      </c>
      <c r="W340" s="179">
        <f>Partner3!$K106</f>
        <v>0</v>
      </c>
      <c r="X340" s="179">
        <f>Partner4!$K106</f>
        <v>0</v>
      </c>
      <c r="Y340" s="179">
        <f>Partner5!$K106</f>
        <v>0</v>
      </c>
      <c r="Z340" s="179">
        <f>Partner6!$K106</f>
        <v>0</v>
      </c>
      <c r="AA340" s="179">
        <f>Partner7!$K106</f>
        <v>0</v>
      </c>
      <c r="AB340" s="179">
        <f>Partner8!$K106</f>
        <v>0</v>
      </c>
      <c r="AC340" s="179">
        <f>Partner9!$K106</f>
        <v>0</v>
      </c>
      <c r="AD340" s="179">
        <f>Partner10!$K106</f>
        <v>0</v>
      </c>
    </row>
    <row r="341" spans="5:30" ht="12" x14ac:dyDescent="0.2">
      <c r="F341" s="94" t="str">
        <f>STRAT3_IND5</f>
        <v>Objetivo estratégico 3 Indicador 5</v>
      </c>
      <c r="G341" s="94" t="str">
        <f ca="1">OFFSET(Variables_Lu!$D$10,Basic_Setup!H50,0)</f>
        <v>Nutrition-specific</v>
      </c>
      <c r="H341" s="346">
        <f>'Financial Req'!$K36</f>
        <v>0</v>
      </c>
      <c r="I341" s="347">
        <f>H341-J341</f>
        <v>0</v>
      </c>
      <c r="J341" s="345">
        <f>SUM(K341:AD341)</f>
        <v>0</v>
      </c>
      <c r="K341" s="365">
        <f>Government1!$K36</f>
        <v>0</v>
      </c>
      <c r="L341" s="365">
        <f>Government2!$K36</f>
        <v>0</v>
      </c>
      <c r="M341" s="365">
        <f>Government3!$K36</f>
        <v>0</v>
      </c>
      <c r="N341" s="365">
        <f>Government4!$K36</f>
        <v>0</v>
      </c>
      <c r="O341" s="365">
        <f>Government5!$K36</f>
        <v>0</v>
      </c>
      <c r="P341" s="365">
        <f>Government6!$K36</f>
        <v>0</v>
      </c>
      <c r="Q341" s="365">
        <f>Government7!$K36</f>
        <v>0</v>
      </c>
      <c r="R341" s="365">
        <f>Government8!$K36</f>
        <v>0</v>
      </c>
      <c r="S341" s="365">
        <f>Government9!$K36</f>
        <v>0</v>
      </c>
      <c r="T341" s="365">
        <f>Government10!$K36</f>
        <v>0</v>
      </c>
      <c r="U341" s="179">
        <f>Partner1!$K107</f>
        <v>0</v>
      </c>
      <c r="V341" s="179">
        <f>Partner2!$K107</f>
        <v>0</v>
      </c>
      <c r="W341" s="179">
        <f>Partner3!$K107</f>
        <v>0</v>
      </c>
      <c r="X341" s="179">
        <f>Partner4!$K107</f>
        <v>0</v>
      </c>
      <c r="Y341" s="179">
        <f>Partner5!$K107</f>
        <v>0</v>
      </c>
      <c r="Z341" s="179">
        <f>Partner6!$K107</f>
        <v>0</v>
      </c>
      <c r="AA341" s="179">
        <f>Partner7!$K107</f>
        <v>0</v>
      </c>
      <c r="AB341" s="179">
        <f>Partner8!$K107</f>
        <v>0</v>
      </c>
      <c r="AC341" s="179">
        <f>Partner9!$K107</f>
        <v>0</v>
      </c>
      <c r="AD341" s="179">
        <f>Partner10!$K107</f>
        <v>0</v>
      </c>
    </row>
    <row r="342" spans="5:30" ht="34.200000000000003" x14ac:dyDescent="0.2">
      <c r="F342" s="332" t="str">
        <f>"Subtotal: "&amp;E181</f>
        <v>Subtotal: Objetivo estratégico 3: Aumentar la disponibilidad y el acceso a alimentos nutritivos de alto valor, seguros y diversificados</v>
      </c>
      <c r="G342" s="333"/>
      <c r="H342" s="348">
        <f>'Financial Req'!$K37</f>
        <v>88785499229.082199</v>
      </c>
      <c r="I342" s="349">
        <f>SUM(I337:I341)</f>
        <v>5876282013.9182816</v>
      </c>
      <c r="J342" s="350">
        <f>SUM(J337:J341)</f>
        <v>82909217215.16391</v>
      </c>
      <c r="K342" s="366">
        <f>Government1!$K37</f>
        <v>2139822759.6675091</v>
      </c>
      <c r="L342" s="366">
        <f>Government2!$K37</f>
        <v>245512529.64814728</v>
      </c>
      <c r="M342" s="366">
        <f>Government3!$K37</f>
        <v>644272200</v>
      </c>
      <c r="N342" s="366">
        <f>Government4!$K37</f>
        <v>68966196.155595005</v>
      </c>
      <c r="O342" s="366">
        <f>Government5!$K37</f>
        <v>29670229.070964001</v>
      </c>
      <c r="P342" s="366">
        <f>Government6!$K37</f>
        <v>10427333674.672201</v>
      </c>
      <c r="Q342" s="366">
        <f>Government7!$K37</f>
        <v>1298700989.2691641</v>
      </c>
      <c r="R342" s="366">
        <f>Government8!$K37</f>
        <v>63846436.680342004</v>
      </c>
      <c r="S342" s="366">
        <f>Government9!$K37</f>
        <v>0</v>
      </c>
      <c r="T342" s="366">
        <f>Government10!$K37</f>
        <v>0</v>
      </c>
      <c r="U342" s="331">
        <f>Partner1!$K108</f>
        <v>0</v>
      </c>
      <c r="V342" s="331">
        <f>Partner2!$K108</f>
        <v>0</v>
      </c>
      <c r="W342" s="331">
        <f>Partner3!$K108</f>
        <v>65847699000</v>
      </c>
      <c r="X342" s="331">
        <f>Partner4!$K108</f>
        <v>1018393200</v>
      </c>
      <c r="Y342" s="331">
        <f>Partner5!$K108</f>
        <v>1125000000</v>
      </c>
      <c r="Z342" s="331">
        <f>Partner6!$K108</f>
        <v>0</v>
      </c>
      <c r="AA342" s="331">
        <f>Partner7!$K108</f>
        <v>0</v>
      </c>
      <c r="AB342" s="331">
        <f>Partner8!$K108</f>
        <v>0</v>
      </c>
      <c r="AC342" s="331">
        <f>Partner9!$K108</f>
        <v>0</v>
      </c>
      <c r="AD342" s="331">
        <f>Partner10!$K108</f>
        <v>0</v>
      </c>
    </row>
    <row r="343" spans="5:30" ht="12" x14ac:dyDescent="0.2">
      <c r="E343" s="301" t="str">
        <f>Strategy4</f>
        <v>Objetivo estratégico 4: Fortalecer la protección social, la resiliencia de la respuesta a las emergencias y los desastres naturales.</v>
      </c>
      <c r="G343" s="94"/>
      <c r="H343" s="343"/>
      <c r="I343" s="344"/>
      <c r="J343" s="345"/>
      <c r="K343" s="365"/>
      <c r="L343" s="365"/>
      <c r="M343" s="365"/>
      <c r="N343" s="365"/>
      <c r="O343" s="365"/>
      <c r="P343" s="365"/>
      <c r="Q343" s="365"/>
      <c r="R343" s="365"/>
      <c r="S343" s="365"/>
      <c r="T343" s="365"/>
      <c r="U343" s="179"/>
      <c r="V343" s="179"/>
      <c r="W343" s="179"/>
      <c r="X343" s="179"/>
      <c r="Y343" s="179"/>
      <c r="Z343" s="179"/>
      <c r="AA343" s="179"/>
      <c r="AB343" s="179"/>
      <c r="AC343" s="179"/>
      <c r="AD343" s="179"/>
    </row>
    <row r="344" spans="5:30" ht="22.8" x14ac:dyDescent="0.2">
      <c r="F344" s="94" t="str">
        <f>STRAT4_IND1</f>
        <v xml:space="preserve">Se garantiza la protección social de los niños menores de 5 años, los adolescentes, FE/FA y otros grupos vulnerables. </v>
      </c>
      <c r="G344" s="94" t="str">
        <f ca="1">OFFSET(Variables_Lu!$D$10,Basic_Setup!H52,0)</f>
        <v>Nutrition-sensitive</v>
      </c>
      <c r="H344" s="346">
        <f>'Financial Req'!$K38</f>
        <v>12897877858.204268</v>
      </c>
      <c r="I344" s="347">
        <f>H344-J344</f>
        <v>-4723454504.3139057</v>
      </c>
      <c r="J344" s="345">
        <f>SUM(K344:AD344)</f>
        <v>17621332362.518173</v>
      </c>
      <c r="K344" s="365">
        <f>Government1!$K38</f>
        <v>602279318.49211347</v>
      </c>
      <c r="L344" s="365">
        <f>Government2!$K38</f>
        <v>69102507.845433384</v>
      </c>
      <c r="M344" s="365">
        <f>Government3!$K38</f>
        <v>181338300</v>
      </c>
      <c r="N344" s="365">
        <f>Government4!$K38</f>
        <v>19411380.420142498</v>
      </c>
      <c r="O344" s="365">
        <f>Government5!$K38</f>
        <v>8351049.2930460004</v>
      </c>
      <c r="P344" s="365">
        <f>Government6!$K38</f>
        <v>2934900748.6242771</v>
      </c>
      <c r="Q344" s="365">
        <f>Government7!$K38</f>
        <v>365535296.42034602</v>
      </c>
      <c r="R344" s="365">
        <f>Government8!$K38</f>
        <v>17970361.422813002</v>
      </c>
      <c r="S344" s="365">
        <f>Government9!$K38</f>
        <v>0</v>
      </c>
      <c r="T344" s="365">
        <f>Government10!$K38</f>
        <v>0</v>
      </c>
      <c r="U344" s="179">
        <f>Partner1!$K109</f>
        <v>72000000</v>
      </c>
      <c r="V344" s="179">
        <f>Partner2!$K109</f>
        <v>0</v>
      </c>
      <c r="W344" s="179">
        <f>Partner3!$K109</f>
        <v>12450443400</v>
      </c>
      <c r="X344" s="179">
        <f>Partner4!$K109</f>
        <v>0</v>
      </c>
      <c r="Y344" s="179">
        <f>Partner5!$K109</f>
        <v>900000000</v>
      </c>
      <c r="Z344" s="179">
        <f>Partner6!$K109</f>
        <v>0</v>
      </c>
      <c r="AA344" s="179">
        <f>Partner7!$K109</f>
        <v>0</v>
      </c>
      <c r="AB344" s="179">
        <f>Partner8!$K109</f>
        <v>0</v>
      </c>
      <c r="AC344" s="179">
        <f>Partner9!$K109</f>
        <v>0</v>
      </c>
      <c r="AD344" s="179">
        <f>Partner10!$K109</f>
        <v>0</v>
      </c>
    </row>
    <row r="345" spans="5:30" ht="34.200000000000003" x14ac:dyDescent="0.2">
      <c r="F345" s="94" t="str">
        <f>STRAT4_IND2</f>
        <v xml:space="preserve">Se fortalece la capacidad de resiliencia y el estado nutricional de las poblaciones vulnerables, incluidos los niños de las zonas desfavorecidas.  </v>
      </c>
      <c r="G345" s="94" t="str">
        <f ca="1">OFFSET(Variables_Lu!$D$10,Basic_Setup!H53,0)</f>
        <v>Nutrition-specific</v>
      </c>
      <c r="H345" s="346">
        <f>'Financial Req'!$K39</f>
        <v>12897877858.204268</v>
      </c>
      <c r="I345" s="347">
        <f>H345-J345</f>
        <v>8510888895.6860962</v>
      </c>
      <c r="J345" s="345">
        <f>SUM(K345:AD345)</f>
        <v>4386988962.5181713</v>
      </c>
      <c r="K345" s="365">
        <f>Government1!$K39</f>
        <v>602279318.49211347</v>
      </c>
      <c r="L345" s="365">
        <f>Government2!$K39</f>
        <v>69102507.845433384</v>
      </c>
      <c r="M345" s="365">
        <f>Government3!$K39</f>
        <v>181338300</v>
      </c>
      <c r="N345" s="365">
        <f>Government4!$K39</f>
        <v>19411380.420142498</v>
      </c>
      <c r="O345" s="365">
        <f>Government5!$K39</f>
        <v>8351049.2930460004</v>
      </c>
      <c r="P345" s="365">
        <f>Government6!$K39</f>
        <v>2934900748.6242771</v>
      </c>
      <c r="Q345" s="365">
        <f>Government7!$K39</f>
        <v>365535296.42034602</v>
      </c>
      <c r="R345" s="365">
        <f>Government8!$K39</f>
        <v>17970361.422813002</v>
      </c>
      <c r="S345" s="365">
        <f>Government9!$K39</f>
        <v>0</v>
      </c>
      <c r="T345" s="365">
        <f>Government10!$K39</f>
        <v>0</v>
      </c>
      <c r="U345" s="179">
        <f>Partner1!$K110</f>
        <v>72000000</v>
      </c>
      <c r="V345" s="179">
        <f>Partner2!$K110</f>
        <v>0</v>
      </c>
      <c r="W345" s="179">
        <f>Partner3!$K110</f>
        <v>0</v>
      </c>
      <c r="X345" s="179">
        <f>Partner4!$K110</f>
        <v>26100000</v>
      </c>
      <c r="Y345" s="179">
        <f>Partner5!$K110</f>
        <v>90000000</v>
      </c>
      <c r="Z345" s="179">
        <f>Partner6!$K110</f>
        <v>0</v>
      </c>
      <c r="AA345" s="179">
        <f>Partner7!$K110</f>
        <v>0</v>
      </c>
      <c r="AB345" s="179">
        <f>Partner8!$K110</f>
        <v>0</v>
      </c>
      <c r="AC345" s="179">
        <f>Partner9!$K110</f>
        <v>0</v>
      </c>
      <c r="AD345" s="179">
        <f>Partner10!$K110</f>
        <v>0</v>
      </c>
    </row>
    <row r="346" spans="5:30" ht="22.8" x14ac:dyDescent="0.2">
      <c r="F346" s="94" t="str">
        <f>STRAT4_IND3</f>
        <v xml:space="preserve"> Se introducen eficazmente intervenciones para emergencias y catástrofes naturales integrales de la nutrición.</v>
      </c>
      <c r="G346" s="94" t="str">
        <f ca="1">OFFSET(Variables_Lu!$D$10,Basic_Setup!H54,0)</f>
        <v>Nutrition-specific</v>
      </c>
      <c r="H346" s="346">
        <f>'Financial Req'!$K40</f>
        <v>12897877858.204268</v>
      </c>
      <c r="I346" s="347">
        <f>H346-J346</f>
        <v>8122988895.6860962</v>
      </c>
      <c r="J346" s="345">
        <f>SUM(K346:AD346)</f>
        <v>4774888962.5181713</v>
      </c>
      <c r="K346" s="365">
        <f>Government1!$K40</f>
        <v>602279318.49211347</v>
      </c>
      <c r="L346" s="365">
        <f>Government2!$K40</f>
        <v>69102507.845433384</v>
      </c>
      <c r="M346" s="365">
        <f>Government3!$K40</f>
        <v>181338300</v>
      </c>
      <c r="N346" s="365">
        <f>Government4!$K40</f>
        <v>19411380.420142498</v>
      </c>
      <c r="O346" s="365">
        <f>Government5!$K40</f>
        <v>8351049.2930460004</v>
      </c>
      <c r="P346" s="365">
        <f>Government6!$K40</f>
        <v>2934900748.6242771</v>
      </c>
      <c r="Q346" s="365">
        <f>Government7!$K40</f>
        <v>365535296.42034602</v>
      </c>
      <c r="R346" s="365">
        <f>Government8!$K40</f>
        <v>17970361.422813002</v>
      </c>
      <c r="S346" s="365">
        <f>Government9!$K40</f>
        <v>0</v>
      </c>
      <c r="T346" s="365">
        <f>Government10!$K40</f>
        <v>0</v>
      </c>
      <c r="U346" s="179">
        <f>Partner1!$K111</f>
        <v>576000000</v>
      </c>
      <c r="V346" s="179">
        <f>Partner2!$K111</f>
        <v>0</v>
      </c>
      <c r="W346" s="179">
        <f>Partner3!$K111</f>
        <v>0</v>
      </c>
      <c r="X346" s="179">
        <f>Partner4!$K111</f>
        <v>0</v>
      </c>
      <c r="Y346" s="179">
        <f>Partner5!$K111</f>
        <v>0</v>
      </c>
      <c r="Z346" s="179">
        <f>Partner6!$K111</f>
        <v>0</v>
      </c>
      <c r="AA346" s="179">
        <f>Partner7!$K111</f>
        <v>0</v>
      </c>
      <c r="AB346" s="179">
        <f>Partner8!$K111</f>
        <v>0</v>
      </c>
      <c r="AC346" s="179">
        <f>Partner9!$K111</f>
        <v>0</v>
      </c>
      <c r="AD346" s="179">
        <f>Partner10!$K111</f>
        <v>0</v>
      </c>
    </row>
    <row r="347" spans="5:30" ht="12" x14ac:dyDescent="0.2">
      <c r="F347" s="94" t="str">
        <f>STRAT4_IND4</f>
        <v>Objetivo estratégico 4 Indicador 4</v>
      </c>
      <c r="G347" s="94" t="str">
        <f ca="1">OFFSET(Variables_Lu!$D$10,Basic_Setup!H55,0)</f>
        <v>Nutrition-specific</v>
      </c>
      <c r="H347" s="346">
        <f>'Financial Req'!$K41</f>
        <v>0</v>
      </c>
      <c r="I347" s="347">
        <f>H347-J347</f>
        <v>0</v>
      </c>
      <c r="J347" s="345">
        <f>SUM(K347:AD347)</f>
        <v>0</v>
      </c>
      <c r="K347" s="365">
        <f>Government1!$K41</f>
        <v>0</v>
      </c>
      <c r="L347" s="365">
        <f>Government2!$K41</f>
        <v>0</v>
      </c>
      <c r="M347" s="365">
        <f>Government3!$K41</f>
        <v>0</v>
      </c>
      <c r="N347" s="365">
        <f>Government4!$K41</f>
        <v>0</v>
      </c>
      <c r="O347" s="365">
        <f>Government5!$K41</f>
        <v>0</v>
      </c>
      <c r="P347" s="365">
        <f>Government6!$K41</f>
        <v>0</v>
      </c>
      <c r="Q347" s="365">
        <f>Government7!$K41</f>
        <v>0</v>
      </c>
      <c r="R347" s="365">
        <f>Government8!$K41</f>
        <v>0</v>
      </c>
      <c r="S347" s="365">
        <f>Government9!$K41</f>
        <v>0</v>
      </c>
      <c r="T347" s="365">
        <f>Government10!$K41</f>
        <v>0</v>
      </c>
      <c r="U347" s="179">
        <f>Partner1!$K112</f>
        <v>0</v>
      </c>
      <c r="V347" s="179">
        <f>Partner2!$K112</f>
        <v>0</v>
      </c>
      <c r="W347" s="179">
        <f>Partner3!$K112</f>
        <v>0</v>
      </c>
      <c r="X347" s="179">
        <f>Partner4!$K112</f>
        <v>0</v>
      </c>
      <c r="Y347" s="179">
        <f>Partner5!$K112</f>
        <v>0</v>
      </c>
      <c r="Z347" s="179">
        <f>Partner6!$K112</f>
        <v>0</v>
      </c>
      <c r="AA347" s="179">
        <f>Partner7!$K112</f>
        <v>0</v>
      </c>
      <c r="AB347" s="179">
        <f>Partner8!$K112</f>
        <v>0</v>
      </c>
      <c r="AC347" s="179">
        <f>Partner9!$K112</f>
        <v>0</v>
      </c>
      <c r="AD347" s="179">
        <f>Partner10!$K112</f>
        <v>0</v>
      </c>
    </row>
    <row r="348" spans="5:30" ht="12" x14ac:dyDescent="0.2">
      <c r="F348" s="94" t="str">
        <f>STRAT4_IND5</f>
        <v>Objetivo estratégico 4 Indicador 5</v>
      </c>
      <c r="G348" s="94" t="str">
        <f ca="1">OFFSET(Variables_Lu!$D$10,Basic_Setup!H56,0)</f>
        <v>Nutrition-specific</v>
      </c>
      <c r="H348" s="346">
        <f>'Financial Req'!$K42</f>
        <v>0</v>
      </c>
      <c r="I348" s="347">
        <f>H348-J348</f>
        <v>0</v>
      </c>
      <c r="J348" s="345">
        <f>SUM(K348:AD348)</f>
        <v>0</v>
      </c>
      <c r="K348" s="365">
        <f>Government1!$K42</f>
        <v>0</v>
      </c>
      <c r="L348" s="365">
        <f>Government2!$K42</f>
        <v>0</v>
      </c>
      <c r="M348" s="365">
        <f>Government3!$K42</f>
        <v>0</v>
      </c>
      <c r="N348" s="365">
        <f>Government4!$K42</f>
        <v>0</v>
      </c>
      <c r="O348" s="365">
        <f>Government5!$K42</f>
        <v>0</v>
      </c>
      <c r="P348" s="365">
        <f>Government6!$K42</f>
        <v>0</v>
      </c>
      <c r="Q348" s="365">
        <f>Government7!$K42</f>
        <v>0</v>
      </c>
      <c r="R348" s="365">
        <f>Government8!$K42</f>
        <v>0</v>
      </c>
      <c r="S348" s="365">
        <f>Government9!$K42</f>
        <v>0</v>
      </c>
      <c r="T348" s="365">
        <f>Government10!$K42</f>
        <v>0</v>
      </c>
      <c r="U348" s="179">
        <f>Partner1!$K113</f>
        <v>0</v>
      </c>
      <c r="V348" s="179">
        <f>Partner2!$K113</f>
        <v>0</v>
      </c>
      <c r="W348" s="179">
        <f>Partner3!$K113</f>
        <v>0</v>
      </c>
      <c r="X348" s="179">
        <f>Partner4!$K113</f>
        <v>0</v>
      </c>
      <c r="Y348" s="179">
        <f>Partner5!$K113</f>
        <v>0</v>
      </c>
      <c r="Z348" s="179">
        <f>Partner6!$K113</f>
        <v>0</v>
      </c>
      <c r="AA348" s="179">
        <f>Partner7!$K113</f>
        <v>0</v>
      </c>
      <c r="AB348" s="179">
        <f>Partner8!$K113</f>
        <v>0</v>
      </c>
      <c r="AC348" s="179">
        <f>Partner9!$K113</f>
        <v>0</v>
      </c>
      <c r="AD348" s="179">
        <f>Partner10!$K113</f>
        <v>0</v>
      </c>
    </row>
    <row r="349" spans="5:30" ht="34.200000000000003" x14ac:dyDescent="0.2">
      <c r="F349" s="332" t="str">
        <f>"Subtotal: "&amp;E188</f>
        <v>Subtotal: Objetivo estratégico 4: Fortalecer la protección social, la resiliencia de la respuesta a las emergencias y los desastres naturales.</v>
      </c>
      <c r="G349" s="333"/>
      <c r="H349" s="348">
        <f>'Financial Req'!$K43</f>
        <v>38693633574.612801</v>
      </c>
      <c r="I349" s="349">
        <f>SUM(I344:I348)</f>
        <v>11910423287.058287</v>
      </c>
      <c r="J349" s="350">
        <f>SUM(J344:J348)</f>
        <v>26783210287.55452</v>
      </c>
      <c r="K349" s="366">
        <f>Government1!$K43</f>
        <v>1806837955.4763403</v>
      </c>
      <c r="L349" s="366">
        <f>Government2!$K43</f>
        <v>207307523.53630015</v>
      </c>
      <c r="M349" s="366">
        <f>Government3!$K43</f>
        <v>544014900</v>
      </c>
      <c r="N349" s="366">
        <f>Government4!$K43</f>
        <v>58234141.26042749</v>
      </c>
      <c r="O349" s="366">
        <f>Government5!$K43</f>
        <v>25053147.879138</v>
      </c>
      <c r="P349" s="366">
        <f>Government6!$K43</f>
        <v>8804702245.8728313</v>
      </c>
      <c r="Q349" s="366">
        <f>Government7!$K43</f>
        <v>1096605889.2610381</v>
      </c>
      <c r="R349" s="366">
        <f>Government8!$K43</f>
        <v>53911084.26843901</v>
      </c>
      <c r="S349" s="366">
        <f>Government9!$K43</f>
        <v>0</v>
      </c>
      <c r="T349" s="366">
        <f>Government10!$K43</f>
        <v>0</v>
      </c>
      <c r="U349" s="331">
        <f>Partner1!$K114</f>
        <v>720000000</v>
      </c>
      <c r="V349" s="331">
        <f>Partner2!$K114</f>
        <v>0</v>
      </c>
      <c r="W349" s="331">
        <f>Partner3!$K114</f>
        <v>12450443400</v>
      </c>
      <c r="X349" s="331">
        <f>Partner4!$K114</f>
        <v>26100000</v>
      </c>
      <c r="Y349" s="331">
        <f>Partner5!$K114</f>
        <v>990000000</v>
      </c>
      <c r="Z349" s="331">
        <f>Partner6!$K114</f>
        <v>0</v>
      </c>
      <c r="AA349" s="331">
        <f>Partner7!$K114</f>
        <v>0</v>
      </c>
      <c r="AB349" s="331">
        <f>Partner8!$K114</f>
        <v>0</v>
      </c>
      <c r="AC349" s="331">
        <f>Partner9!$K114</f>
        <v>0</v>
      </c>
      <c r="AD349" s="331">
        <f>Partner10!$K114</f>
        <v>0</v>
      </c>
    </row>
    <row r="350" spans="5:30" ht="12" x14ac:dyDescent="0.2">
      <c r="E350" s="301" t="str">
        <f>Strategy5</f>
        <v xml:space="preserve">Objetivo estratégico 5: Promoción de prácticas favorables a una nutrición óptima, de higiene y saneamiento básico. </v>
      </c>
      <c r="G350" s="94"/>
      <c r="H350" s="343"/>
      <c r="I350" s="344"/>
      <c r="J350" s="345"/>
      <c r="K350" s="365"/>
      <c r="L350" s="365"/>
      <c r="M350" s="365"/>
      <c r="N350" s="365"/>
      <c r="O350" s="365"/>
      <c r="P350" s="365"/>
      <c r="Q350" s="365"/>
      <c r="R350" s="365"/>
      <c r="S350" s="365"/>
      <c r="T350" s="365"/>
      <c r="U350" s="179"/>
      <c r="V350" s="179"/>
      <c r="W350" s="179"/>
      <c r="X350" s="179"/>
      <c r="Y350" s="179"/>
      <c r="Z350" s="179"/>
      <c r="AA350" s="179"/>
      <c r="AB350" s="179"/>
      <c r="AC350" s="179"/>
      <c r="AD350" s="179"/>
    </row>
    <row r="351" spans="5:30" ht="34.200000000000003" x14ac:dyDescent="0.2">
      <c r="F351" s="94" t="str">
        <f>STRAT5_IND1</f>
        <v>Se mejoran las prácticas nutricionales favorables para los niños menores de 5 años, los adolescentes, las mujeres embarazadas y lactantes, y otros grupos vulnerables.</v>
      </c>
      <c r="G351" s="94" t="str">
        <f ca="1">OFFSET(Variables_Lu!$D$10,Basic_Setup!H58,0)</f>
        <v>Nutrition-specific</v>
      </c>
      <c r="H351" s="346">
        <f>'Financial Req'!$K44</f>
        <v>4490060689.4444332</v>
      </c>
      <c r="I351" s="347">
        <f>H351-J351</f>
        <v>-609544269.73515224</v>
      </c>
      <c r="J351" s="345">
        <f>SUM(K351:AD351)</f>
        <v>5099604959.1795855</v>
      </c>
      <c r="K351" s="365">
        <f>Government1!$K44</f>
        <v>16528128.920057997</v>
      </c>
      <c r="L351" s="365">
        <f>Government2!$K44</f>
        <v>1896354.6037544999</v>
      </c>
      <c r="M351" s="365">
        <f>Government3!$K44</f>
        <v>4976399.9999999991</v>
      </c>
      <c r="N351" s="365">
        <f>Government4!$K44</f>
        <v>532699.34438999987</v>
      </c>
      <c r="O351" s="365">
        <f>Government5!$K44</f>
        <v>229174.76176799997</v>
      </c>
      <c r="P351" s="365">
        <f>Government6!$K44</f>
        <v>80541397.407242998</v>
      </c>
      <c r="Q351" s="365">
        <f>Government7!$K44</f>
        <v>10031250.150168</v>
      </c>
      <c r="R351" s="365">
        <f>Government8!$K44</f>
        <v>493153.99220399995</v>
      </c>
      <c r="S351" s="365">
        <f>Government9!$K44</f>
        <v>0</v>
      </c>
      <c r="T351" s="365">
        <f>Government10!$K44</f>
        <v>0</v>
      </c>
      <c r="U351" s="179">
        <f>Partner1!$K115</f>
        <v>2160000000</v>
      </c>
      <c r="V351" s="179">
        <f>Partner2!$K115</f>
        <v>0</v>
      </c>
      <c r="W351" s="179">
        <f>Partner3!$K115</f>
        <v>1024376400</v>
      </c>
      <c r="X351" s="179">
        <f>Partner4!$K115</f>
        <v>0</v>
      </c>
      <c r="Y351" s="179">
        <f>Partner5!$K115</f>
        <v>1800000000</v>
      </c>
      <c r="Z351" s="179">
        <f>Partner6!$K115</f>
        <v>0</v>
      </c>
      <c r="AA351" s="179">
        <f>Partner7!$K115</f>
        <v>0</v>
      </c>
      <c r="AB351" s="179">
        <f>Partner8!$K115</f>
        <v>0</v>
      </c>
      <c r="AC351" s="179">
        <f>Partner9!$K115</f>
        <v>0</v>
      </c>
      <c r="AD351" s="179">
        <f>Partner10!$K115</f>
        <v>0</v>
      </c>
    </row>
    <row r="352" spans="5:30" ht="22.8" x14ac:dyDescent="0.2">
      <c r="F352" s="94" t="str">
        <f>STRAT5_IND2</f>
        <v>Se promueven dietas saludables y estilos de vida saludables para las personas.</v>
      </c>
      <c r="G352" s="94" t="str">
        <f ca="1">OFFSET(Variables_Lu!$D$10,Basic_Setup!H59,0)</f>
        <v>Nutrition-specific</v>
      </c>
      <c r="H352" s="346">
        <f>'Financial Req'!$K45</f>
        <v>4490060689.4444332</v>
      </c>
      <c r="I352" s="347">
        <f>H352-J352</f>
        <v>3479692130.2648478</v>
      </c>
      <c r="J352" s="345">
        <f>SUM(K352:AD352)</f>
        <v>1010368559.1795855</v>
      </c>
      <c r="K352" s="365">
        <f>Government1!$K45</f>
        <v>16528128.920057997</v>
      </c>
      <c r="L352" s="365">
        <f>Government2!$K45</f>
        <v>1896354.6037544999</v>
      </c>
      <c r="M352" s="365">
        <f>Government3!$K45</f>
        <v>4976399.9999999991</v>
      </c>
      <c r="N352" s="365">
        <f>Government4!$K45</f>
        <v>532699.34438999987</v>
      </c>
      <c r="O352" s="365">
        <f>Government5!$K45</f>
        <v>229174.76176799997</v>
      </c>
      <c r="P352" s="365">
        <f>Government6!$K45</f>
        <v>80541397.407242998</v>
      </c>
      <c r="Q352" s="365">
        <f>Government7!$K45</f>
        <v>10031250.150168</v>
      </c>
      <c r="R352" s="365">
        <f>Government8!$K45</f>
        <v>493153.99220399995</v>
      </c>
      <c r="S352" s="365">
        <f>Government9!$K45</f>
        <v>0</v>
      </c>
      <c r="T352" s="365">
        <f>Government10!$K45</f>
        <v>0</v>
      </c>
      <c r="U352" s="179">
        <f>Partner1!$K116</f>
        <v>864000000</v>
      </c>
      <c r="V352" s="179">
        <f>Partner2!$K116</f>
        <v>0</v>
      </c>
      <c r="W352" s="179">
        <f>Partner3!$K116</f>
        <v>0</v>
      </c>
      <c r="X352" s="179">
        <f>Partner4!$K116</f>
        <v>31140000</v>
      </c>
      <c r="Y352" s="179">
        <f>Partner5!$K116</f>
        <v>0</v>
      </c>
      <c r="Z352" s="179">
        <f>Partner6!$K116</f>
        <v>0</v>
      </c>
      <c r="AA352" s="179">
        <f>Partner7!$K116</f>
        <v>0</v>
      </c>
      <c r="AB352" s="179">
        <f>Partner8!$K116</f>
        <v>0</v>
      </c>
      <c r="AC352" s="179">
        <f>Partner9!$K116</f>
        <v>0</v>
      </c>
      <c r="AD352" s="179">
        <f>Partner10!$K116</f>
        <v>0</v>
      </c>
    </row>
    <row r="353" spans="5:30" ht="22.8" x14ac:dyDescent="0.2">
      <c r="F353" s="94" t="str">
        <f>STRAT5_IND3</f>
        <v>Se promueven las buenas prácticas WASH a nivel comunitario y doméstico</v>
      </c>
      <c r="G353" s="94" t="str">
        <f ca="1">OFFSET(Variables_Lu!$D$10,Basic_Setup!H60,0)</f>
        <v>Nutrition-sensitive</v>
      </c>
      <c r="H353" s="346">
        <f>'Financial Req'!$K46</f>
        <v>4490060689.4444332</v>
      </c>
      <c r="I353" s="347">
        <f>H353-J353</f>
        <v>3078832130.2648478</v>
      </c>
      <c r="J353" s="345">
        <f>SUM(K353:AD353)</f>
        <v>1411228559.1795855</v>
      </c>
      <c r="K353" s="365">
        <f>Government1!$K46</f>
        <v>16528128.920057997</v>
      </c>
      <c r="L353" s="365">
        <f>Government2!$K46</f>
        <v>1896354.6037544999</v>
      </c>
      <c r="M353" s="365">
        <f>Government3!$K46</f>
        <v>4976399.9999999991</v>
      </c>
      <c r="N353" s="365">
        <f>Government4!$K46</f>
        <v>532699.34438999987</v>
      </c>
      <c r="O353" s="365">
        <f>Government5!$K46</f>
        <v>229174.76176799997</v>
      </c>
      <c r="P353" s="365">
        <f>Government6!$K46</f>
        <v>80541397.407242998</v>
      </c>
      <c r="Q353" s="365">
        <f>Government7!$K46</f>
        <v>10031250.150168</v>
      </c>
      <c r="R353" s="365">
        <f>Government8!$K46</f>
        <v>493153.99220399995</v>
      </c>
      <c r="S353" s="365">
        <f>Government9!$K46</f>
        <v>0</v>
      </c>
      <c r="T353" s="365">
        <f>Government10!$K46</f>
        <v>0</v>
      </c>
      <c r="U353" s="179">
        <f>Partner1!$K117</f>
        <v>1296000000</v>
      </c>
      <c r="V353" s="179">
        <f>Partner2!$K117</f>
        <v>0</v>
      </c>
      <c r="W353" s="179">
        <f>Partner3!$K117</f>
        <v>0</v>
      </c>
      <c r="X353" s="179">
        <f>Partner4!$K117</f>
        <v>0</v>
      </c>
      <c r="Y353" s="179">
        <f>Partner5!$K117</f>
        <v>0</v>
      </c>
      <c r="Z353" s="179">
        <f>Partner6!$K117</f>
        <v>0</v>
      </c>
      <c r="AA353" s="179">
        <f>Partner7!$K117</f>
        <v>0</v>
      </c>
      <c r="AB353" s="179">
        <f>Partner8!$K117</f>
        <v>0</v>
      </c>
      <c r="AC353" s="179">
        <f>Partner9!$K117</f>
        <v>0</v>
      </c>
      <c r="AD353" s="179">
        <f>Partner10!$K117</f>
        <v>0</v>
      </c>
    </row>
    <row r="354" spans="5:30" ht="12" x14ac:dyDescent="0.2">
      <c r="F354" s="94" t="str">
        <f>STRAT5_IND4</f>
        <v>Objetivo estratégico 5 Indicador 4</v>
      </c>
      <c r="G354" s="94" t="str">
        <f ca="1">OFFSET(Variables_Lu!$D$10,Basic_Setup!H61,0)</f>
        <v>Nutrition-specific</v>
      </c>
      <c r="H354" s="346">
        <f>'Financial Req'!$K47</f>
        <v>0</v>
      </c>
      <c r="I354" s="347">
        <f>H354-J354</f>
        <v>0</v>
      </c>
      <c r="J354" s="345">
        <f>SUM(K354:AD354)</f>
        <v>0</v>
      </c>
      <c r="K354" s="365">
        <f>Government1!$K47</f>
        <v>0</v>
      </c>
      <c r="L354" s="365">
        <f>Government2!$K47</f>
        <v>0</v>
      </c>
      <c r="M354" s="365">
        <f>Government3!$K47</f>
        <v>0</v>
      </c>
      <c r="N354" s="365">
        <f>Government4!$K47</f>
        <v>0</v>
      </c>
      <c r="O354" s="365">
        <f>Government5!$K47</f>
        <v>0</v>
      </c>
      <c r="P354" s="365">
        <f>Government6!$K47</f>
        <v>0</v>
      </c>
      <c r="Q354" s="365">
        <f>Government7!$K47</f>
        <v>0</v>
      </c>
      <c r="R354" s="365">
        <f>Government8!$K47</f>
        <v>0</v>
      </c>
      <c r="S354" s="365">
        <f>Government9!$K47</f>
        <v>0</v>
      </c>
      <c r="T354" s="365">
        <f>Government10!$K47</f>
        <v>0</v>
      </c>
      <c r="U354" s="179">
        <f>Partner1!$K118</f>
        <v>0</v>
      </c>
      <c r="V354" s="179">
        <f>Partner2!$K118</f>
        <v>0</v>
      </c>
      <c r="W354" s="179">
        <f>Partner3!$K118</f>
        <v>0</v>
      </c>
      <c r="X354" s="179">
        <f>Partner4!$K118</f>
        <v>0</v>
      </c>
      <c r="Y354" s="179">
        <f>Partner5!$K118</f>
        <v>0</v>
      </c>
      <c r="Z354" s="179">
        <f>Partner6!$K118</f>
        <v>0</v>
      </c>
      <c r="AA354" s="179">
        <f>Partner7!$K118</f>
        <v>0</v>
      </c>
      <c r="AB354" s="179">
        <f>Partner8!$K118</f>
        <v>0</v>
      </c>
      <c r="AC354" s="179">
        <f>Partner9!$K118</f>
        <v>0</v>
      </c>
      <c r="AD354" s="179">
        <f>Partner10!$K118</f>
        <v>0</v>
      </c>
    </row>
    <row r="355" spans="5:30" ht="12" x14ac:dyDescent="0.2">
      <c r="F355" s="94" t="str">
        <f>STRAT5_IND5</f>
        <v>Objetivo estratégico 5 Indicador 5</v>
      </c>
      <c r="G355" s="94" t="str">
        <f ca="1">OFFSET(Variables_Lu!$D$10,Basic_Setup!H62,0)</f>
        <v>Nutrition-specific</v>
      </c>
      <c r="H355" s="346">
        <f>'Financial Req'!$K48</f>
        <v>0</v>
      </c>
      <c r="I355" s="347">
        <f>H355-J355</f>
        <v>0</v>
      </c>
      <c r="J355" s="345">
        <f>SUM(K355:AD355)</f>
        <v>0</v>
      </c>
      <c r="K355" s="365">
        <f>Government1!$K48</f>
        <v>0</v>
      </c>
      <c r="L355" s="365">
        <f>Government2!$K48</f>
        <v>0</v>
      </c>
      <c r="M355" s="365">
        <f>Government3!$K48</f>
        <v>0</v>
      </c>
      <c r="N355" s="365">
        <f>Government4!$K48</f>
        <v>0</v>
      </c>
      <c r="O355" s="365">
        <f>Government5!$K48</f>
        <v>0</v>
      </c>
      <c r="P355" s="365">
        <f>Government6!$K48</f>
        <v>0</v>
      </c>
      <c r="Q355" s="365">
        <f>Government7!$K48</f>
        <v>0</v>
      </c>
      <c r="R355" s="365">
        <f>Government8!$K48</f>
        <v>0</v>
      </c>
      <c r="S355" s="365">
        <f>Government9!$K48</f>
        <v>0</v>
      </c>
      <c r="T355" s="365">
        <f>Government10!$K48</f>
        <v>0</v>
      </c>
      <c r="U355" s="179">
        <f>Partner1!$K119</f>
        <v>0</v>
      </c>
      <c r="V355" s="179">
        <f>Partner2!$K119</f>
        <v>0</v>
      </c>
      <c r="W355" s="179">
        <f>Partner3!$K119</f>
        <v>0</v>
      </c>
      <c r="X355" s="179">
        <f>Partner4!$K119</f>
        <v>0</v>
      </c>
      <c r="Y355" s="179">
        <f>Partner5!$K119</f>
        <v>0</v>
      </c>
      <c r="Z355" s="179">
        <f>Partner6!$K119</f>
        <v>0</v>
      </c>
      <c r="AA355" s="179">
        <f>Partner7!$K119</f>
        <v>0</v>
      </c>
      <c r="AB355" s="179">
        <f>Partner8!$K119</f>
        <v>0</v>
      </c>
      <c r="AC355" s="179">
        <f>Partner9!$K119</f>
        <v>0</v>
      </c>
      <c r="AD355" s="179">
        <f>Partner10!$K119</f>
        <v>0</v>
      </c>
    </row>
    <row r="356" spans="5:30" ht="34.200000000000003" x14ac:dyDescent="0.2">
      <c r="F356" s="332" t="str">
        <f>"Subtotal: "&amp;E195</f>
        <v xml:space="preserve">Subtotal: Objetivo estratégico 5: Promoción de prácticas favorables a una nutrición óptima, de higiene y saneamiento básico. </v>
      </c>
      <c r="G356" s="333"/>
      <c r="H356" s="348">
        <f>'Financial Req'!$K49</f>
        <v>13470182068.3333</v>
      </c>
      <c r="I356" s="349">
        <f>SUM(I351:I355)</f>
        <v>5948979990.7945433</v>
      </c>
      <c r="J356" s="350">
        <f>SUM(J351:J355)</f>
        <v>7521202077.5387564</v>
      </c>
      <c r="K356" s="366">
        <f>Government1!$K49</f>
        <v>49584386.760173991</v>
      </c>
      <c r="L356" s="366">
        <f>Government2!$K49</f>
        <v>5689063.8112634998</v>
      </c>
      <c r="M356" s="366">
        <f>Government3!$K49</f>
        <v>14929199.999999996</v>
      </c>
      <c r="N356" s="366">
        <f>Government4!$K49</f>
        <v>1598098.0331699997</v>
      </c>
      <c r="O356" s="366">
        <f>Government5!$K49</f>
        <v>687524.2853039999</v>
      </c>
      <c r="P356" s="366">
        <f>Government6!$K49</f>
        <v>241624192.22172898</v>
      </c>
      <c r="Q356" s="366">
        <f>Government7!$K49</f>
        <v>30093750.450503998</v>
      </c>
      <c r="R356" s="366">
        <f>Government8!$K49</f>
        <v>1479461.9766119998</v>
      </c>
      <c r="S356" s="366">
        <f>Government9!$K49</f>
        <v>0</v>
      </c>
      <c r="T356" s="366">
        <f>Government10!$K49</f>
        <v>0</v>
      </c>
      <c r="U356" s="331">
        <f>Partner1!$K120</f>
        <v>4320000000</v>
      </c>
      <c r="V356" s="331">
        <f>Partner2!$K120</f>
        <v>0</v>
      </c>
      <c r="W356" s="331">
        <f>Partner3!$K120</f>
        <v>1024376400</v>
      </c>
      <c r="X356" s="331">
        <f>Partner4!$K120</f>
        <v>31140000</v>
      </c>
      <c r="Y356" s="331">
        <f>Partner5!$K120</f>
        <v>1800000000</v>
      </c>
      <c r="Z356" s="331">
        <f>Partner6!$K120</f>
        <v>0</v>
      </c>
      <c r="AA356" s="331">
        <f>Partner7!$K120</f>
        <v>0</v>
      </c>
      <c r="AB356" s="331">
        <f>Partner8!$K120</f>
        <v>0</v>
      </c>
      <c r="AC356" s="331">
        <f>Partner9!$K120</f>
        <v>0</v>
      </c>
      <c r="AD356" s="331">
        <f>Partner10!$K120</f>
        <v>0</v>
      </c>
    </row>
    <row r="357" spans="5:30" ht="12" x14ac:dyDescent="0.2">
      <c r="E357" s="301" t="str">
        <f>Strategy6</f>
        <v>Objetivo estratégico 6: [No está en uso]</v>
      </c>
      <c r="G357" s="94"/>
      <c r="H357" s="343"/>
      <c r="I357" s="344"/>
      <c r="J357" s="345"/>
      <c r="K357" s="365"/>
      <c r="L357" s="365"/>
      <c r="M357" s="365"/>
      <c r="N357" s="365"/>
      <c r="O357" s="365"/>
      <c r="P357" s="365"/>
      <c r="Q357" s="365"/>
      <c r="R357" s="365"/>
      <c r="S357" s="365"/>
      <c r="T357" s="365"/>
      <c r="U357" s="179"/>
      <c r="V357" s="179"/>
      <c r="W357" s="179"/>
      <c r="X357" s="179"/>
      <c r="Y357" s="179"/>
      <c r="Z357" s="179"/>
      <c r="AA357" s="179"/>
      <c r="AB357" s="179"/>
      <c r="AC357" s="179"/>
      <c r="AD357" s="179"/>
    </row>
    <row r="358" spans="5:30" ht="12" x14ac:dyDescent="0.2">
      <c r="F358" s="94" t="str">
        <f>STRAT6_IND1</f>
        <v>Objetivo estratégico 6 Indicador 1</v>
      </c>
      <c r="G358" s="94" t="str">
        <f ca="1">OFFSET(Variables_Lu!$D$10,Basic_Setup!H64,0)</f>
        <v>Nutrition-specific</v>
      </c>
      <c r="H358" s="346">
        <f>'Financial Req'!$K50</f>
        <v>0</v>
      </c>
      <c r="I358" s="347">
        <f>H358-J358</f>
        <v>0</v>
      </c>
      <c r="J358" s="345">
        <f>SUM(K358:AD358)</f>
        <v>0</v>
      </c>
      <c r="K358" s="365">
        <f>Government1!$K50</f>
        <v>0</v>
      </c>
      <c r="L358" s="365">
        <f>Government2!$K50</f>
        <v>0</v>
      </c>
      <c r="M358" s="365">
        <f>Government3!$K50</f>
        <v>0</v>
      </c>
      <c r="N358" s="365">
        <f>Government4!$K50</f>
        <v>0</v>
      </c>
      <c r="O358" s="365">
        <f>Government5!$K50</f>
        <v>0</v>
      </c>
      <c r="P358" s="365">
        <f>Government6!$K50</f>
        <v>0</v>
      </c>
      <c r="Q358" s="365">
        <f>Government7!$K50</f>
        <v>0</v>
      </c>
      <c r="R358" s="365">
        <f>Government8!$K50</f>
        <v>0</v>
      </c>
      <c r="S358" s="365">
        <f>Government9!$K50</f>
        <v>0</v>
      </c>
      <c r="T358" s="365">
        <f>Government10!$K50</f>
        <v>0</v>
      </c>
      <c r="U358" s="179">
        <f>Partner1!$K121</f>
        <v>0</v>
      </c>
      <c r="V358" s="179">
        <f>Partner2!$K121</f>
        <v>0</v>
      </c>
      <c r="W358" s="179">
        <f>Partner3!$K121</f>
        <v>0</v>
      </c>
      <c r="X358" s="179">
        <f>Partner4!$K121</f>
        <v>0</v>
      </c>
      <c r="Y358" s="179">
        <f>Partner5!$K121</f>
        <v>0</v>
      </c>
      <c r="Z358" s="179">
        <f>Partner6!$K121</f>
        <v>0</v>
      </c>
      <c r="AA358" s="179">
        <f>Partner7!$K121</f>
        <v>0</v>
      </c>
      <c r="AB358" s="179">
        <f>Partner8!$K121</f>
        <v>0</v>
      </c>
      <c r="AC358" s="179">
        <f>Partner9!$K121</f>
        <v>0</v>
      </c>
      <c r="AD358" s="179">
        <f>Partner10!$K121</f>
        <v>0</v>
      </c>
    </row>
    <row r="359" spans="5:30" ht="12" x14ac:dyDescent="0.2">
      <c r="F359" s="94" t="str">
        <f>STRAT6_IND2</f>
        <v>Objetivo estratégico 6 Indicador 2</v>
      </c>
      <c r="G359" s="94" t="str">
        <f ca="1">OFFSET(Variables_Lu!$D$10,Basic_Setup!H65,0)</f>
        <v>Nutrition-specific</v>
      </c>
      <c r="H359" s="346">
        <f>'Financial Req'!$K51</f>
        <v>0</v>
      </c>
      <c r="I359" s="347">
        <f>H359-J359</f>
        <v>0</v>
      </c>
      <c r="J359" s="345">
        <f>SUM(K359:AD359)</f>
        <v>0</v>
      </c>
      <c r="K359" s="365">
        <f>Government1!$K51</f>
        <v>0</v>
      </c>
      <c r="L359" s="365">
        <f>Government2!$K51</f>
        <v>0</v>
      </c>
      <c r="M359" s="365">
        <f>Government3!$K51</f>
        <v>0</v>
      </c>
      <c r="N359" s="365">
        <f>Government4!$K51</f>
        <v>0</v>
      </c>
      <c r="O359" s="365">
        <f>Government5!$K51</f>
        <v>0</v>
      </c>
      <c r="P359" s="365">
        <f>Government6!$K51</f>
        <v>0</v>
      </c>
      <c r="Q359" s="365">
        <f>Government7!$K51</f>
        <v>0</v>
      </c>
      <c r="R359" s="365">
        <f>Government8!$K51</f>
        <v>0</v>
      </c>
      <c r="S359" s="365">
        <f>Government9!$K51</f>
        <v>0</v>
      </c>
      <c r="T359" s="365">
        <f>Government10!$K51</f>
        <v>0</v>
      </c>
      <c r="U359" s="179">
        <f>Partner1!$K122</f>
        <v>0</v>
      </c>
      <c r="V359" s="179">
        <f>Partner2!$K122</f>
        <v>0</v>
      </c>
      <c r="W359" s="179">
        <f>Partner3!$K122</f>
        <v>0</v>
      </c>
      <c r="X359" s="179">
        <f>Partner4!$K122</f>
        <v>0</v>
      </c>
      <c r="Y359" s="179">
        <f>Partner5!$K122</f>
        <v>0</v>
      </c>
      <c r="Z359" s="179">
        <f>Partner6!$K122</f>
        <v>0</v>
      </c>
      <c r="AA359" s="179">
        <f>Partner7!$K122</f>
        <v>0</v>
      </c>
      <c r="AB359" s="179">
        <f>Partner8!$K122</f>
        <v>0</v>
      </c>
      <c r="AC359" s="179">
        <f>Partner9!$K122</f>
        <v>0</v>
      </c>
      <c r="AD359" s="179">
        <f>Partner10!$K122</f>
        <v>0</v>
      </c>
    </row>
    <row r="360" spans="5:30" ht="12" x14ac:dyDescent="0.2">
      <c r="F360" s="94" t="str">
        <f>STRAT6_IND3</f>
        <v>Objetivo estratégico 6 Indicador 3</v>
      </c>
      <c r="G360" s="94" t="str">
        <f ca="1">OFFSET(Variables_Lu!$D$10,Basic_Setup!H66,0)</f>
        <v>Nutrition-specific</v>
      </c>
      <c r="H360" s="346">
        <f>'Financial Req'!$K52</f>
        <v>0</v>
      </c>
      <c r="I360" s="347">
        <f>H360-J360</f>
        <v>0</v>
      </c>
      <c r="J360" s="345">
        <f>SUM(K360:AD360)</f>
        <v>0</v>
      </c>
      <c r="K360" s="365">
        <f>Government1!$K52</f>
        <v>0</v>
      </c>
      <c r="L360" s="365">
        <f>Government2!$K52</f>
        <v>0</v>
      </c>
      <c r="M360" s="365">
        <f>Government3!$K52</f>
        <v>0</v>
      </c>
      <c r="N360" s="365">
        <f>Government4!$K52</f>
        <v>0</v>
      </c>
      <c r="O360" s="365">
        <f>Government5!$K52</f>
        <v>0</v>
      </c>
      <c r="P360" s="365">
        <f>Government6!$K52</f>
        <v>0</v>
      </c>
      <c r="Q360" s="365">
        <f>Government7!$K52</f>
        <v>0</v>
      </c>
      <c r="R360" s="365">
        <f>Government8!$K52</f>
        <v>0</v>
      </c>
      <c r="S360" s="365">
        <f>Government9!$K52</f>
        <v>0</v>
      </c>
      <c r="T360" s="365">
        <f>Government10!$K52</f>
        <v>0</v>
      </c>
      <c r="U360" s="179">
        <f>Partner1!$K123</f>
        <v>0</v>
      </c>
      <c r="V360" s="179">
        <f>Partner2!$K123</f>
        <v>0</v>
      </c>
      <c r="W360" s="179">
        <f>Partner3!$K123</f>
        <v>0</v>
      </c>
      <c r="X360" s="179">
        <f>Partner4!$K123</f>
        <v>0</v>
      </c>
      <c r="Y360" s="179">
        <f>Partner5!$K123</f>
        <v>0</v>
      </c>
      <c r="Z360" s="179">
        <f>Partner6!$K123</f>
        <v>0</v>
      </c>
      <c r="AA360" s="179">
        <f>Partner7!$K123</f>
        <v>0</v>
      </c>
      <c r="AB360" s="179">
        <f>Partner8!$K123</f>
        <v>0</v>
      </c>
      <c r="AC360" s="179">
        <f>Partner9!$K123</f>
        <v>0</v>
      </c>
      <c r="AD360" s="179">
        <f>Partner10!$K123</f>
        <v>0</v>
      </c>
    </row>
    <row r="361" spans="5:30" ht="12" x14ac:dyDescent="0.2">
      <c r="F361" s="94" t="str">
        <f>STRAT6_IND4</f>
        <v>Objetivo estratégico 6 Indicador 4</v>
      </c>
      <c r="G361" s="94" t="str">
        <f ca="1">OFFSET(Variables_Lu!$D$10,Basic_Setup!H67,0)</f>
        <v>Nutrition-specific</v>
      </c>
      <c r="H361" s="346">
        <f>'Financial Req'!$K53</f>
        <v>0</v>
      </c>
      <c r="I361" s="347">
        <f>H361-J361</f>
        <v>0</v>
      </c>
      <c r="J361" s="345">
        <f>SUM(K361:AD361)</f>
        <v>0</v>
      </c>
      <c r="K361" s="365">
        <f>Government1!$K53</f>
        <v>0</v>
      </c>
      <c r="L361" s="365">
        <f>Government2!$K53</f>
        <v>0</v>
      </c>
      <c r="M361" s="365">
        <f>Government3!$K53</f>
        <v>0</v>
      </c>
      <c r="N361" s="365">
        <f>Government4!$K53</f>
        <v>0</v>
      </c>
      <c r="O361" s="365">
        <f>Government5!$K53</f>
        <v>0</v>
      </c>
      <c r="P361" s="365">
        <f>Government6!$K53</f>
        <v>0</v>
      </c>
      <c r="Q361" s="365">
        <f>Government7!$K53</f>
        <v>0</v>
      </c>
      <c r="R361" s="365">
        <f>Government8!$K53</f>
        <v>0</v>
      </c>
      <c r="S361" s="365">
        <f>Government9!$K53</f>
        <v>0</v>
      </c>
      <c r="T361" s="365">
        <f>Government10!$K53</f>
        <v>0</v>
      </c>
      <c r="U361" s="179">
        <f>Partner1!$K124</f>
        <v>0</v>
      </c>
      <c r="V361" s="179">
        <f>Partner2!$K124</f>
        <v>0</v>
      </c>
      <c r="W361" s="179">
        <f>Partner3!$K124</f>
        <v>0</v>
      </c>
      <c r="X361" s="179">
        <f>Partner4!$K124</f>
        <v>0</v>
      </c>
      <c r="Y361" s="179">
        <f>Partner5!$K124</f>
        <v>0</v>
      </c>
      <c r="Z361" s="179">
        <f>Partner6!$K124</f>
        <v>0</v>
      </c>
      <c r="AA361" s="179">
        <f>Partner7!$K124</f>
        <v>0</v>
      </c>
      <c r="AB361" s="179">
        <f>Partner8!$K124</f>
        <v>0</v>
      </c>
      <c r="AC361" s="179">
        <f>Partner9!$K124</f>
        <v>0</v>
      </c>
      <c r="AD361" s="179">
        <f>Partner10!$K124</f>
        <v>0</v>
      </c>
    </row>
    <row r="362" spans="5:30" ht="12" x14ac:dyDescent="0.2">
      <c r="F362" s="94" t="str">
        <f>STRAT6_IND5</f>
        <v>Objetivo estratégico 6 Indicador 5</v>
      </c>
      <c r="G362" s="94" t="str">
        <f ca="1">OFFSET(Variables_Lu!$D$10,Basic_Setup!H68,0)</f>
        <v>Nutrition-specific</v>
      </c>
      <c r="H362" s="346">
        <f>'Financial Req'!$K54</f>
        <v>0</v>
      </c>
      <c r="I362" s="347">
        <f>H362-J362</f>
        <v>0</v>
      </c>
      <c r="J362" s="345">
        <f>SUM(K362:AD362)</f>
        <v>0</v>
      </c>
      <c r="K362" s="365">
        <f>Government1!$K54</f>
        <v>0</v>
      </c>
      <c r="L362" s="365">
        <f>Government2!$K54</f>
        <v>0</v>
      </c>
      <c r="M362" s="365">
        <f>Government3!$K54</f>
        <v>0</v>
      </c>
      <c r="N362" s="365">
        <f>Government4!$K54</f>
        <v>0</v>
      </c>
      <c r="O362" s="365">
        <f>Government5!$K54</f>
        <v>0</v>
      </c>
      <c r="P362" s="365">
        <f>Government6!$K54</f>
        <v>0</v>
      </c>
      <c r="Q362" s="365">
        <f>Government7!$K54</f>
        <v>0</v>
      </c>
      <c r="R362" s="365">
        <f>Government8!$K54</f>
        <v>0</v>
      </c>
      <c r="S362" s="365">
        <f>Government9!$K54</f>
        <v>0</v>
      </c>
      <c r="T362" s="365">
        <f>Government10!$K54</f>
        <v>0</v>
      </c>
      <c r="U362" s="179">
        <f>Partner1!$K125</f>
        <v>0</v>
      </c>
      <c r="V362" s="179">
        <f>Partner2!$K125</f>
        <v>0</v>
      </c>
      <c r="W362" s="179">
        <f>Partner3!$K125</f>
        <v>0</v>
      </c>
      <c r="X362" s="179">
        <f>Partner4!$K125</f>
        <v>0</v>
      </c>
      <c r="Y362" s="179">
        <f>Partner5!$K125</f>
        <v>0</v>
      </c>
      <c r="Z362" s="179">
        <f>Partner6!$K125</f>
        <v>0</v>
      </c>
      <c r="AA362" s="179">
        <f>Partner7!$K125</f>
        <v>0</v>
      </c>
      <c r="AB362" s="179">
        <f>Partner8!$K125</f>
        <v>0</v>
      </c>
      <c r="AC362" s="179">
        <f>Partner9!$K125</f>
        <v>0</v>
      </c>
      <c r="AD362" s="179">
        <f>Partner10!$K125</f>
        <v>0</v>
      </c>
    </row>
    <row r="363" spans="5:30" x14ac:dyDescent="0.2">
      <c r="F363" s="332" t="str">
        <f>"Subtotal: "&amp;E202</f>
        <v>Subtotal: Objetivo estratégico 6: [No está en uso]</v>
      </c>
      <c r="G363" s="333"/>
      <c r="H363" s="348">
        <f>'Financial Req'!$K55</f>
        <v>0</v>
      </c>
      <c r="I363" s="349">
        <f>SUM(I358:I362)</f>
        <v>0</v>
      </c>
      <c r="J363" s="350">
        <f>SUM(J358:J362)</f>
        <v>0</v>
      </c>
      <c r="K363" s="366">
        <f>Government1!$K55</f>
        <v>0</v>
      </c>
      <c r="L363" s="366">
        <f>Government2!$K55</f>
        <v>0</v>
      </c>
      <c r="M363" s="366">
        <f>Government3!$K55</f>
        <v>0</v>
      </c>
      <c r="N363" s="366">
        <f>Government4!$K55</f>
        <v>0</v>
      </c>
      <c r="O363" s="366">
        <f>Government5!$K55</f>
        <v>0</v>
      </c>
      <c r="P363" s="366">
        <f>Government6!$K55</f>
        <v>0</v>
      </c>
      <c r="Q363" s="366">
        <f>Government7!$K55</f>
        <v>0</v>
      </c>
      <c r="R363" s="366">
        <f>Government8!$K55</f>
        <v>0</v>
      </c>
      <c r="S363" s="366">
        <f>Government9!$K55</f>
        <v>0</v>
      </c>
      <c r="T363" s="366">
        <f>Government10!$K55</f>
        <v>0</v>
      </c>
      <c r="U363" s="331">
        <f>Partner1!$K126</f>
        <v>0</v>
      </c>
      <c r="V363" s="331">
        <f>Partner2!$K126</f>
        <v>0</v>
      </c>
      <c r="W363" s="331">
        <f>Partner3!$K126</f>
        <v>0</v>
      </c>
      <c r="X363" s="331">
        <f>Partner4!$K126</f>
        <v>0</v>
      </c>
      <c r="Y363" s="331">
        <f>Partner5!$K126</f>
        <v>0</v>
      </c>
      <c r="Z363" s="331">
        <f>Partner6!$K126</f>
        <v>0</v>
      </c>
      <c r="AA363" s="331">
        <f>Partner7!$K126</f>
        <v>0</v>
      </c>
      <c r="AB363" s="331">
        <f>Partner8!$K126</f>
        <v>0</v>
      </c>
      <c r="AC363" s="331">
        <f>Partner9!$K126</f>
        <v>0</v>
      </c>
      <c r="AD363" s="331">
        <f>Partner10!$K126</f>
        <v>0</v>
      </c>
    </row>
    <row r="364" spans="5:30" ht="12" x14ac:dyDescent="0.2">
      <c r="E364" s="301" t="str">
        <f>Strategy7</f>
        <v>Objetivo estratégico 7: [No está en uso]</v>
      </c>
      <c r="G364" s="94"/>
      <c r="H364" s="343"/>
      <c r="I364" s="344"/>
      <c r="J364" s="345"/>
      <c r="K364" s="365"/>
      <c r="L364" s="365"/>
      <c r="M364" s="365"/>
      <c r="N364" s="365"/>
      <c r="O364" s="365"/>
      <c r="P364" s="365"/>
      <c r="Q364" s="365"/>
      <c r="R364" s="365"/>
      <c r="S364" s="365"/>
      <c r="T364" s="365"/>
      <c r="U364" s="179"/>
      <c r="V364" s="179"/>
      <c r="W364" s="179"/>
      <c r="X364" s="179"/>
      <c r="Y364" s="179"/>
      <c r="Z364" s="179"/>
      <c r="AA364" s="179"/>
      <c r="AB364" s="179"/>
      <c r="AC364" s="179"/>
      <c r="AD364" s="179"/>
    </row>
    <row r="365" spans="5:30" ht="12" x14ac:dyDescent="0.2">
      <c r="F365" s="94" t="str">
        <f>STRAT7_IND1</f>
        <v>Objetivo estratégico 7 Indicador 1</v>
      </c>
      <c r="G365" s="94" t="str">
        <f ca="1">OFFSET(Variables_Lu!$D$10,Basic_Setup!H70,0)</f>
        <v>Nutrition-specific</v>
      </c>
      <c r="H365" s="346">
        <f>'Financial Req'!$K56</f>
        <v>0</v>
      </c>
      <c r="I365" s="347">
        <f>H365-J365</f>
        <v>0</v>
      </c>
      <c r="J365" s="345">
        <f>SUM(K365:AD365)</f>
        <v>0</v>
      </c>
      <c r="K365" s="365">
        <f>Government1!$K56</f>
        <v>0</v>
      </c>
      <c r="L365" s="365">
        <f>Government2!$K56</f>
        <v>0</v>
      </c>
      <c r="M365" s="365">
        <f>Government3!$K56</f>
        <v>0</v>
      </c>
      <c r="N365" s="365">
        <f>Government4!$K56</f>
        <v>0</v>
      </c>
      <c r="O365" s="365">
        <f>Government5!$K56</f>
        <v>0</v>
      </c>
      <c r="P365" s="365">
        <f>Government6!$K56</f>
        <v>0</v>
      </c>
      <c r="Q365" s="365">
        <f>Government7!$K56</f>
        <v>0</v>
      </c>
      <c r="R365" s="365">
        <f>Government8!$K56</f>
        <v>0</v>
      </c>
      <c r="S365" s="365">
        <f>Government9!$K56</f>
        <v>0</v>
      </c>
      <c r="T365" s="365">
        <f>Government10!$K56</f>
        <v>0</v>
      </c>
      <c r="U365" s="179">
        <f>Partner1!$K127</f>
        <v>0</v>
      </c>
      <c r="V365" s="179">
        <f>Partner2!$K127</f>
        <v>0</v>
      </c>
      <c r="W365" s="179">
        <f>Partner3!$K127</f>
        <v>0</v>
      </c>
      <c r="X365" s="179">
        <f>Partner4!$K127</f>
        <v>0</v>
      </c>
      <c r="Y365" s="179">
        <f>Partner5!$K127</f>
        <v>0</v>
      </c>
      <c r="Z365" s="179">
        <f>Partner6!$K127</f>
        <v>0</v>
      </c>
      <c r="AA365" s="179">
        <f>Partner7!$K127</f>
        <v>0</v>
      </c>
      <c r="AB365" s="179">
        <f>Partner8!$K127</f>
        <v>0</v>
      </c>
      <c r="AC365" s="179">
        <f>Partner9!$K127</f>
        <v>0</v>
      </c>
      <c r="AD365" s="179">
        <f>Partner10!$K127</f>
        <v>0</v>
      </c>
    </row>
    <row r="366" spans="5:30" ht="12" x14ac:dyDescent="0.2">
      <c r="F366" s="94" t="str">
        <f>STRAT7_IND2</f>
        <v>Objetivo estratégico 7 Indicador 2</v>
      </c>
      <c r="G366" s="94" t="str">
        <f ca="1">OFFSET(Variables_Lu!$D$10,Basic_Setup!H71,0)</f>
        <v>Nutrition-specific</v>
      </c>
      <c r="H366" s="346">
        <f>'Financial Req'!$K57</f>
        <v>0</v>
      </c>
      <c r="I366" s="347">
        <f>H366-J366</f>
        <v>0</v>
      </c>
      <c r="J366" s="345">
        <f>SUM(K366:AD366)</f>
        <v>0</v>
      </c>
      <c r="K366" s="365">
        <f>Government1!$K57</f>
        <v>0</v>
      </c>
      <c r="L366" s="365">
        <f>Government2!$K57</f>
        <v>0</v>
      </c>
      <c r="M366" s="365">
        <f>Government3!$K57</f>
        <v>0</v>
      </c>
      <c r="N366" s="365">
        <f>Government4!$K57</f>
        <v>0</v>
      </c>
      <c r="O366" s="365">
        <f>Government5!$K57</f>
        <v>0</v>
      </c>
      <c r="P366" s="365">
        <f>Government6!$K57</f>
        <v>0</v>
      </c>
      <c r="Q366" s="365">
        <f>Government7!$K57</f>
        <v>0</v>
      </c>
      <c r="R366" s="365">
        <f>Government8!$K57</f>
        <v>0</v>
      </c>
      <c r="S366" s="365">
        <f>Government9!$K57</f>
        <v>0</v>
      </c>
      <c r="T366" s="365">
        <f>Government10!$K57</f>
        <v>0</v>
      </c>
      <c r="U366" s="179">
        <f>Partner1!$K128</f>
        <v>0</v>
      </c>
      <c r="V366" s="179">
        <f>Partner2!$K128</f>
        <v>0</v>
      </c>
      <c r="W366" s="179">
        <f>Partner3!$K128</f>
        <v>0</v>
      </c>
      <c r="X366" s="179">
        <f>Partner4!$K128</f>
        <v>0</v>
      </c>
      <c r="Y366" s="179">
        <f>Partner5!$K128</f>
        <v>0</v>
      </c>
      <c r="Z366" s="179">
        <f>Partner6!$K128</f>
        <v>0</v>
      </c>
      <c r="AA366" s="179">
        <f>Partner7!$K128</f>
        <v>0</v>
      </c>
      <c r="AB366" s="179">
        <f>Partner8!$K128</f>
        <v>0</v>
      </c>
      <c r="AC366" s="179">
        <f>Partner9!$K128</f>
        <v>0</v>
      </c>
      <c r="AD366" s="179">
        <f>Partner10!$K128</f>
        <v>0</v>
      </c>
    </row>
    <row r="367" spans="5:30" ht="12" x14ac:dyDescent="0.2">
      <c r="F367" s="94" t="str">
        <f>STRAT7_IND3</f>
        <v>Objetivo estratégico 7 Indicador 3</v>
      </c>
      <c r="G367" s="94" t="str">
        <f ca="1">OFFSET(Variables_Lu!$D$10,Basic_Setup!H72,0)</f>
        <v>Nutrition-specific</v>
      </c>
      <c r="H367" s="346">
        <f>'Financial Req'!$K58</f>
        <v>0</v>
      </c>
      <c r="I367" s="347">
        <f>H367-J367</f>
        <v>0</v>
      </c>
      <c r="J367" s="345">
        <f>SUM(K367:AD367)</f>
        <v>0</v>
      </c>
      <c r="K367" s="365">
        <f>Government1!$K58</f>
        <v>0</v>
      </c>
      <c r="L367" s="365">
        <f>Government2!$K58</f>
        <v>0</v>
      </c>
      <c r="M367" s="365">
        <f>Government3!$K58</f>
        <v>0</v>
      </c>
      <c r="N367" s="365">
        <f>Government4!$K58</f>
        <v>0</v>
      </c>
      <c r="O367" s="365">
        <f>Government5!$K58</f>
        <v>0</v>
      </c>
      <c r="P367" s="365">
        <f>Government6!$K58</f>
        <v>0</v>
      </c>
      <c r="Q367" s="365">
        <f>Government7!$K58</f>
        <v>0</v>
      </c>
      <c r="R367" s="365">
        <f>Government8!$K58</f>
        <v>0</v>
      </c>
      <c r="S367" s="365">
        <f>Government9!$K58</f>
        <v>0</v>
      </c>
      <c r="T367" s="365">
        <f>Government10!$K58</f>
        <v>0</v>
      </c>
      <c r="U367" s="179">
        <f>Partner1!$K129</f>
        <v>0</v>
      </c>
      <c r="V367" s="179">
        <f>Partner2!$K129</f>
        <v>0</v>
      </c>
      <c r="W367" s="179">
        <f>Partner3!$K129</f>
        <v>0</v>
      </c>
      <c r="X367" s="179">
        <f>Partner4!$K129</f>
        <v>0</v>
      </c>
      <c r="Y367" s="179">
        <f>Partner5!$K129</f>
        <v>0</v>
      </c>
      <c r="Z367" s="179">
        <f>Partner6!$K129</f>
        <v>0</v>
      </c>
      <c r="AA367" s="179">
        <f>Partner7!$K129</f>
        <v>0</v>
      </c>
      <c r="AB367" s="179">
        <f>Partner8!$K129</f>
        <v>0</v>
      </c>
      <c r="AC367" s="179">
        <f>Partner9!$K129</f>
        <v>0</v>
      </c>
      <c r="AD367" s="179">
        <f>Partner10!$K129</f>
        <v>0</v>
      </c>
    </row>
    <row r="368" spans="5:30" ht="12" x14ac:dyDescent="0.2">
      <c r="F368" s="94" t="str">
        <f>STRAT7_IND4</f>
        <v>Objetivo estratégico 7 Indicador 4</v>
      </c>
      <c r="G368" s="94" t="str">
        <f ca="1">OFFSET(Variables_Lu!$D$10,Basic_Setup!H73,0)</f>
        <v>Nutrition-specific</v>
      </c>
      <c r="H368" s="346">
        <f>'Financial Req'!$K59</f>
        <v>0</v>
      </c>
      <c r="I368" s="347">
        <f>H368-J368</f>
        <v>0</v>
      </c>
      <c r="J368" s="345">
        <f>SUM(K368:AD368)</f>
        <v>0</v>
      </c>
      <c r="K368" s="365">
        <f>Government1!$K59</f>
        <v>0</v>
      </c>
      <c r="L368" s="365">
        <f>Government2!$K59</f>
        <v>0</v>
      </c>
      <c r="M368" s="365">
        <f>Government3!$K59</f>
        <v>0</v>
      </c>
      <c r="N368" s="365">
        <f>Government4!$K59</f>
        <v>0</v>
      </c>
      <c r="O368" s="365">
        <f>Government5!$K59</f>
        <v>0</v>
      </c>
      <c r="P368" s="365">
        <f>Government6!$K59</f>
        <v>0</v>
      </c>
      <c r="Q368" s="365">
        <f>Government7!$K59</f>
        <v>0</v>
      </c>
      <c r="R368" s="365">
        <f>Government8!$K59</f>
        <v>0</v>
      </c>
      <c r="S368" s="365">
        <f>Government9!$K59</f>
        <v>0</v>
      </c>
      <c r="T368" s="365">
        <f>Government10!$K59</f>
        <v>0</v>
      </c>
      <c r="U368" s="179">
        <f>Partner1!$K130</f>
        <v>0</v>
      </c>
      <c r="V368" s="179">
        <f>Partner2!$K130</f>
        <v>0</v>
      </c>
      <c r="W368" s="179">
        <f>Partner3!$K130</f>
        <v>0</v>
      </c>
      <c r="X368" s="179">
        <f>Partner4!$K130</f>
        <v>0</v>
      </c>
      <c r="Y368" s="179">
        <f>Partner5!$K130</f>
        <v>0</v>
      </c>
      <c r="Z368" s="179">
        <f>Partner6!$K130</f>
        <v>0</v>
      </c>
      <c r="AA368" s="179">
        <f>Partner7!$K130</f>
        <v>0</v>
      </c>
      <c r="AB368" s="179">
        <f>Partner8!$K130</f>
        <v>0</v>
      </c>
      <c r="AC368" s="179">
        <f>Partner9!$K130</f>
        <v>0</v>
      </c>
      <c r="AD368" s="179">
        <f>Partner10!$K130</f>
        <v>0</v>
      </c>
    </row>
    <row r="369" spans="5:30" ht="12" x14ac:dyDescent="0.2">
      <c r="F369" s="94" t="str">
        <f>STRAT7_IND5</f>
        <v>Objetivo estratégico 7 Indicador 5</v>
      </c>
      <c r="G369" s="94" t="str">
        <f ca="1">OFFSET(Variables_Lu!$D$10,Basic_Setup!H74,0)</f>
        <v>Nutrition-specific</v>
      </c>
      <c r="H369" s="346">
        <f>'Financial Req'!$K60</f>
        <v>0</v>
      </c>
      <c r="I369" s="347">
        <f>H369-J369</f>
        <v>0</v>
      </c>
      <c r="J369" s="345">
        <f>SUM(K369:AD369)</f>
        <v>0</v>
      </c>
      <c r="K369" s="365">
        <f>Government1!$K60</f>
        <v>0</v>
      </c>
      <c r="L369" s="365">
        <f>Government2!$K60</f>
        <v>0</v>
      </c>
      <c r="M369" s="365">
        <f>Government3!$K60</f>
        <v>0</v>
      </c>
      <c r="N369" s="365">
        <f>Government4!$K60</f>
        <v>0</v>
      </c>
      <c r="O369" s="365">
        <f>Government5!$K60</f>
        <v>0</v>
      </c>
      <c r="P369" s="365">
        <f>Government6!$K60</f>
        <v>0</v>
      </c>
      <c r="Q369" s="365">
        <f>Government7!$K60</f>
        <v>0</v>
      </c>
      <c r="R369" s="365">
        <f>Government8!$K60</f>
        <v>0</v>
      </c>
      <c r="S369" s="365">
        <f>Government9!$K60</f>
        <v>0</v>
      </c>
      <c r="T369" s="365">
        <f>Government10!$K60</f>
        <v>0</v>
      </c>
      <c r="U369" s="179">
        <f>Partner1!$K131</f>
        <v>0</v>
      </c>
      <c r="V369" s="179">
        <f>Partner2!$K131</f>
        <v>0</v>
      </c>
      <c r="W369" s="179">
        <f>Partner3!$K131</f>
        <v>0</v>
      </c>
      <c r="X369" s="179">
        <f>Partner4!$K131</f>
        <v>0</v>
      </c>
      <c r="Y369" s="179">
        <f>Partner5!$K131</f>
        <v>0</v>
      </c>
      <c r="Z369" s="179">
        <f>Partner6!$K131</f>
        <v>0</v>
      </c>
      <c r="AA369" s="179">
        <f>Partner7!$K131</f>
        <v>0</v>
      </c>
      <c r="AB369" s="179">
        <f>Partner8!$K131</f>
        <v>0</v>
      </c>
      <c r="AC369" s="179">
        <f>Partner9!$K131</f>
        <v>0</v>
      </c>
      <c r="AD369" s="179">
        <f>Partner10!$K131</f>
        <v>0</v>
      </c>
    </row>
    <row r="370" spans="5:30" x14ac:dyDescent="0.2">
      <c r="F370" s="332" t="str">
        <f>"Subtotal: "&amp;E209</f>
        <v>Subtotal: Objetivo estratégico 7: [No está en uso]</v>
      </c>
      <c r="G370" s="333"/>
      <c r="H370" s="348">
        <f>'Financial Req'!$K61</f>
        <v>0</v>
      </c>
      <c r="I370" s="349">
        <f>SUM(I365:I369)</f>
        <v>0</v>
      </c>
      <c r="J370" s="350">
        <f>SUM(J365:J369)</f>
        <v>0</v>
      </c>
      <c r="K370" s="366">
        <f>Government1!$K61</f>
        <v>0</v>
      </c>
      <c r="L370" s="366">
        <f>Government2!$K61</f>
        <v>0</v>
      </c>
      <c r="M370" s="366">
        <f>Government3!$K61</f>
        <v>0</v>
      </c>
      <c r="N370" s="366">
        <f>Government4!$K61</f>
        <v>0</v>
      </c>
      <c r="O370" s="366">
        <f>Government5!$K61</f>
        <v>0</v>
      </c>
      <c r="P370" s="366">
        <f>Government6!$K61</f>
        <v>0</v>
      </c>
      <c r="Q370" s="366">
        <f>Government7!$K61</f>
        <v>0</v>
      </c>
      <c r="R370" s="366">
        <f>Government8!$K61</f>
        <v>0</v>
      </c>
      <c r="S370" s="366">
        <f>Government9!$K61</f>
        <v>0</v>
      </c>
      <c r="T370" s="366">
        <f>Government10!$K61</f>
        <v>0</v>
      </c>
      <c r="U370" s="331">
        <f>Partner1!$K132</f>
        <v>0</v>
      </c>
      <c r="V370" s="331">
        <f>Partner2!$K132</f>
        <v>0</v>
      </c>
      <c r="W370" s="331">
        <f>Partner3!$K132</f>
        <v>0</v>
      </c>
      <c r="X370" s="331">
        <f>Partner4!$K132</f>
        <v>0</v>
      </c>
      <c r="Y370" s="331">
        <f>Partner5!$K132</f>
        <v>0</v>
      </c>
      <c r="Z370" s="331">
        <f>Partner6!$K132</f>
        <v>0</v>
      </c>
      <c r="AA370" s="331">
        <f>Partner7!$K132</f>
        <v>0</v>
      </c>
      <c r="AB370" s="331">
        <f>Partner8!$K132</f>
        <v>0</v>
      </c>
      <c r="AC370" s="331">
        <f>Partner9!$K132</f>
        <v>0</v>
      </c>
      <c r="AD370" s="331">
        <f>Partner10!$K132</f>
        <v>0</v>
      </c>
    </row>
    <row r="371" spans="5:30" ht="12" x14ac:dyDescent="0.2">
      <c r="E371" s="301" t="str">
        <f>Strategy8</f>
        <v>Objetivo estratégico 8: [No está en uso]</v>
      </c>
      <c r="G371" s="94"/>
      <c r="H371" s="343"/>
      <c r="I371" s="344"/>
      <c r="J371" s="345"/>
      <c r="K371" s="365"/>
      <c r="L371" s="365"/>
      <c r="M371" s="365"/>
      <c r="N371" s="365"/>
      <c r="O371" s="365"/>
      <c r="P371" s="365"/>
      <c r="Q371" s="365"/>
      <c r="R371" s="365"/>
      <c r="S371" s="365"/>
      <c r="T371" s="365"/>
      <c r="U371" s="179"/>
      <c r="V371" s="179"/>
      <c r="W371" s="179"/>
      <c r="X371" s="179"/>
      <c r="Y371" s="179"/>
      <c r="Z371" s="179"/>
      <c r="AA371" s="179"/>
      <c r="AB371" s="179"/>
      <c r="AC371" s="179"/>
      <c r="AD371" s="179"/>
    </row>
    <row r="372" spans="5:30" ht="12" x14ac:dyDescent="0.2">
      <c r="F372" s="94" t="str">
        <f>STRAT8_IND1</f>
        <v>Objetivo estratégico 8 Indicador 1</v>
      </c>
      <c r="G372" s="94" t="str">
        <f ca="1">OFFSET(Variables_Lu!$D$10,Basic_Setup!H76,0)</f>
        <v>Nutrition-specific</v>
      </c>
      <c r="H372" s="346">
        <f>'Financial Req'!$K62</f>
        <v>0</v>
      </c>
      <c r="I372" s="347">
        <f>H372-J372</f>
        <v>0</v>
      </c>
      <c r="J372" s="345">
        <f>SUM(K372:AD372)</f>
        <v>0</v>
      </c>
      <c r="K372" s="365">
        <f>Government1!$K62</f>
        <v>0</v>
      </c>
      <c r="L372" s="365">
        <f>Government2!$K62</f>
        <v>0</v>
      </c>
      <c r="M372" s="365">
        <f>Government3!$K62</f>
        <v>0</v>
      </c>
      <c r="N372" s="365">
        <f>Government4!$K62</f>
        <v>0</v>
      </c>
      <c r="O372" s="365">
        <f>Government5!$K62</f>
        <v>0</v>
      </c>
      <c r="P372" s="365">
        <f>Government6!$K62</f>
        <v>0</v>
      </c>
      <c r="Q372" s="365">
        <f>Government7!$K62</f>
        <v>0</v>
      </c>
      <c r="R372" s="365">
        <f>Government8!$K62</f>
        <v>0</v>
      </c>
      <c r="S372" s="365">
        <f>Government9!$K62</f>
        <v>0</v>
      </c>
      <c r="T372" s="365">
        <f>Government10!$K62</f>
        <v>0</v>
      </c>
      <c r="U372" s="179">
        <f>Partner1!$K133</f>
        <v>0</v>
      </c>
      <c r="V372" s="179">
        <f>Partner2!$K133</f>
        <v>0</v>
      </c>
      <c r="W372" s="179">
        <f>Partner3!$K133</f>
        <v>0</v>
      </c>
      <c r="X372" s="179">
        <f>Partner4!$K133</f>
        <v>0</v>
      </c>
      <c r="Y372" s="179">
        <f>Partner5!$K133</f>
        <v>0</v>
      </c>
      <c r="Z372" s="179">
        <f>Partner6!$K133</f>
        <v>0</v>
      </c>
      <c r="AA372" s="179">
        <f>Partner7!$K133</f>
        <v>0</v>
      </c>
      <c r="AB372" s="179">
        <f>Partner8!$K133</f>
        <v>0</v>
      </c>
      <c r="AC372" s="179">
        <f>Partner9!$K133</f>
        <v>0</v>
      </c>
      <c r="AD372" s="179">
        <f>Partner10!$K133</f>
        <v>0</v>
      </c>
    </row>
    <row r="373" spans="5:30" ht="12" x14ac:dyDescent="0.2">
      <c r="F373" s="94" t="str">
        <f>STRAT8_IND2</f>
        <v>Objetivo estratégico 8 Indicador 2</v>
      </c>
      <c r="G373" s="94" t="str">
        <f ca="1">OFFSET(Variables_Lu!$D$10,Basic_Setup!H77,0)</f>
        <v>Nutrition-specific</v>
      </c>
      <c r="H373" s="346">
        <f>'Financial Req'!$K63</f>
        <v>0</v>
      </c>
      <c r="I373" s="347">
        <f>H373-J373</f>
        <v>0</v>
      </c>
      <c r="J373" s="345">
        <f>SUM(K373:AD373)</f>
        <v>0</v>
      </c>
      <c r="K373" s="365">
        <f>Government1!$K63</f>
        <v>0</v>
      </c>
      <c r="L373" s="365">
        <f>Government2!$K63</f>
        <v>0</v>
      </c>
      <c r="M373" s="365">
        <f>Government3!$K63</f>
        <v>0</v>
      </c>
      <c r="N373" s="365">
        <f>Government4!$K63</f>
        <v>0</v>
      </c>
      <c r="O373" s="365">
        <f>Government5!$K63</f>
        <v>0</v>
      </c>
      <c r="P373" s="365">
        <f>Government6!$K63</f>
        <v>0</v>
      </c>
      <c r="Q373" s="365">
        <f>Government7!$K63</f>
        <v>0</v>
      </c>
      <c r="R373" s="365">
        <f>Government8!$K63</f>
        <v>0</v>
      </c>
      <c r="S373" s="365">
        <f>Government9!$K63</f>
        <v>0</v>
      </c>
      <c r="T373" s="365">
        <f>Government10!$K63</f>
        <v>0</v>
      </c>
      <c r="U373" s="179">
        <f>Partner1!$K134</f>
        <v>0</v>
      </c>
      <c r="V373" s="179">
        <f>Partner2!$K134</f>
        <v>0</v>
      </c>
      <c r="W373" s="179">
        <f>Partner3!$K134</f>
        <v>0</v>
      </c>
      <c r="X373" s="179">
        <f>Partner4!$K134</f>
        <v>0</v>
      </c>
      <c r="Y373" s="179">
        <f>Partner5!$K134</f>
        <v>0</v>
      </c>
      <c r="Z373" s="179">
        <f>Partner6!$K134</f>
        <v>0</v>
      </c>
      <c r="AA373" s="179">
        <f>Partner7!$K134</f>
        <v>0</v>
      </c>
      <c r="AB373" s="179">
        <f>Partner8!$K134</f>
        <v>0</v>
      </c>
      <c r="AC373" s="179">
        <f>Partner9!$K134</f>
        <v>0</v>
      </c>
      <c r="AD373" s="179">
        <f>Partner10!$K134</f>
        <v>0</v>
      </c>
    </row>
    <row r="374" spans="5:30" ht="12" x14ac:dyDescent="0.2">
      <c r="F374" s="94" t="str">
        <f>STRAT8_IND3</f>
        <v>Objetivo estratégico 8 Indicador 3</v>
      </c>
      <c r="G374" s="94" t="str">
        <f ca="1">OFFSET(Variables_Lu!$D$10,Basic_Setup!H78,0)</f>
        <v>Nutrition-specific</v>
      </c>
      <c r="H374" s="346">
        <f>'Financial Req'!$K64</f>
        <v>0</v>
      </c>
      <c r="I374" s="347">
        <f>H374-J374</f>
        <v>0</v>
      </c>
      <c r="J374" s="345">
        <f>SUM(K374:AD374)</f>
        <v>0</v>
      </c>
      <c r="K374" s="365">
        <f>Government1!$K64</f>
        <v>0</v>
      </c>
      <c r="L374" s="365">
        <f>Government2!$K64</f>
        <v>0</v>
      </c>
      <c r="M374" s="365">
        <f>Government3!$K64</f>
        <v>0</v>
      </c>
      <c r="N374" s="365">
        <f>Government4!$K64</f>
        <v>0</v>
      </c>
      <c r="O374" s="365">
        <f>Government5!$K64</f>
        <v>0</v>
      </c>
      <c r="P374" s="365">
        <f>Government6!$K64</f>
        <v>0</v>
      </c>
      <c r="Q374" s="365">
        <f>Government7!$K64</f>
        <v>0</v>
      </c>
      <c r="R374" s="365">
        <f>Government8!$K64</f>
        <v>0</v>
      </c>
      <c r="S374" s="365">
        <f>Government9!$K64</f>
        <v>0</v>
      </c>
      <c r="T374" s="365">
        <f>Government10!$K64</f>
        <v>0</v>
      </c>
      <c r="U374" s="179">
        <f>Partner1!$K135</f>
        <v>0</v>
      </c>
      <c r="V374" s="179">
        <f>Partner2!$K135</f>
        <v>0</v>
      </c>
      <c r="W374" s="179">
        <f>Partner3!$K135</f>
        <v>0</v>
      </c>
      <c r="X374" s="179">
        <f>Partner4!$K135</f>
        <v>0</v>
      </c>
      <c r="Y374" s="179">
        <f>Partner5!$K135</f>
        <v>0</v>
      </c>
      <c r="Z374" s="179">
        <f>Partner6!$K135</f>
        <v>0</v>
      </c>
      <c r="AA374" s="179">
        <f>Partner7!$K135</f>
        <v>0</v>
      </c>
      <c r="AB374" s="179">
        <f>Partner8!$K135</f>
        <v>0</v>
      </c>
      <c r="AC374" s="179">
        <f>Partner9!$K135</f>
        <v>0</v>
      </c>
      <c r="AD374" s="179">
        <f>Partner10!$K135</f>
        <v>0</v>
      </c>
    </row>
    <row r="375" spans="5:30" ht="12" x14ac:dyDescent="0.2">
      <c r="F375" s="94" t="str">
        <f>STRAT8_IND4</f>
        <v>Objetivo estratégico 8 Indicador 4</v>
      </c>
      <c r="G375" s="94" t="str">
        <f ca="1">OFFSET(Variables_Lu!$D$10,Basic_Setup!H79,0)</f>
        <v>Nutrition-specific</v>
      </c>
      <c r="H375" s="346">
        <f>'Financial Req'!$K65</f>
        <v>0</v>
      </c>
      <c r="I375" s="347">
        <f>H375-J375</f>
        <v>0</v>
      </c>
      <c r="J375" s="345">
        <f>SUM(K375:AD375)</f>
        <v>0</v>
      </c>
      <c r="K375" s="365">
        <f>Government1!$K65</f>
        <v>0</v>
      </c>
      <c r="L375" s="365">
        <f>Government2!$K65</f>
        <v>0</v>
      </c>
      <c r="M375" s="365">
        <f>Government3!$K65</f>
        <v>0</v>
      </c>
      <c r="N375" s="365">
        <f>Government4!$K65</f>
        <v>0</v>
      </c>
      <c r="O375" s="365">
        <f>Government5!$K65</f>
        <v>0</v>
      </c>
      <c r="P375" s="365">
        <f>Government6!$K65</f>
        <v>0</v>
      </c>
      <c r="Q375" s="365">
        <f>Government7!$K65</f>
        <v>0</v>
      </c>
      <c r="R375" s="365">
        <f>Government8!$K65</f>
        <v>0</v>
      </c>
      <c r="S375" s="365">
        <f>Government9!$K65</f>
        <v>0</v>
      </c>
      <c r="T375" s="365">
        <f>Government10!$K65</f>
        <v>0</v>
      </c>
      <c r="U375" s="179">
        <f>Partner1!$K136</f>
        <v>0</v>
      </c>
      <c r="V375" s="179">
        <f>Partner2!$K136</f>
        <v>0</v>
      </c>
      <c r="W375" s="179">
        <f>Partner3!$K136</f>
        <v>0</v>
      </c>
      <c r="X375" s="179">
        <f>Partner4!$K136</f>
        <v>0</v>
      </c>
      <c r="Y375" s="179">
        <f>Partner5!$K136</f>
        <v>0</v>
      </c>
      <c r="Z375" s="179">
        <f>Partner6!$K136</f>
        <v>0</v>
      </c>
      <c r="AA375" s="179">
        <f>Partner7!$K136</f>
        <v>0</v>
      </c>
      <c r="AB375" s="179">
        <f>Partner8!$K136</f>
        <v>0</v>
      </c>
      <c r="AC375" s="179">
        <f>Partner9!$K136</f>
        <v>0</v>
      </c>
      <c r="AD375" s="179">
        <f>Partner10!$K136</f>
        <v>0</v>
      </c>
    </row>
    <row r="376" spans="5:30" ht="12" x14ac:dyDescent="0.2">
      <c r="F376" s="94" t="str">
        <f>STRAT8_IND5</f>
        <v>Objetivo estratégico 8 Indicador 5</v>
      </c>
      <c r="G376" s="94" t="str">
        <f ca="1">OFFSET(Variables_Lu!$D$10,Basic_Setup!H80,0)</f>
        <v>Nutrition-specific</v>
      </c>
      <c r="H376" s="346">
        <f>'Financial Req'!$K66</f>
        <v>0</v>
      </c>
      <c r="I376" s="347">
        <f>H376-J376</f>
        <v>0</v>
      </c>
      <c r="J376" s="345">
        <f>SUM(K376:AD376)</f>
        <v>0</v>
      </c>
      <c r="K376" s="365">
        <f>Government1!$K66</f>
        <v>0</v>
      </c>
      <c r="L376" s="365">
        <f>Government2!$K66</f>
        <v>0</v>
      </c>
      <c r="M376" s="365">
        <f>Government3!$K66</f>
        <v>0</v>
      </c>
      <c r="N376" s="365">
        <f>Government4!$K66</f>
        <v>0</v>
      </c>
      <c r="O376" s="365">
        <f>Government5!$K66</f>
        <v>0</v>
      </c>
      <c r="P376" s="365">
        <f>Government6!$K66</f>
        <v>0</v>
      </c>
      <c r="Q376" s="365">
        <f>Government7!$K66</f>
        <v>0</v>
      </c>
      <c r="R376" s="365">
        <f>Government8!$K66</f>
        <v>0</v>
      </c>
      <c r="S376" s="365">
        <f>Government9!$K66</f>
        <v>0</v>
      </c>
      <c r="T376" s="365">
        <f>Government10!$K66</f>
        <v>0</v>
      </c>
      <c r="U376" s="179">
        <f>Partner1!$K137</f>
        <v>0</v>
      </c>
      <c r="V376" s="179">
        <f>Partner2!$K137</f>
        <v>0</v>
      </c>
      <c r="W376" s="179">
        <f>Partner3!$K137</f>
        <v>0</v>
      </c>
      <c r="X376" s="179">
        <f>Partner4!$K137</f>
        <v>0</v>
      </c>
      <c r="Y376" s="179">
        <f>Partner5!$K137</f>
        <v>0</v>
      </c>
      <c r="Z376" s="179">
        <f>Partner6!$K137</f>
        <v>0</v>
      </c>
      <c r="AA376" s="179">
        <f>Partner7!$K137</f>
        <v>0</v>
      </c>
      <c r="AB376" s="179">
        <f>Partner8!$K137</f>
        <v>0</v>
      </c>
      <c r="AC376" s="179">
        <f>Partner9!$K137</f>
        <v>0</v>
      </c>
      <c r="AD376" s="179">
        <f>Partner10!$K137</f>
        <v>0</v>
      </c>
    </row>
    <row r="377" spans="5:30" x14ac:dyDescent="0.2">
      <c r="F377" s="332" t="str">
        <f>"Subtotal: "&amp;E216</f>
        <v>Subtotal: Objetivo estratégico 8: [No está en uso]</v>
      </c>
      <c r="G377" s="333"/>
      <c r="H377" s="348">
        <f>'Financial Req'!$K67</f>
        <v>0</v>
      </c>
      <c r="I377" s="349">
        <f>SUM(I372:I376)</f>
        <v>0</v>
      </c>
      <c r="J377" s="350">
        <f>SUM(J372:J376)</f>
        <v>0</v>
      </c>
      <c r="K377" s="366">
        <f>Government1!$K67</f>
        <v>0</v>
      </c>
      <c r="L377" s="366">
        <f>Government2!$K67</f>
        <v>0</v>
      </c>
      <c r="M377" s="366">
        <f>Government3!$K67</f>
        <v>0</v>
      </c>
      <c r="N377" s="366">
        <f>Government4!$K67</f>
        <v>0</v>
      </c>
      <c r="O377" s="366">
        <f>Government5!$K67</f>
        <v>0</v>
      </c>
      <c r="P377" s="366">
        <f>Government6!$K67</f>
        <v>0</v>
      </c>
      <c r="Q377" s="366">
        <f>Government7!$K67</f>
        <v>0</v>
      </c>
      <c r="R377" s="366">
        <f>Government8!$K67</f>
        <v>0</v>
      </c>
      <c r="S377" s="366">
        <f>Government9!$K67</f>
        <v>0</v>
      </c>
      <c r="T377" s="366">
        <f>Government10!$K67</f>
        <v>0</v>
      </c>
      <c r="U377" s="331">
        <f>Partner1!$K138</f>
        <v>0</v>
      </c>
      <c r="V377" s="331">
        <f>Partner2!$K138</f>
        <v>0</v>
      </c>
      <c r="W377" s="331">
        <f>Partner3!$K138</f>
        <v>0</v>
      </c>
      <c r="X377" s="331">
        <f>Partner4!$K138</f>
        <v>0</v>
      </c>
      <c r="Y377" s="331">
        <f>Partner5!$K138</f>
        <v>0</v>
      </c>
      <c r="Z377" s="331">
        <f>Partner6!$K138</f>
        <v>0</v>
      </c>
      <c r="AA377" s="331">
        <f>Partner7!$K138</f>
        <v>0</v>
      </c>
      <c r="AB377" s="331">
        <f>Partner8!$K138</f>
        <v>0</v>
      </c>
      <c r="AC377" s="331">
        <f>Partner9!$K138</f>
        <v>0</v>
      </c>
      <c r="AD377" s="331">
        <f>Partner10!$K138</f>
        <v>0</v>
      </c>
    </row>
    <row r="378" spans="5:30" ht="12" x14ac:dyDescent="0.2">
      <c r="E378" s="301" t="str">
        <f>Strategy9</f>
        <v>Objetivo estratégico 9: [No está en uso]</v>
      </c>
      <c r="G378" s="94"/>
      <c r="H378" s="343"/>
      <c r="I378" s="344"/>
      <c r="J378" s="345"/>
      <c r="K378" s="365"/>
      <c r="L378" s="365"/>
      <c r="M378" s="365"/>
      <c r="N378" s="365"/>
      <c r="O378" s="365"/>
      <c r="P378" s="365"/>
      <c r="Q378" s="365"/>
      <c r="R378" s="365"/>
      <c r="S378" s="365"/>
      <c r="T378" s="365"/>
      <c r="U378" s="179"/>
      <c r="V378" s="179"/>
      <c r="W378" s="179"/>
      <c r="X378" s="179"/>
      <c r="Y378" s="179"/>
      <c r="Z378" s="179"/>
      <c r="AA378" s="179"/>
      <c r="AB378" s="179"/>
      <c r="AC378" s="179"/>
      <c r="AD378" s="179"/>
    </row>
    <row r="379" spans="5:30" ht="12" x14ac:dyDescent="0.2">
      <c r="F379" s="94" t="str">
        <f>STRAT9_IND1</f>
        <v>Objetivo estratégico 9 Indicador 1</v>
      </c>
      <c r="G379" s="94" t="str">
        <f ca="1">OFFSET(Variables_Lu!$D$10,Basic_Setup!H82,0)</f>
        <v>Nutrition-specific</v>
      </c>
      <c r="H379" s="346">
        <f>'Financial Req'!$K68</f>
        <v>0</v>
      </c>
      <c r="I379" s="347">
        <f>H379-J379</f>
        <v>0</v>
      </c>
      <c r="J379" s="345">
        <f>SUM(K379:AD379)</f>
        <v>0</v>
      </c>
      <c r="K379" s="365">
        <f>Government1!$K68</f>
        <v>0</v>
      </c>
      <c r="L379" s="365">
        <f>Government2!$K68</f>
        <v>0</v>
      </c>
      <c r="M379" s="365">
        <f>Government3!$K68</f>
        <v>0</v>
      </c>
      <c r="N379" s="365">
        <f>Government4!$K68</f>
        <v>0</v>
      </c>
      <c r="O379" s="365">
        <f>Government5!$K68</f>
        <v>0</v>
      </c>
      <c r="P379" s="365">
        <f>Government6!$K68</f>
        <v>0</v>
      </c>
      <c r="Q379" s="365">
        <f>Government7!$K68</f>
        <v>0</v>
      </c>
      <c r="R379" s="365">
        <f>Government8!$K68</f>
        <v>0</v>
      </c>
      <c r="S379" s="365">
        <f>Government9!$K68</f>
        <v>0</v>
      </c>
      <c r="T379" s="365">
        <f>Government10!$K68</f>
        <v>0</v>
      </c>
      <c r="U379" s="179">
        <f>Partner1!$K139</f>
        <v>0</v>
      </c>
      <c r="V379" s="179">
        <f>Partner2!$K139</f>
        <v>0</v>
      </c>
      <c r="W379" s="179">
        <f>Partner3!$K139</f>
        <v>0</v>
      </c>
      <c r="X379" s="179">
        <f>Partner4!$K139</f>
        <v>0</v>
      </c>
      <c r="Y379" s="179">
        <f>Partner5!$K139</f>
        <v>0</v>
      </c>
      <c r="Z379" s="179">
        <f>Partner6!$K139</f>
        <v>0</v>
      </c>
      <c r="AA379" s="179">
        <f>Partner7!$K139</f>
        <v>0</v>
      </c>
      <c r="AB379" s="179">
        <f>Partner8!$K139</f>
        <v>0</v>
      </c>
      <c r="AC379" s="179">
        <f>Partner9!$K139</f>
        <v>0</v>
      </c>
      <c r="AD379" s="179">
        <f>Partner10!$K139</f>
        <v>0</v>
      </c>
    </row>
    <row r="380" spans="5:30" ht="12" x14ac:dyDescent="0.2">
      <c r="F380" s="94" t="str">
        <f>STRAT9_IND2</f>
        <v>Objetivo estratégico 9 Indicador 2</v>
      </c>
      <c r="G380" s="94" t="str">
        <f ca="1">OFFSET(Variables_Lu!$D$10,Basic_Setup!H83,0)</f>
        <v>Nutrition-specific</v>
      </c>
      <c r="H380" s="346">
        <f>'Financial Req'!$K69</f>
        <v>0</v>
      </c>
      <c r="I380" s="347">
        <f>H380-J380</f>
        <v>0</v>
      </c>
      <c r="J380" s="345">
        <f>SUM(K380:AD380)</f>
        <v>0</v>
      </c>
      <c r="K380" s="365">
        <f>Government1!$K69</f>
        <v>0</v>
      </c>
      <c r="L380" s="365">
        <f>Government2!$K69</f>
        <v>0</v>
      </c>
      <c r="M380" s="365">
        <f>Government3!$K69</f>
        <v>0</v>
      </c>
      <c r="N380" s="365">
        <f>Government4!$K69</f>
        <v>0</v>
      </c>
      <c r="O380" s="365">
        <f>Government5!$K69</f>
        <v>0</v>
      </c>
      <c r="P380" s="365">
        <f>Government6!$K69</f>
        <v>0</v>
      </c>
      <c r="Q380" s="365">
        <f>Government7!$K69</f>
        <v>0</v>
      </c>
      <c r="R380" s="365">
        <f>Government8!$K69</f>
        <v>0</v>
      </c>
      <c r="S380" s="365">
        <f>Government9!$K69</f>
        <v>0</v>
      </c>
      <c r="T380" s="365">
        <f>Government10!$K69</f>
        <v>0</v>
      </c>
      <c r="U380" s="179">
        <f>Partner1!$K140</f>
        <v>0</v>
      </c>
      <c r="V380" s="179">
        <f>Partner2!$K140</f>
        <v>0</v>
      </c>
      <c r="W380" s="179">
        <f>Partner3!$K140</f>
        <v>0</v>
      </c>
      <c r="X380" s="179">
        <f>Partner4!$K140</f>
        <v>0</v>
      </c>
      <c r="Y380" s="179">
        <f>Partner5!$K140</f>
        <v>0</v>
      </c>
      <c r="Z380" s="179">
        <f>Partner6!$K140</f>
        <v>0</v>
      </c>
      <c r="AA380" s="179">
        <f>Partner7!$K140</f>
        <v>0</v>
      </c>
      <c r="AB380" s="179">
        <f>Partner8!$K140</f>
        <v>0</v>
      </c>
      <c r="AC380" s="179">
        <f>Partner9!$K140</f>
        <v>0</v>
      </c>
      <c r="AD380" s="179">
        <f>Partner10!$K140</f>
        <v>0</v>
      </c>
    </row>
    <row r="381" spans="5:30" ht="12" x14ac:dyDescent="0.2">
      <c r="F381" s="94" t="str">
        <f>STRAT9_IND3</f>
        <v>Objetivo estratégico 9 Indicador 3</v>
      </c>
      <c r="G381" s="94" t="str">
        <f ca="1">OFFSET(Variables_Lu!$D$10,Basic_Setup!H84,0)</f>
        <v>Nutrition-specific</v>
      </c>
      <c r="H381" s="346">
        <f>'Financial Req'!$K70</f>
        <v>0</v>
      </c>
      <c r="I381" s="347">
        <f>H381-J381</f>
        <v>0</v>
      </c>
      <c r="J381" s="345">
        <f>SUM(K381:AD381)</f>
        <v>0</v>
      </c>
      <c r="K381" s="365">
        <f>Government1!$K70</f>
        <v>0</v>
      </c>
      <c r="L381" s="365">
        <f>Government2!$K70</f>
        <v>0</v>
      </c>
      <c r="M381" s="365">
        <f>Government3!$K70</f>
        <v>0</v>
      </c>
      <c r="N381" s="365">
        <f>Government4!$K70</f>
        <v>0</v>
      </c>
      <c r="O381" s="365">
        <f>Government5!$K70</f>
        <v>0</v>
      </c>
      <c r="P381" s="365">
        <f>Government6!$K70</f>
        <v>0</v>
      </c>
      <c r="Q381" s="365">
        <f>Government7!$K70</f>
        <v>0</v>
      </c>
      <c r="R381" s="365">
        <f>Government8!$K70</f>
        <v>0</v>
      </c>
      <c r="S381" s="365">
        <f>Government9!$K70</f>
        <v>0</v>
      </c>
      <c r="T381" s="365">
        <f>Government10!$K70</f>
        <v>0</v>
      </c>
      <c r="U381" s="179">
        <f>Partner1!$K141</f>
        <v>0</v>
      </c>
      <c r="V381" s="179">
        <f>Partner2!$K141</f>
        <v>0</v>
      </c>
      <c r="W381" s="179">
        <f>Partner3!$K141</f>
        <v>0</v>
      </c>
      <c r="X381" s="179">
        <f>Partner4!$K141</f>
        <v>0</v>
      </c>
      <c r="Y381" s="179">
        <f>Partner5!$K141</f>
        <v>0</v>
      </c>
      <c r="Z381" s="179">
        <f>Partner6!$K141</f>
        <v>0</v>
      </c>
      <c r="AA381" s="179">
        <f>Partner7!$K141</f>
        <v>0</v>
      </c>
      <c r="AB381" s="179">
        <f>Partner8!$K141</f>
        <v>0</v>
      </c>
      <c r="AC381" s="179">
        <f>Partner9!$K141</f>
        <v>0</v>
      </c>
      <c r="AD381" s="179">
        <f>Partner10!$K141</f>
        <v>0</v>
      </c>
    </row>
    <row r="382" spans="5:30" ht="12" x14ac:dyDescent="0.2">
      <c r="F382" s="94" t="str">
        <f>STRAT9_IND4</f>
        <v>Objetivo estratégico 9 Indicador 4</v>
      </c>
      <c r="G382" s="94" t="str">
        <f ca="1">OFFSET(Variables_Lu!$D$10,Basic_Setup!H85,0)</f>
        <v>Nutrition-specific</v>
      </c>
      <c r="H382" s="346">
        <f>'Financial Req'!$K71</f>
        <v>0</v>
      </c>
      <c r="I382" s="347">
        <f>H382-J382</f>
        <v>0</v>
      </c>
      <c r="J382" s="345">
        <f>SUM(K382:AD382)</f>
        <v>0</v>
      </c>
      <c r="K382" s="365">
        <f>Government1!$K71</f>
        <v>0</v>
      </c>
      <c r="L382" s="365">
        <f>Government2!$K71</f>
        <v>0</v>
      </c>
      <c r="M382" s="365">
        <f>Government3!$K71</f>
        <v>0</v>
      </c>
      <c r="N382" s="365">
        <f>Government4!$K71</f>
        <v>0</v>
      </c>
      <c r="O382" s="365">
        <f>Government5!$K71</f>
        <v>0</v>
      </c>
      <c r="P382" s="365">
        <f>Government6!$K71</f>
        <v>0</v>
      </c>
      <c r="Q382" s="365">
        <f>Government7!$K71</f>
        <v>0</v>
      </c>
      <c r="R382" s="365">
        <f>Government8!$K71</f>
        <v>0</v>
      </c>
      <c r="S382" s="365">
        <f>Government9!$K71</f>
        <v>0</v>
      </c>
      <c r="T382" s="365">
        <f>Government10!$K71</f>
        <v>0</v>
      </c>
      <c r="U382" s="179">
        <f>Partner1!$K142</f>
        <v>0</v>
      </c>
      <c r="V382" s="179">
        <f>Partner2!$K142</f>
        <v>0</v>
      </c>
      <c r="W382" s="179">
        <f>Partner3!$K142</f>
        <v>0</v>
      </c>
      <c r="X382" s="179">
        <f>Partner4!$K142</f>
        <v>0</v>
      </c>
      <c r="Y382" s="179">
        <f>Partner5!$K142</f>
        <v>0</v>
      </c>
      <c r="Z382" s="179">
        <f>Partner6!$K142</f>
        <v>0</v>
      </c>
      <c r="AA382" s="179">
        <f>Partner7!$K142</f>
        <v>0</v>
      </c>
      <c r="AB382" s="179">
        <f>Partner8!$K142</f>
        <v>0</v>
      </c>
      <c r="AC382" s="179">
        <f>Partner9!$K142</f>
        <v>0</v>
      </c>
      <c r="AD382" s="179">
        <f>Partner10!$K142</f>
        <v>0</v>
      </c>
    </row>
    <row r="383" spans="5:30" ht="12" x14ac:dyDescent="0.2">
      <c r="F383" s="94" t="str">
        <f>STRAT9_IND5</f>
        <v>Objetivo estratégico 9 Indicador 5</v>
      </c>
      <c r="G383" s="94" t="str">
        <f ca="1">OFFSET(Variables_Lu!$D$10,Basic_Setup!H86,0)</f>
        <v>Nutrition-specific</v>
      </c>
      <c r="H383" s="346">
        <f>'Financial Req'!$K72</f>
        <v>0</v>
      </c>
      <c r="I383" s="347">
        <f>H383-J383</f>
        <v>0</v>
      </c>
      <c r="J383" s="345">
        <f>SUM(K383:AD383)</f>
        <v>0</v>
      </c>
      <c r="K383" s="365">
        <f>Government1!$K72</f>
        <v>0</v>
      </c>
      <c r="L383" s="365">
        <f>Government2!$K72</f>
        <v>0</v>
      </c>
      <c r="M383" s="365">
        <f>Government3!$K72</f>
        <v>0</v>
      </c>
      <c r="N383" s="365">
        <f>Government4!$K72</f>
        <v>0</v>
      </c>
      <c r="O383" s="365">
        <f>Government5!$K72</f>
        <v>0</v>
      </c>
      <c r="P383" s="365">
        <f>Government6!$K72</f>
        <v>0</v>
      </c>
      <c r="Q383" s="365">
        <f>Government7!$K72</f>
        <v>0</v>
      </c>
      <c r="R383" s="365">
        <f>Government8!$K72</f>
        <v>0</v>
      </c>
      <c r="S383" s="365">
        <f>Government9!$K72</f>
        <v>0</v>
      </c>
      <c r="T383" s="365">
        <f>Government10!$K72</f>
        <v>0</v>
      </c>
      <c r="U383" s="179">
        <f>Partner1!$K143</f>
        <v>0</v>
      </c>
      <c r="V383" s="179">
        <f>Partner2!$K143</f>
        <v>0</v>
      </c>
      <c r="W383" s="179">
        <f>Partner3!$K143</f>
        <v>0</v>
      </c>
      <c r="X383" s="179">
        <f>Partner4!$K143</f>
        <v>0</v>
      </c>
      <c r="Y383" s="179">
        <f>Partner5!$K143</f>
        <v>0</v>
      </c>
      <c r="Z383" s="179">
        <f>Partner6!$K143</f>
        <v>0</v>
      </c>
      <c r="AA383" s="179">
        <f>Partner7!$K143</f>
        <v>0</v>
      </c>
      <c r="AB383" s="179">
        <f>Partner8!$K143</f>
        <v>0</v>
      </c>
      <c r="AC383" s="179">
        <f>Partner9!$K143</f>
        <v>0</v>
      </c>
      <c r="AD383" s="179">
        <f>Partner10!$K143</f>
        <v>0</v>
      </c>
    </row>
    <row r="384" spans="5:30" x14ac:dyDescent="0.2">
      <c r="F384" s="332" t="str">
        <f>"Subtotal: "&amp;E223</f>
        <v>Subtotal: Objetivo estratégico 9: [No está en uso]</v>
      </c>
      <c r="G384" s="333"/>
      <c r="H384" s="348">
        <f>'Financial Req'!$K73</f>
        <v>0</v>
      </c>
      <c r="I384" s="349">
        <f>SUM(I379:I383)</f>
        <v>0</v>
      </c>
      <c r="J384" s="350">
        <f>SUM(J379:J383)</f>
        <v>0</v>
      </c>
      <c r="K384" s="366">
        <f>Government1!$K73</f>
        <v>0</v>
      </c>
      <c r="L384" s="366">
        <f>Government2!$K73</f>
        <v>0</v>
      </c>
      <c r="M384" s="366">
        <f>Government3!$K73</f>
        <v>0</v>
      </c>
      <c r="N384" s="366">
        <f>Government4!$K73</f>
        <v>0</v>
      </c>
      <c r="O384" s="366">
        <f>Government5!$K73</f>
        <v>0</v>
      </c>
      <c r="P384" s="366">
        <f>Government6!$K73</f>
        <v>0</v>
      </c>
      <c r="Q384" s="366">
        <f>Government7!$K73</f>
        <v>0</v>
      </c>
      <c r="R384" s="366">
        <f>Government8!$K73</f>
        <v>0</v>
      </c>
      <c r="S384" s="366">
        <f>Government9!$K73</f>
        <v>0</v>
      </c>
      <c r="T384" s="366">
        <f>Government10!$K73</f>
        <v>0</v>
      </c>
      <c r="U384" s="331">
        <f>Partner1!$K144</f>
        <v>0</v>
      </c>
      <c r="V384" s="331">
        <f>Partner2!$K144</f>
        <v>0</v>
      </c>
      <c r="W384" s="331">
        <f>Partner3!$K144</f>
        <v>0</v>
      </c>
      <c r="X384" s="331">
        <f>Partner4!$K144</f>
        <v>0</v>
      </c>
      <c r="Y384" s="331">
        <f>Partner5!$K144</f>
        <v>0</v>
      </c>
      <c r="Z384" s="331">
        <f>Partner6!$K144</f>
        <v>0</v>
      </c>
      <c r="AA384" s="331">
        <f>Partner7!$K144</f>
        <v>0</v>
      </c>
      <c r="AB384" s="331">
        <f>Partner8!$K144</f>
        <v>0</v>
      </c>
      <c r="AC384" s="331">
        <f>Partner9!$K144</f>
        <v>0</v>
      </c>
      <c r="AD384" s="331">
        <f>Partner10!$K144</f>
        <v>0</v>
      </c>
    </row>
    <row r="385" spans="5:30" ht="12" x14ac:dyDescent="0.2">
      <c r="E385" s="301" t="str">
        <f>Strategy10</f>
        <v>Objetivo estratégico 10: [No está en uso]</v>
      </c>
      <c r="G385" s="94"/>
      <c r="H385" s="343"/>
      <c r="I385" s="344"/>
      <c r="J385" s="345"/>
      <c r="K385" s="365"/>
      <c r="L385" s="365"/>
      <c r="M385" s="365"/>
      <c r="N385" s="365"/>
      <c r="O385" s="365"/>
      <c r="P385" s="365"/>
      <c r="Q385" s="365"/>
      <c r="R385" s="365"/>
      <c r="S385" s="365"/>
      <c r="T385" s="365"/>
      <c r="U385" s="179"/>
      <c r="V385" s="179"/>
      <c r="W385" s="179"/>
      <c r="X385" s="179"/>
      <c r="Y385" s="179"/>
      <c r="Z385" s="179"/>
      <c r="AA385" s="179"/>
      <c r="AB385" s="179"/>
      <c r="AC385" s="179"/>
      <c r="AD385" s="179"/>
    </row>
    <row r="386" spans="5:30" ht="12" x14ac:dyDescent="0.2">
      <c r="F386" s="94" t="str">
        <f>STRAT10_IND1</f>
        <v>Objetivo estratégico 10 Indicador 1</v>
      </c>
      <c r="G386" s="94" t="str">
        <f ca="1">OFFSET(Variables_Lu!$D$10,Basic_Setup!H88,0)</f>
        <v>Nutrition-specific</v>
      </c>
      <c r="H386" s="346">
        <f>'Financial Req'!$K74</f>
        <v>0</v>
      </c>
      <c r="I386" s="347">
        <f>H386-J386</f>
        <v>0</v>
      </c>
      <c r="J386" s="345">
        <f>SUM(K386:AD386)</f>
        <v>0</v>
      </c>
      <c r="K386" s="365">
        <f>Government1!$K74</f>
        <v>0</v>
      </c>
      <c r="L386" s="365">
        <f>Government2!$K74</f>
        <v>0</v>
      </c>
      <c r="M386" s="365">
        <f>Government3!$K74</f>
        <v>0</v>
      </c>
      <c r="N386" s="365">
        <f>Government4!$K74</f>
        <v>0</v>
      </c>
      <c r="O386" s="365">
        <f>Government5!$K74</f>
        <v>0</v>
      </c>
      <c r="P386" s="365">
        <f>Government6!$K74</f>
        <v>0</v>
      </c>
      <c r="Q386" s="365">
        <f>Government7!$K74</f>
        <v>0</v>
      </c>
      <c r="R386" s="365">
        <f>Government8!$K74</f>
        <v>0</v>
      </c>
      <c r="S386" s="365">
        <f>Government9!$K74</f>
        <v>0</v>
      </c>
      <c r="T386" s="365">
        <f>Government10!$K74</f>
        <v>0</v>
      </c>
      <c r="U386" s="179">
        <f>Partner1!$K145</f>
        <v>0</v>
      </c>
      <c r="V386" s="179">
        <f>Partner2!$K145</f>
        <v>0</v>
      </c>
      <c r="W386" s="179">
        <f>Partner3!$K145</f>
        <v>0</v>
      </c>
      <c r="X386" s="179">
        <f>Partner4!$K145</f>
        <v>0</v>
      </c>
      <c r="Y386" s="179">
        <f>Partner5!$K145</f>
        <v>0</v>
      </c>
      <c r="Z386" s="179">
        <f>Partner6!$K145</f>
        <v>0</v>
      </c>
      <c r="AA386" s="179">
        <f>Partner7!$K145</f>
        <v>0</v>
      </c>
      <c r="AB386" s="179">
        <f>Partner8!$K145</f>
        <v>0</v>
      </c>
      <c r="AC386" s="179">
        <f>Partner9!$K145</f>
        <v>0</v>
      </c>
      <c r="AD386" s="179">
        <f>Partner10!$K145</f>
        <v>0</v>
      </c>
    </row>
    <row r="387" spans="5:30" ht="12" x14ac:dyDescent="0.2">
      <c r="F387" s="94" t="str">
        <f>STRAT10_IND2</f>
        <v>Objetivo estratégico 10 Indicador 2</v>
      </c>
      <c r="G387" s="94" t="str">
        <f ca="1">OFFSET(Variables_Lu!$D$10,Basic_Setup!H89,0)</f>
        <v>Nutrition-specific</v>
      </c>
      <c r="H387" s="346">
        <f>'Financial Req'!$K75</f>
        <v>0</v>
      </c>
      <c r="I387" s="347">
        <f>H387-J387</f>
        <v>0</v>
      </c>
      <c r="J387" s="345">
        <f>SUM(K387:AD387)</f>
        <v>0</v>
      </c>
      <c r="K387" s="365">
        <f>Government1!$K75</f>
        <v>0</v>
      </c>
      <c r="L387" s="365">
        <f>Government2!$K75</f>
        <v>0</v>
      </c>
      <c r="M387" s="365">
        <f>Government3!$K75</f>
        <v>0</v>
      </c>
      <c r="N387" s="365">
        <f>Government4!$K75</f>
        <v>0</v>
      </c>
      <c r="O387" s="365">
        <f>Government5!$K75</f>
        <v>0</v>
      </c>
      <c r="P387" s="365">
        <f>Government6!$K75</f>
        <v>0</v>
      </c>
      <c r="Q387" s="365">
        <f>Government7!$K75</f>
        <v>0</v>
      </c>
      <c r="R387" s="365">
        <f>Government8!$K75</f>
        <v>0</v>
      </c>
      <c r="S387" s="365">
        <f>Government9!$K75</f>
        <v>0</v>
      </c>
      <c r="T387" s="365">
        <f>Government10!$K75</f>
        <v>0</v>
      </c>
      <c r="U387" s="179">
        <f>Partner1!$K146</f>
        <v>0</v>
      </c>
      <c r="V387" s="179">
        <f>Partner2!$K146</f>
        <v>0</v>
      </c>
      <c r="W387" s="179">
        <f>Partner3!$K146</f>
        <v>0</v>
      </c>
      <c r="X387" s="179">
        <f>Partner4!$K146</f>
        <v>0</v>
      </c>
      <c r="Y387" s="179">
        <f>Partner5!$K146</f>
        <v>0</v>
      </c>
      <c r="Z387" s="179">
        <f>Partner6!$K146</f>
        <v>0</v>
      </c>
      <c r="AA387" s="179">
        <f>Partner7!$K146</f>
        <v>0</v>
      </c>
      <c r="AB387" s="179">
        <f>Partner8!$K146</f>
        <v>0</v>
      </c>
      <c r="AC387" s="179">
        <f>Partner9!$K146</f>
        <v>0</v>
      </c>
      <c r="AD387" s="179">
        <f>Partner10!$K146</f>
        <v>0</v>
      </c>
    </row>
    <row r="388" spans="5:30" ht="12" x14ac:dyDescent="0.2">
      <c r="F388" s="94" t="str">
        <f>STRAT10_IND3</f>
        <v>Objetivo estratégico 10 Indicador 3</v>
      </c>
      <c r="G388" s="94" t="str">
        <f ca="1">OFFSET(Variables_Lu!$D$10,Basic_Setup!H90,0)</f>
        <v>Nutrition-specific</v>
      </c>
      <c r="H388" s="346">
        <f>'Financial Req'!$K76</f>
        <v>0</v>
      </c>
      <c r="I388" s="347">
        <f>H388-J388</f>
        <v>0</v>
      </c>
      <c r="J388" s="345">
        <f>SUM(K388:AD388)</f>
        <v>0</v>
      </c>
      <c r="K388" s="365">
        <f>Government1!$K76</f>
        <v>0</v>
      </c>
      <c r="L388" s="365">
        <f>Government2!$K76</f>
        <v>0</v>
      </c>
      <c r="M388" s="365">
        <f>Government3!$K76</f>
        <v>0</v>
      </c>
      <c r="N388" s="365">
        <f>Government4!$K76</f>
        <v>0</v>
      </c>
      <c r="O388" s="365">
        <f>Government5!$K76</f>
        <v>0</v>
      </c>
      <c r="P388" s="365">
        <f>Government6!$K76</f>
        <v>0</v>
      </c>
      <c r="Q388" s="365">
        <f>Government7!$K76</f>
        <v>0</v>
      </c>
      <c r="R388" s="365">
        <f>Government8!$K76</f>
        <v>0</v>
      </c>
      <c r="S388" s="365">
        <f>Government9!$K76</f>
        <v>0</v>
      </c>
      <c r="T388" s="365">
        <f>Government10!$K76</f>
        <v>0</v>
      </c>
      <c r="U388" s="179">
        <f>Partner1!$K147</f>
        <v>0</v>
      </c>
      <c r="V388" s="179">
        <f>Partner2!$K147</f>
        <v>0</v>
      </c>
      <c r="W388" s="179">
        <f>Partner3!$K147</f>
        <v>0</v>
      </c>
      <c r="X388" s="179">
        <f>Partner4!$K147</f>
        <v>0</v>
      </c>
      <c r="Y388" s="179">
        <f>Partner5!$K147</f>
        <v>0</v>
      </c>
      <c r="Z388" s="179">
        <f>Partner6!$K147</f>
        <v>0</v>
      </c>
      <c r="AA388" s="179">
        <f>Partner7!$K147</f>
        <v>0</v>
      </c>
      <c r="AB388" s="179">
        <f>Partner8!$K147</f>
        <v>0</v>
      </c>
      <c r="AC388" s="179">
        <f>Partner9!$K147</f>
        <v>0</v>
      </c>
      <c r="AD388" s="179">
        <f>Partner10!$K147</f>
        <v>0</v>
      </c>
    </row>
    <row r="389" spans="5:30" ht="12" x14ac:dyDescent="0.2">
      <c r="F389" s="94" t="str">
        <f>STRAT10_IND4</f>
        <v>Objetivo estratégico 10 Indicador 4</v>
      </c>
      <c r="G389" s="94" t="str">
        <f ca="1">OFFSET(Variables_Lu!$D$10,Basic_Setup!H91,0)</f>
        <v>Nutrition-specific</v>
      </c>
      <c r="H389" s="346">
        <f>'Financial Req'!$K77</f>
        <v>0</v>
      </c>
      <c r="I389" s="347">
        <f>H389-J389</f>
        <v>0</v>
      </c>
      <c r="J389" s="345">
        <f>SUM(K389:AD389)</f>
        <v>0</v>
      </c>
      <c r="K389" s="365">
        <f>Government1!$K77</f>
        <v>0</v>
      </c>
      <c r="L389" s="365">
        <f>Government2!$K77</f>
        <v>0</v>
      </c>
      <c r="M389" s="365">
        <f>Government3!$K77</f>
        <v>0</v>
      </c>
      <c r="N389" s="365">
        <f>Government4!$K77</f>
        <v>0</v>
      </c>
      <c r="O389" s="365">
        <f>Government5!$K77</f>
        <v>0</v>
      </c>
      <c r="P389" s="365">
        <f>Government6!$K77</f>
        <v>0</v>
      </c>
      <c r="Q389" s="365">
        <f>Government7!$K77</f>
        <v>0</v>
      </c>
      <c r="R389" s="365">
        <f>Government8!$K77</f>
        <v>0</v>
      </c>
      <c r="S389" s="365">
        <f>Government9!$K77</f>
        <v>0</v>
      </c>
      <c r="T389" s="365">
        <f>Government10!$K77</f>
        <v>0</v>
      </c>
      <c r="U389" s="179">
        <f>Partner1!$K148</f>
        <v>0</v>
      </c>
      <c r="V389" s="179">
        <f>Partner2!$K148</f>
        <v>0</v>
      </c>
      <c r="W389" s="179">
        <f>Partner3!$K148</f>
        <v>0</v>
      </c>
      <c r="X389" s="179">
        <f>Partner4!$K148</f>
        <v>0</v>
      </c>
      <c r="Y389" s="179">
        <f>Partner5!$K148</f>
        <v>0</v>
      </c>
      <c r="Z389" s="179">
        <f>Partner6!$K148</f>
        <v>0</v>
      </c>
      <c r="AA389" s="179">
        <f>Partner7!$K148</f>
        <v>0</v>
      </c>
      <c r="AB389" s="179">
        <f>Partner8!$K148</f>
        <v>0</v>
      </c>
      <c r="AC389" s="179">
        <f>Partner9!$K148</f>
        <v>0</v>
      </c>
      <c r="AD389" s="179">
        <f>Partner10!$K148</f>
        <v>0</v>
      </c>
    </row>
    <row r="390" spans="5:30" ht="12" x14ac:dyDescent="0.2">
      <c r="F390" s="94" t="str">
        <f>STRAT10_IND5</f>
        <v>Objetivo estratégico 10 Indicador 5</v>
      </c>
      <c r="G390" s="94" t="str">
        <f ca="1">OFFSET(Variables_Lu!$D$10,Basic_Setup!H92,0)</f>
        <v>Nutrition-specific</v>
      </c>
      <c r="H390" s="346">
        <f>'Financial Req'!$K78</f>
        <v>0</v>
      </c>
      <c r="I390" s="347">
        <f>H390-J390</f>
        <v>0</v>
      </c>
      <c r="J390" s="345">
        <f>SUM(K390:AD390)</f>
        <v>0</v>
      </c>
      <c r="K390" s="365">
        <f>Government1!$K78</f>
        <v>0</v>
      </c>
      <c r="L390" s="365">
        <f>Government2!$K78</f>
        <v>0</v>
      </c>
      <c r="M390" s="365">
        <f>Government3!$K78</f>
        <v>0</v>
      </c>
      <c r="N390" s="365">
        <f>Government4!$K78</f>
        <v>0</v>
      </c>
      <c r="O390" s="365">
        <f>Government5!$K78</f>
        <v>0</v>
      </c>
      <c r="P390" s="365">
        <f>Government6!$K78</f>
        <v>0</v>
      </c>
      <c r="Q390" s="365">
        <f>Government7!$K78</f>
        <v>0</v>
      </c>
      <c r="R390" s="365">
        <f>Government8!$K78</f>
        <v>0</v>
      </c>
      <c r="S390" s="365">
        <f>Government9!$K78</f>
        <v>0</v>
      </c>
      <c r="T390" s="365">
        <f>Government10!$K78</f>
        <v>0</v>
      </c>
      <c r="U390" s="179">
        <f>Partner1!$K149</f>
        <v>0</v>
      </c>
      <c r="V390" s="179">
        <f>Partner2!$K149</f>
        <v>0</v>
      </c>
      <c r="W390" s="179">
        <f>Partner3!$K149</f>
        <v>0</v>
      </c>
      <c r="X390" s="179">
        <f>Partner4!$K149</f>
        <v>0</v>
      </c>
      <c r="Y390" s="179">
        <f>Partner5!$K149</f>
        <v>0</v>
      </c>
      <c r="Z390" s="179">
        <f>Partner6!$K149</f>
        <v>0</v>
      </c>
      <c r="AA390" s="179">
        <f>Partner7!$K149</f>
        <v>0</v>
      </c>
      <c r="AB390" s="179">
        <f>Partner8!$K149</f>
        <v>0</v>
      </c>
      <c r="AC390" s="179">
        <f>Partner9!$K149</f>
        <v>0</v>
      </c>
      <c r="AD390" s="179">
        <f>Partner10!$K149</f>
        <v>0</v>
      </c>
    </row>
    <row r="391" spans="5:30" x14ac:dyDescent="0.2">
      <c r="F391" s="332" t="str">
        <f>"Subtotal: "&amp;E230</f>
        <v>Subtotal: Objetivo estratégico 10: [No está en uso]</v>
      </c>
      <c r="G391" s="333"/>
      <c r="H391" s="348">
        <f>'Financial Req'!$K79</f>
        <v>0</v>
      </c>
      <c r="I391" s="349">
        <f>SUM(I386:I390)</f>
        <v>0</v>
      </c>
      <c r="J391" s="350">
        <f>SUM(J386:J390)</f>
        <v>0</v>
      </c>
      <c r="K391" s="366">
        <f>Government1!$K79</f>
        <v>0</v>
      </c>
      <c r="L391" s="366">
        <f>Government2!$K79</f>
        <v>0</v>
      </c>
      <c r="M391" s="366">
        <f>Government3!$K79</f>
        <v>0</v>
      </c>
      <c r="N391" s="366">
        <f>Government4!$K79</f>
        <v>0</v>
      </c>
      <c r="O391" s="366">
        <f>Government5!$K79</f>
        <v>0</v>
      </c>
      <c r="P391" s="366">
        <f>Government6!$K79</f>
        <v>0</v>
      </c>
      <c r="Q391" s="366">
        <f>Government7!$K79</f>
        <v>0</v>
      </c>
      <c r="R391" s="366">
        <f>Government8!$K79</f>
        <v>0</v>
      </c>
      <c r="S391" s="366">
        <f>Government9!$K79</f>
        <v>0</v>
      </c>
      <c r="T391" s="366">
        <f>Government10!$K79</f>
        <v>0</v>
      </c>
      <c r="U391" s="331">
        <f>Partner1!$K150</f>
        <v>0</v>
      </c>
      <c r="V391" s="331">
        <f>Partner2!$K150</f>
        <v>0</v>
      </c>
      <c r="W391" s="331">
        <f>Partner3!$K150</f>
        <v>0</v>
      </c>
      <c r="X391" s="331">
        <f>Partner4!$K150</f>
        <v>0</v>
      </c>
      <c r="Y391" s="331">
        <f>Partner5!$K150</f>
        <v>0</v>
      </c>
      <c r="Z391" s="331">
        <f>Partner6!$K150</f>
        <v>0</v>
      </c>
      <c r="AA391" s="331">
        <f>Partner7!$K150</f>
        <v>0</v>
      </c>
      <c r="AB391" s="331">
        <f>Partner8!$K150</f>
        <v>0</v>
      </c>
      <c r="AC391" s="331">
        <f>Partner9!$K150</f>
        <v>0</v>
      </c>
      <c r="AD391" s="331">
        <f>Partner10!$K150</f>
        <v>0</v>
      </c>
    </row>
    <row r="392" spans="5:30" ht="12" x14ac:dyDescent="0.2">
      <c r="F392" s="142" t="str">
        <f>"Total "&amp;" ("&amp;E163&amp;")"</f>
        <v>Total  (GOZ)</v>
      </c>
      <c r="G392" s="142"/>
      <c r="H392" s="352">
        <f>SUM(H328,H335,H342,H349,H356,H363,H370,H377,H384,H391)</f>
        <v>168494147533.5123</v>
      </c>
      <c r="I392" s="362">
        <f>SUM(I328,I335,I342,I349,I356,I363,I370,I377,I384,I391)</f>
        <v>25971329290.516056</v>
      </c>
      <c r="J392" s="362">
        <f>SUM(J328,J335,J342,J349,J356,J363,J370,J377,J384,J391)</f>
        <v>142522818242.99625</v>
      </c>
      <c r="K392" s="367">
        <f t="shared" ref="K392:AD392" si="268">SUM(K328,K335,K342,K349,K356,K363,K370,K377,K384,K391)</f>
        <v>4274516100.0149999</v>
      </c>
      <c r="L392" s="367">
        <f t="shared" si="268"/>
        <v>490436535.45375007</v>
      </c>
      <c r="M392" s="367">
        <f t="shared" si="268"/>
        <v>1287000000</v>
      </c>
      <c r="N392" s="367">
        <f t="shared" si="268"/>
        <v>137767071.82499999</v>
      </c>
      <c r="O392" s="367">
        <f t="shared" si="268"/>
        <v>59269334.940000005</v>
      </c>
      <c r="P392" s="367">
        <f t="shared" si="268"/>
        <v>20829671743.252499</v>
      </c>
      <c r="Q392" s="367">
        <f t="shared" si="268"/>
        <v>2594288831.9400001</v>
      </c>
      <c r="R392" s="367">
        <f t="shared" si="268"/>
        <v>127539825.57000001</v>
      </c>
      <c r="S392" s="367">
        <f t="shared" si="268"/>
        <v>0</v>
      </c>
      <c r="T392" s="367">
        <f t="shared" si="268"/>
        <v>0</v>
      </c>
      <c r="U392" s="90">
        <f t="shared" si="268"/>
        <v>13694400000</v>
      </c>
      <c r="V392" s="90">
        <f t="shared" si="268"/>
        <v>63000000</v>
      </c>
      <c r="W392" s="90">
        <f t="shared" si="268"/>
        <v>90925185600</v>
      </c>
      <c r="X392" s="90">
        <f t="shared" si="268"/>
        <v>1154743200</v>
      </c>
      <c r="Y392" s="90">
        <f t="shared" si="268"/>
        <v>6885000000</v>
      </c>
      <c r="Z392" s="90">
        <f t="shared" si="268"/>
        <v>0</v>
      </c>
      <c r="AA392" s="90">
        <f t="shared" si="268"/>
        <v>0</v>
      </c>
      <c r="AB392" s="90">
        <f t="shared" si="268"/>
        <v>0</v>
      </c>
      <c r="AC392" s="90">
        <f t="shared" si="268"/>
        <v>0</v>
      </c>
      <c r="AD392" s="90">
        <f t="shared" si="268"/>
        <v>0</v>
      </c>
    </row>
    <row r="395" spans="5:30" ht="17.399999999999999" x14ac:dyDescent="0.2">
      <c r="E395" s="305" t="str">
        <f>CURR_INT_ABBR</f>
        <v>USD</v>
      </c>
    </row>
    <row r="397" spans="5:30" ht="84" x14ac:dyDescent="0.2">
      <c r="E397" s="303" t="s">
        <v>140</v>
      </c>
      <c r="F397" s="10"/>
      <c r="G397" s="302" t="s">
        <v>482</v>
      </c>
      <c r="H397" s="340" t="s">
        <v>143</v>
      </c>
      <c r="I397" s="341" t="s">
        <v>565</v>
      </c>
      <c r="J397" s="342" t="s">
        <v>141</v>
      </c>
      <c r="K397" s="339" t="str">
        <f>Government1</f>
        <v>Ministerio de Agricultura y Ganadería</v>
      </c>
      <c r="L397" s="339" t="str">
        <f>Government2</f>
        <v>Ministerio de Energía y Minas</v>
      </c>
      <c r="M397" s="339" t="str">
        <f>Government3</f>
        <v>Ministerio de Educación Nacional, de Educación Superior e Investigación Científica</v>
      </c>
      <c r="N397" s="339" t="str">
        <f>Government4</f>
        <v>Ministerio de Medioambiente</v>
      </c>
      <c r="O397" s="339" t="str">
        <f>Government5</f>
        <v>Ministerio de Servicio Público</v>
      </c>
      <c r="P397" s="339" t="str">
        <f>Government6</f>
        <v>Ministerio de Salud Pública y Lucha contra el SIDA</v>
      </c>
      <c r="Q397" s="339" t="str">
        <f>Government7</f>
        <v xml:space="preserve">Ministerio de Derechos Humanos, Asuntos Sociales y Género </v>
      </c>
      <c r="R397" s="339" t="str">
        <f>Government8</f>
        <v>Ministerio de Desarrollo Municipal</v>
      </c>
      <c r="S397" s="339" t="str">
        <f>Government9</f>
        <v>[No está en uso]</v>
      </c>
      <c r="T397" s="339" t="str">
        <f>Government10</f>
        <v>[No está en uso]</v>
      </c>
      <c r="U397" s="97" t="str">
        <f>Partner1</f>
        <v>UNICEF</v>
      </c>
      <c r="V397" s="97" t="str">
        <f>Partner2</f>
        <v>Organización Mundial de la Salud</v>
      </c>
      <c r="W397" s="97" t="str">
        <f>Partner3</f>
        <v>Banco Mundial</v>
      </c>
      <c r="X397" s="97" t="str">
        <f>Partner4</f>
        <v>Organización de las Naciones Unidas para la Alimentación y la Agricultura</v>
      </c>
      <c r="Y397" s="97" t="str">
        <f>Partner5</f>
        <v>Programa Mundial de Alimentos</v>
      </c>
      <c r="Z397" s="97" t="str">
        <f>Partner6</f>
        <v>[No está en uso]</v>
      </c>
      <c r="AA397" s="97" t="str">
        <f>Partner7</f>
        <v>[No está en uso]</v>
      </c>
      <c r="AB397" s="97" t="str">
        <f>Partner8</f>
        <v>[No está en uso]</v>
      </c>
      <c r="AC397" s="97" t="str">
        <f>Partner9</f>
        <v>[No está en uso]</v>
      </c>
      <c r="AD397" s="97" t="str">
        <f>Partner10</f>
        <v>[No está en uso]</v>
      </c>
    </row>
    <row r="398" spans="5:30" x14ac:dyDescent="0.2">
      <c r="H398" s="372"/>
      <c r="I398" s="372"/>
      <c r="J398" s="372"/>
    </row>
    <row r="399" spans="5:30" ht="12" x14ac:dyDescent="0.2">
      <c r="E399" s="301" t="str">
        <f>Strategy1</f>
        <v>Objetivo estratégico 1: Fortalecer la gobernanza de la nutrición</v>
      </c>
      <c r="G399" s="94"/>
      <c r="H399" s="363"/>
      <c r="I399" s="364"/>
      <c r="J399" s="356"/>
      <c r="K399" s="369"/>
      <c r="L399" s="369"/>
      <c r="M399" s="369"/>
      <c r="N399" s="369"/>
      <c r="O399" s="369"/>
      <c r="P399" s="369"/>
      <c r="Q399" s="369"/>
      <c r="R399" s="369"/>
      <c r="S399" s="369"/>
      <c r="T399" s="369"/>
      <c r="U399" s="96"/>
      <c r="V399" s="96"/>
      <c r="W399" s="96"/>
      <c r="X399" s="96"/>
      <c r="Y399" s="96"/>
      <c r="Z399" s="96"/>
      <c r="AA399" s="96"/>
      <c r="AB399" s="96"/>
      <c r="AC399" s="96"/>
      <c r="AD399" s="96"/>
    </row>
    <row r="400" spans="5:30" ht="12" x14ac:dyDescent="0.2">
      <c r="E400" s="301"/>
      <c r="F400" s="94" t="str">
        <f>STRAT1_IND1</f>
        <v>Se refuerza la coordinación multisectorial en materia de nutrición</v>
      </c>
      <c r="G400" s="94" t="str">
        <f ca="1">OFFSET(Variables_Lu!$D$10,Basic_Setup!H34,0)</f>
        <v>Governance</v>
      </c>
      <c r="H400" s="354">
        <f t="shared" ref="H400:AD400" si="269">H323/EXCHANGE_RATE</f>
        <v>192559.35694444444</v>
      </c>
      <c r="I400" s="355">
        <f t="shared" si="269"/>
        <v>-570210.97404288803</v>
      </c>
      <c r="J400" s="356">
        <f t="shared" si="269"/>
        <v>762770.33098733251</v>
      </c>
      <c r="K400" s="369">
        <f t="shared" si="269"/>
        <v>949.89246666999998</v>
      </c>
      <c r="L400" s="369">
        <f t="shared" si="269"/>
        <v>108.98589676750001</v>
      </c>
      <c r="M400" s="369">
        <f t="shared" si="269"/>
        <v>286</v>
      </c>
      <c r="N400" s="369">
        <f t="shared" si="269"/>
        <v>30.614904850000002</v>
      </c>
      <c r="O400" s="369">
        <f t="shared" si="269"/>
        <v>13.17096332</v>
      </c>
      <c r="P400" s="369">
        <f t="shared" si="269"/>
        <v>4628.8159429449997</v>
      </c>
      <c r="Q400" s="369">
        <f t="shared" si="269"/>
        <v>576.50862932000007</v>
      </c>
      <c r="R400" s="369">
        <f t="shared" si="269"/>
        <v>28.342183459999998</v>
      </c>
      <c r="S400" s="369">
        <f t="shared" si="269"/>
        <v>0</v>
      </c>
      <c r="T400" s="369">
        <f t="shared" si="269"/>
        <v>0</v>
      </c>
      <c r="U400" s="96">
        <f t="shared" si="269"/>
        <v>4800</v>
      </c>
      <c r="V400" s="96">
        <f t="shared" si="269"/>
        <v>5000</v>
      </c>
      <c r="W400" s="96">
        <f t="shared" si="269"/>
        <v>569098</v>
      </c>
      <c r="X400" s="96">
        <f t="shared" si="269"/>
        <v>27250</v>
      </c>
      <c r="Y400" s="96">
        <f t="shared" si="269"/>
        <v>150000</v>
      </c>
      <c r="Z400" s="96">
        <f t="shared" si="269"/>
        <v>0</v>
      </c>
      <c r="AA400" s="96">
        <f t="shared" si="269"/>
        <v>0</v>
      </c>
      <c r="AB400" s="96">
        <f t="shared" si="269"/>
        <v>0</v>
      </c>
      <c r="AC400" s="96">
        <f t="shared" si="269"/>
        <v>0</v>
      </c>
      <c r="AD400" s="96">
        <f t="shared" si="269"/>
        <v>0</v>
      </c>
    </row>
    <row r="401" spans="5:30" ht="22.8" x14ac:dyDescent="0.2">
      <c r="E401" s="301"/>
      <c r="F401" s="94" t="str">
        <f>STRAT1_IND2</f>
        <v>Está en funcionamiento el sistema multisectorial de información sobre nutrición para la adopción de decisiones eficaces.</v>
      </c>
      <c r="G401" s="94" t="str">
        <f ca="1">OFFSET(Variables_Lu!$D$10,Basic_Setup!H35,0)</f>
        <v>Governance</v>
      </c>
      <c r="H401" s="354">
        <f t="shared" ref="H401:AD401" si="270">H324/EXCHANGE_RATE</f>
        <v>192559.35694444444</v>
      </c>
      <c r="I401" s="355">
        <f t="shared" si="270"/>
        <v>168437.02595711194</v>
      </c>
      <c r="J401" s="356">
        <f t="shared" si="270"/>
        <v>24122.330987332502</v>
      </c>
      <c r="K401" s="369">
        <f t="shared" si="270"/>
        <v>949.89246666999998</v>
      </c>
      <c r="L401" s="369">
        <f t="shared" si="270"/>
        <v>108.98589676750001</v>
      </c>
      <c r="M401" s="369">
        <f t="shared" si="270"/>
        <v>286</v>
      </c>
      <c r="N401" s="369">
        <f t="shared" si="270"/>
        <v>30.614904850000002</v>
      </c>
      <c r="O401" s="369">
        <f t="shared" si="270"/>
        <v>13.17096332</v>
      </c>
      <c r="P401" s="369">
        <f t="shared" si="270"/>
        <v>4628.8159429449997</v>
      </c>
      <c r="Q401" s="369">
        <f t="shared" si="270"/>
        <v>576.50862932000007</v>
      </c>
      <c r="R401" s="369">
        <f t="shared" si="270"/>
        <v>28.342183459999998</v>
      </c>
      <c r="S401" s="369">
        <f t="shared" si="270"/>
        <v>0</v>
      </c>
      <c r="T401" s="369">
        <f t="shared" si="270"/>
        <v>0</v>
      </c>
      <c r="U401" s="96">
        <f t="shared" si="270"/>
        <v>800</v>
      </c>
      <c r="V401" s="96">
        <f t="shared" si="270"/>
        <v>0</v>
      </c>
      <c r="W401" s="96">
        <f t="shared" si="270"/>
        <v>0</v>
      </c>
      <c r="X401" s="96">
        <f t="shared" si="270"/>
        <v>16700</v>
      </c>
      <c r="Y401" s="96">
        <f t="shared" si="270"/>
        <v>0</v>
      </c>
      <c r="Z401" s="96">
        <f t="shared" si="270"/>
        <v>0</v>
      </c>
      <c r="AA401" s="96">
        <f t="shared" si="270"/>
        <v>0</v>
      </c>
      <c r="AB401" s="96">
        <f t="shared" si="270"/>
        <v>0</v>
      </c>
      <c r="AC401" s="96">
        <f t="shared" si="270"/>
        <v>0</v>
      </c>
      <c r="AD401" s="96">
        <f t="shared" si="270"/>
        <v>0</v>
      </c>
    </row>
    <row r="402" spans="5:30" ht="22.8" x14ac:dyDescent="0.2">
      <c r="E402" s="301"/>
      <c r="F402" s="94" t="str">
        <f>STRAT1_IND3</f>
        <v>La investigación en nutrición se utiliza para aclarar que la toma de decisiones se mejora y se refuerza.</v>
      </c>
      <c r="G402" s="94" t="str">
        <f ca="1">OFFSET(Variables_Lu!$D$10,Basic_Setup!H36,0)</f>
        <v>Governance</v>
      </c>
      <c r="H402" s="354">
        <f t="shared" ref="H402:AD402" si="271">H325/EXCHANGE_RATE</f>
        <v>192559.35694444444</v>
      </c>
      <c r="I402" s="355">
        <f t="shared" si="271"/>
        <v>184337.02595711194</v>
      </c>
      <c r="J402" s="356">
        <f t="shared" si="271"/>
        <v>8222.3309873324997</v>
      </c>
      <c r="K402" s="369">
        <f t="shared" si="271"/>
        <v>949.89246666999998</v>
      </c>
      <c r="L402" s="369">
        <f t="shared" si="271"/>
        <v>108.98589676750001</v>
      </c>
      <c r="M402" s="369">
        <f t="shared" si="271"/>
        <v>286</v>
      </c>
      <c r="N402" s="369">
        <f t="shared" si="271"/>
        <v>30.614904850000002</v>
      </c>
      <c r="O402" s="369">
        <f t="shared" si="271"/>
        <v>13.17096332</v>
      </c>
      <c r="P402" s="369">
        <f t="shared" si="271"/>
        <v>4628.8159429449997</v>
      </c>
      <c r="Q402" s="369">
        <f t="shared" si="271"/>
        <v>576.50862932000007</v>
      </c>
      <c r="R402" s="369">
        <f t="shared" si="271"/>
        <v>28.342183459999998</v>
      </c>
      <c r="S402" s="369">
        <f t="shared" si="271"/>
        <v>0</v>
      </c>
      <c r="T402" s="369">
        <f t="shared" si="271"/>
        <v>0</v>
      </c>
      <c r="U402" s="96">
        <f t="shared" si="271"/>
        <v>1600</v>
      </c>
      <c r="V402" s="96">
        <f t="shared" si="271"/>
        <v>0</v>
      </c>
      <c r="W402" s="96">
        <f t="shared" si="271"/>
        <v>0</v>
      </c>
      <c r="X402" s="96">
        <f t="shared" si="271"/>
        <v>0</v>
      </c>
      <c r="Y402" s="96">
        <f t="shared" si="271"/>
        <v>0</v>
      </c>
      <c r="Z402" s="96">
        <f t="shared" si="271"/>
        <v>0</v>
      </c>
      <c r="AA402" s="96">
        <f t="shared" si="271"/>
        <v>0</v>
      </c>
      <c r="AB402" s="96">
        <f t="shared" si="271"/>
        <v>0</v>
      </c>
      <c r="AC402" s="96">
        <f t="shared" si="271"/>
        <v>0</v>
      </c>
      <c r="AD402" s="96">
        <f t="shared" si="271"/>
        <v>0</v>
      </c>
    </row>
    <row r="403" spans="5:30" ht="22.8" x14ac:dyDescent="0.2">
      <c r="E403" s="301"/>
      <c r="F403" s="94" t="str">
        <f>STRAT1_IND4</f>
        <v>El marco legislativo y reglamentario de la nutrición se ha fortalecido y está en funcionamiento.</v>
      </c>
      <c r="G403" s="94" t="str">
        <f ca="1">OFFSET(Variables_Lu!$D$10,Basic_Setup!H37,0)</f>
        <v>Governance</v>
      </c>
      <c r="H403" s="354">
        <f t="shared" ref="H403:AD403" si="272">H326/EXCHANGE_RATE</f>
        <v>192559.35694444444</v>
      </c>
      <c r="I403" s="355">
        <f t="shared" si="272"/>
        <v>185137.02595711194</v>
      </c>
      <c r="J403" s="356">
        <f t="shared" si="272"/>
        <v>7422.3309873325006</v>
      </c>
      <c r="K403" s="369">
        <f t="shared" si="272"/>
        <v>949.89246666999998</v>
      </c>
      <c r="L403" s="369">
        <f t="shared" si="272"/>
        <v>108.98589676750001</v>
      </c>
      <c r="M403" s="369">
        <f t="shared" si="272"/>
        <v>286</v>
      </c>
      <c r="N403" s="369">
        <f t="shared" si="272"/>
        <v>30.614904850000002</v>
      </c>
      <c r="O403" s="369">
        <f t="shared" si="272"/>
        <v>13.17096332</v>
      </c>
      <c r="P403" s="369">
        <f t="shared" si="272"/>
        <v>4628.8159429449997</v>
      </c>
      <c r="Q403" s="369">
        <f t="shared" si="272"/>
        <v>576.50862932000007</v>
      </c>
      <c r="R403" s="369">
        <f t="shared" si="272"/>
        <v>28.342183459999998</v>
      </c>
      <c r="S403" s="369">
        <f t="shared" si="272"/>
        <v>0</v>
      </c>
      <c r="T403" s="369">
        <f t="shared" si="272"/>
        <v>0</v>
      </c>
      <c r="U403" s="96">
        <f t="shared" si="272"/>
        <v>800</v>
      </c>
      <c r="V403" s="96">
        <f t="shared" si="272"/>
        <v>0</v>
      </c>
      <c r="W403" s="96">
        <f t="shared" si="272"/>
        <v>0</v>
      </c>
      <c r="X403" s="96">
        <f t="shared" si="272"/>
        <v>0</v>
      </c>
      <c r="Y403" s="96">
        <f t="shared" si="272"/>
        <v>0</v>
      </c>
      <c r="Z403" s="96">
        <f t="shared" si="272"/>
        <v>0</v>
      </c>
      <c r="AA403" s="96">
        <f t="shared" si="272"/>
        <v>0</v>
      </c>
      <c r="AB403" s="96">
        <f t="shared" si="272"/>
        <v>0</v>
      </c>
      <c r="AC403" s="96">
        <f t="shared" si="272"/>
        <v>0</v>
      </c>
      <c r="AD403" s="96">
        <f t="shared" si="272"/>
        <v>0</v>
      </c>
    </row>
    <row r="404" spans="5:30" ht="12" x14ac:dyDescent="0.2">
      <c r="E404" s="301"/>
      <c r="F404" s="94" t="str">
        <f>STRAT1_IND5</f>
        <v>Objetivo estratégico 1 Indicador 5</v>
      </c>
      <c r="G404" s="94" t="str">
        <f ca="1">OFFSET(Variables_Lu!$D$10,Basic_Setup!H38,0)</f>
        <v>Governance</v>
      </c>
      <c r="H404" s="354">
        <f t="shared" ref="H404:AD404" si="273">H327/EXCHANGE_RATE</f>
        <v>0</v>
      </c>
      <c r="I404" s="355">
        <f t="shared" si="273"/>
        <v>0</v>
      </c>
      <c r="J404" s="356">
        <f t="shared" si="273"/>
        <v>0</v>
      </c>
      <c r="K404" s="369">
        <f t="shared" si="273"/>
        <v>0</v>
      </c>
      <c r="L404" s="369">
        <f t="shared" si="273"/>
        <v>0</v>
      </c>
      <c r="M404" s="369">
        <f t="shared" si="273"/>
        <v>0</v>
      </c>
      <c r="N404" s="369">
        <f t="shared" si="273"/>
        <v>0</v>
      </c>
      <c r="O404" s="369">
        <f t="shared" si="273"/>
        <v>0</v>
      </c>
      <c r="P404" s="369">
        <f t="shared" si="273"/>
        <v>0</v>
      </c>
      <c r="Q404" s="369">
        <f t="shared" si="273"/>
        <v>0</v>
      </c>
      <c r="R404" s="369">
        <f t="shared" si="273"/>
        <v>0</v>
      </c>
      <c r="S404" s="369">
        <f t="shared" si="273"/>
        <v>0</v>
      </c>
      <c r="T404" s="369">
        <f t="shared" si="273"/>
        <v>0</v>
      </c>
      <c r="U404" s="96">
        <f t="shared" si="273"/>
        <v>0</v>
      </c>
      <c r="V404" s="96">
        <f t="shared" si="273"/>
        <v>0</v>
      </c>
      <c r="W404" s="96">
        <f t="shared" si="273"/>
        <v>0</v>
      </c>
      <c r="X404" s="96">
        <f t="shared" si="273"/>
        <v>0</v>
      </c>
      <c r="Y404" s="96">
        <f t="shared" si="273"/>
        <v>0</v>
      </c>
      <c r="Z404" s="96">
        <f t="shared" si="273"/>
        <v>0</v>
      </c>
      <c r="AA404" s="96">
        <f t="shared" si="273"/>
        <v>0</v>
      </c>
      <c r="AB404" s="96">
        <f t="shared" si="273"/>
        <v>0</v>
      </c>
      <c r="AC404" s="96">
        <f t="shared" si="273"/>
        <v>0</v>
      </c>
      <c r="AD404" s="96">
        <f t="shared" si="273"/>
        <v>0</v>
      </c>
    </row>
    <row r="405" spans="5:30" ht="24" x14ac:dyDescent="0.2">
      <c r="E405" s="301"/>
      <c r="F405" s="338" t="str">
        <f>"Subtotal: "&amp;E244</f>
        <v>Subtotal: Objetivo estratégico 1: Fortalecer la gobernanza de la nutrición</v>
      </c>
      <c r="G405" s="333"/>
      <c r="H405" s="357">
        <f t="shared" ref="H405:AD405" si="274">H328/EXCHANGE_RATE</f>
        <v>770237.42777777778</v>
      </c>
      <c r="I405" s="358">
        <f t="shared" si="274"/>
        <v>-32299.896171552275</v>
      </c>
      <c r="J405" s="358">
        <f t="shared" si="274"/>
        <v>802537.32394933014</v>
      </c>
      <c r="K405" s="370">
        <f t="shared" si="274"/>
        <v>3799.5698666799999</v>
      </c>
      <c r="L405" s="370">
        <f t="shared" si="274"/>
        <v>435.94358707000004</v>
      </c>
      <c r="M405" s="370">
        <f t="shared" si="274"/>
        <v>1144</v>
      </c>
      <c r="N405" s="370">
        <f t="shared" si="274"/>
        <v>122.45961940000001</v>
      </c>
      <c r="O405" s="370">
        <f t="shared" si="274"/>
        <v>52.683853280000001</v>
      </c>
      <c r="P405" s="370">
        <f t="shared" si="274"/>
        <v>18515.263771779999</v>
      </c>
      <c r="Q405" s="370">
        <f t="shared" si="274"/>
        <v>2306.0345172800003</v>
      </c>
      <c r="R405" s="370">
        <f t="shared" si="274"/>
        <v>113.36873383999999</v>
      </c>
      <c r="S405" s="370">
        <f t="shared" si="274"/>
        <v>0</v>
      </c>
      <c r="T405" s="370">
        <f t="shared" si="274"/>
        <v>0</v>
      </c>
      <c r="U405" s="337">
        <f t="shared" si="274"/>
        <v>8000</v>
      </c>
      <c r="V405" s="337">
        <f t="shared" si="274"/>
        <v>5000</v>
      </c>
      <c r="W405" s="337">
        <f t="shared" si="274"/>
        <v>569098</v>
      </c>
      <c r="X405" s="337">
        <f t="shared" si="274"/>
        <v>43950</v>
      </c>
      <c r="Y405" s="337">
        <f t="shared" si="274"/>
        <v>150000</v>
      </c>
      <c r="Z405" s="337">
        <f t="shared" si="274"/>
        <v>0</v>
      </c>
      <c r="AA405" s="337">
        <f t="shared" si="274"/>
        <v>0</v>
      </c>
      <c r="AB405" s="337">
        <f t="shared" si="274"/>
        <v>0</v>
      </c>
      <c r="AC405" s="337">
        <f t="shared" si="274"/>
        <v>0</v>
      </c>
      <c r="AD405" s="337">
        <f t="shared" si="274"/>
        <v>0</v>
      </c>
    </row>
    <row r="406" spans="5:30" ht="12" x14ac:dyDescent="0.2">
      <c r="E406" s="301" t="str">
        <f>Strategy2</f>
        <v>Objetivo estratégico 2: Fortalecer el acceso al tratamiento y a los servicios de salud y nutrición de calidad, así como al tratamiento de todas las formas de malnutrición</v>
      </c>
      <c r="G406" s="94"/>
      <c r="H406" s="363"/>
      <c r="I406" s="364"/>
      <c r="J406" s="356"/>
      <c r="K406" s="369"/>
      <c r="L406" s="369"/>
      <c r="M406" s="369"/>
      <c r="N406" s="369"/>
      <c r="O406" s="369"/>
      <c r="P406" s="369"/>
      <c r="Q406" s="369"/>
      <c r="R406" s="369"/>
      <c r="S406" s="369"/>
      <c r="T406" s="369"/>
      <c r="U406" s="96"/>
      <c r="V406" s="96"/>
      <c r="W406" s="96"/>
      <c r="X406" s="96"/>
      <c r="Y406" s="96"/>
      <c r="Z406" s="96"/>
      <c r="AA406" s="96"/>
      <c r="AB406" s="96"/>
      <c r="AC406" s="96"/>
      <c r="AD406" s="96"/>
    </row>
    <row r="407" spans="5:30" ht="34.200000000000003" x14ac:dyDescent="0.2">
      <c r="E407" s="301"/>
      <c r="F407" s="94" t="str">
        <f>STRAT2_IND1</f>
        <v>Se fortalece el acceso y la utilización sostenible de los servicios de salud y nutrición para los niños menores de 5 años, los adolescentes, las mujeres embarazadas y lactantes, y los demás grupos vulnerables</v>
      </c>
      <c r="G407" s="94" t="str">
        <f ca="1">OFFSET(Variables_Lu!$D$10,Basic_Setup!H40,0)</f>
        <v>Nutrition-specific</v>
      </c>
      <c r="H407" s="354">
        <f t="shared" ref="H407:AD407" si="275">H330/EXCHANGE_RATE</f>
        <v>4844149.1280525932</v>
      </c>
      <c r="I407" s="355">
        <f t="shared" si="275"/>
        <v>-16282.553360418744</v>
      </c>
      <c r="J407" s="356">
        <f t="shared" si="275"/>
        <v>4860431.6814130116</v>
      </c>
      <c r="K407" s="369">
        <f t="shared" si="275"/>
        <v>50265.143027954167</v>
      </c>
      <c r="L407" s="369">
        <f t="shared" si="275"/>
        <v>5767.1703706135422</v>
      </c>
      <c r="M407" s="369">
        <f t="shared" si="275"/>
        <v>15134.166666666666</v>
      </c>
      <c r="N407" s="369">
        <f t="shared" si="275"/>
        <v>1620.0387149791666</v>
      </c>
      <c r="O407" s="369">
        <f t="shared" si="275"/>
        <v>696.96347568333329</v>
      </c>
      <c r="P407" s="369">
        <f t="shared" si="275"/>
        <v>244941.51031417289</v>
      </c>
      <c r="Q407" s="369">
        <f t="shared" si="275"/>
        <v>30506.914968183333</v>
      </c>
      <c r="R407" s="369">
        <f t="shared" si="275"/>
        <v>1499.7738747583332</v>
      </c>
      <c r="S407" s="369">
        <f t="shared" si="275"/>
        <v>0</v>
      </c>
      <c r="T407" s="369">
        <f t="shared" si="275"/>
        <v>0</v>
      </c>
      <c r="U407" s="96">
        <f t="shared" si="275"/>
        <v>3000000</v>
      </c>
      <c r="V407" s="96">
        <f t="shared" si="275"/>
        <v>10000</v>
      </c>
      <c r="W407" s="96">
        <f t="shared" si="275"/>
        <v>0</v>
      </c>
      <c r="X407" s="96">
        <f t="shared" si="275"/>
        <v>0</v>
      </c>
      <c r="Y407" s="96">
        <f t="shared" si="275"/>
        <v>1500000</v>
      </c>
      <c r="Z407" s="96">
        <f t="shared" si="275"/>
        <v>0</v>
      </c>
      <c r="AA407" s="96">
        <f t="shared" si="275"/>
        <v>0</v>
      </c>
      <c r="AB407" s="96">
        <f t="shared" si="275"/>
        <v>0</v>
      </c>
      <c r="AC407" s="96">
        <f t="shared" si="275"/>
        <v>0</v>
      </c>
      <c r="AD407" s="96">
        <f t="shared" si="275"/>
        <v>0</v>
      </c>
    </row>
    <row r="408" spans="5:30" ht="45.6" x14ac:dyDescent="0.2">
      <c r="E408" s="301"/>
      <c r="F408" s="94" t="str">
        <f>STRAT2_IND2</f>
        <v xml:space="preserve">Se reduce la prevalencia de enfermedades relacionadas con la prevalencia de la malnutrición (paludismo, diarrea, neumonía, parásitos intestinales, VIH, TNM) en lactantes, adolescentes y mujeres en edad reproductiva. </v>
      </c>
      <c r="G408" s="94" t="str">
        <f ca="1">OFFSET(Variables_Lu!$D$10,Basic_Setup!H41,0)</f>
        <v>Nutrition-sensitive</v>
      </c>
      <c r="H408" s="354">
        <f t="shared" ref="H408:AD408" si="276">H331/EXCHANGE_RATE</f>
        <v>4844149.1280525932</v>
      </c>
      <c r="I408" s="355">
        <f t="shared" si="276"/>
        <v>-1903110.5533604186</v>
      </c>
      <c r="J408" s="356">
        <f t="shared" si="276"/>
        <v>6747259.6814130116</v>
      </c>
      <c r="K408" s="369">
        <f t="shared" si="276"/>
        <v>50265.143027954167</v>
      </c>
      <c r="L408" s="369">
        <f t="shared" si="276"/>
        <v>5767.1703706135422</v>
      </c>
      <c r="M408" s="369">
        <f t="shared" si="276"/>
        <v>15134.166666666666</v>
      </c>
      <c r="N408" s="369">
        <f t="shared" si="276"/>
        <v>1620.0387149791666</v>
      </c>
      <c r="O408" s="369">
        <f t="shared" si="276"/>
        <v>696.96347568333329</v>
      </c>
      <c r="P408" s="369">
        <f t="shared" si="276"/>
        <v>244941.51031417289</v>
      </c>
      <c r="Q408" s="369">
        <f t="shared" si="276"/>
        <v>30506.914968183333</v>
      </c>
      <c r="R408" s="369">
        <f t="shared" si="276"/>
        <v>1499.7738747583332</v>
      </c>
      <c r="S408" s="369">
        <f t="shared" si="276"/>
        <v>0</v>
      </c>
      <c r="T408" s="369">
        <f t="shared" si="276"/>
        <v>0</v>
      </c>
      <c r="U408" s="96">
        <f t="shared" si="276"/>
        <v>500000</v>
      </c>
      <c r="V408" s="96">
        <f t="shared" si="276"/>
        <v>20000</v>
      </c>
      <c r="W408" s="96">
        <f t="shared" si="276"/>
        <v>5876828</v>
      </c>
      <c r="X408" s="96">
        <f t="shared" si="276"/>
        <v>0</v>
      </c>
      <c r="Y408" s="96">
        <f t="shared" si="276"/>
        <v>0</v>
      </c>
      <c r="Z408" s="96">
        <f t="shared" si="276"/>
        <v>0</v>
      </c>
      <c r="AA408" s="96">
        <f t="shared" si="276"/>
        <v>0</v>
      </c>
      <c r="AB408" s="96">
        <f t="shared" si="276"/>
        <v>0</v>
      </c>
      <c r="AC408" s="96">
        <f t="shared" si="276"/>
        <v>0</v>
      </c>
      <c r="AD408" s="96">
        <f t="shared" si="276"/>
        <v>0</v>
      </c>
    </row>
    <row r="409" spans="5:30" ht="12" x14ac:dyDescent="0.2">
      <c r="E409" s="301"/>
      <c r="F409" s="94" t="str">
        <f>STRAT2_IND3</f>
        <v>Se refuerzan las intervenciones comunitarias en materia de nutrición.</v>
      </c>
      <c r="G409" s="94" t="str">
        <f ca="1">OFFSET(Variables_Lu!$D$10,Basic_Setup!H42,0)</f>
        <v>Nutrition-specific</v>
      </c>
      <c r="H409" s="354">
        <f t="shared" ref="H409:AD409" si="277">H332/EXCHANGE_RATE</f>
        <v>4844149.1280525932</v>
      </c>
      <c r="I409" s="355">
        <f t="shared" si="277"/>
        <v>3193717.4466395811</v>
      </c>
      <c r="J409" s="356">
        <f t="shared" si="277"/>
        <v>1650431.6814130116</v>
      </c>
      <c r="K409" s="369">
        <f t="shared" si="277"/>
        <v>50265.143027954167</v>
      </c>
      <c r="L409" s="369">
        <f t="shared" si="277"/>
        <v>5767.1703706135422</v>
      </c>
      <c r="M409" s="369">
        <f t="shared" si="277"/>
        <v>15134.166666666666</v>
      </c>
      <c r="N409" s="369">
        <f t="shared" si="277"/>
        <v>1620.0387149791666</v>
      </c>
      <c r="O409" s="369">
        <f t="shared" si="277"/>
        <v>696.96347568333329</v>
      </c>
      <c r="P409" s="369">
        <f t="shared" si="277"/>
        <v>244941.51031417289</v>
      </c>
      <c r="Q409" s="369">
        <f t="shared" si="277"/>
        <v>30506.914968183333</v>
      </c>
      <c r="R409" s="369">
        <f t="shared" si="277"/>
        <v>1499.7738747583332</v>
      </c>
      <c r="S409" s="369">
        <f t="shared" si="277"/>
        <v>0</v>
      </c>
      <c r="T409" s="369">
        <f t="shared" si="277"/>
        <v>0</v>
      </c>
      <c r="U409" s="96">
        <f t="shared" si="277"/>
        <v>1300000</v>
      </c>
      <c r="V409" s="96">
        <f t="shared" si="277"/>
        <v>0</v>
      </c>
      <c r="W409" s="96">
        <f t="shared" si="277"/>
        <v>0</v>
      </c>
      <c r="X409" s="96">
        <f t="shared" si="277"/>
        <v>0</v>
      </c>
      <c r="Y409" s="96">
        <f t="shared" si="277"/>
        <v>0</v>
      </c>
      <c r="Z409" s="96">
        <f t="shared" si="277"/>
        <v>0</v>
      </c>
      <c r="AA409" s="96">
        <f t="shared" si="277"/>
        <v>0</v>
      </c>
      <c r="AB409" s="96">
        <f t="shared" si="277"/>
        <v>0</v>
      </c>
      <c r="AC409" s="96">
        <f t="shared" si="277"/>
        <v>0</v>
      </c>
      <c r="AD409" s="96">
        <f t="shared" si="277"/>
        <v>0</v>
      </c>
    </row>
    <row r="410" spans="5:30" ht="12" x14ac:dyDescent="0.2">
      <c r="E410" s="301"/>
      <c r="F410" s="94" t="str">
        <f>STRAT2_IND4</f>
        <v>Objetivo estratégico 2 Indicador 4</v>
      </c>
      <c r="G410" s="94" t="str">
        <f ca="1">OFFSET(Variables_Lu!$D$10,Basic_Setup!H43,0)</f>
        <v>Nutrition-specific</v>
      </c>
      <c r="H410" s="354">
        <f t="shared" ref="H410:AD410" si="278">H333/EXCHANGE_RATE</f>
        <v>0</v>
      </c>
      <c r="I410" s="355">
        <f t="shared" si="278"/>
        <v>0</v>
      </c>
      <c r="J410" s="356">
        <f t="shared" si="278"/>
        <v>0</v>
      </c>
      <c r="K410" s="369">
        <f t="shared" si="278"/>
        <v>0</v>
      </c>
      <c r="L410" s="369">
        <f t="shared" si="278"/>
        <v>0</v>
      </c>
      <c r="M410" s="369">
        <f t="shared" si="278"/>
        <v>0</v>
      </c>
      <c r="N410" s="369">
        <f t="shared" si="278"/>
        <v>0</v>
      </c>
      <c r="O410" s="369">
        <f t="shared" si="278"/>
        <v>0</v>
      </c>
      <c r="P410" s="369">
        <f t="shared" si="278"/>
        <v>0</v>
      </c>
      <c r="Q410" s="369">
        <f t="shared" si="278"/>
        <v>0</v>
      </c>
      <c r="R410" s="369">
        <f t="shared" si="278"/>
        <v>0</v>
      </c>
      <c r="S410" s="369">
        <f t="shared" si="278"/>
        <v>0</v>
      </c>
      <c r="T410" s="369">
        <f t="shared" si="278"/>
        <v>0</v>
      </c>
      <c r="U410" s="96">
        <f t="shared" si="278"/>
        <v>0</v>
      </c>
      <c r="V410" s="96">
        <f t="shared" si="278"/>
        <v>0</v>
      </c>
      <c r="W410" s="96">
        <f t="shared" si="278"/>
        <v>0</v>
      </c>
      <c r="X410" s="96">
        <f t="shared" si="278"/>
        <v>0</v>
      </c>
      <c r="Y410" s="96">
        <f t="shared" si="278"/>
        <v>0</v>
      </c>
      <c r="Z410" s="96">
        <f t="shared" si="278"/>
        <v>0</v>
      </c>
      <c r="AA410" s="96">
        <f t="shared" si="278"/>
        <v>0</v>
      </c>
      <c r="AB410" s="96">
        <f t="shared" si="278"/>
        <v>0</v>
      </c>
      <c r="AC410" s="96">
        <f t="shared" si="278"/>
        <v>0</v>
      </c>
      <c r="AD410" s="96">
        <f t="shared" si="278"/>
        <v>0</v>
      </c>
    </row>
    <row r="411" spans="5:30" ht="12" x14ac:dyDescent="0.2">
      <c r="E411" s="301"/>
      <c r="F411" s="94" t="str">
        <f>STRAT2_IND5</f>
        <v>Objetivo estratégico 2 Indicador 5</v>
      </c>
      <c r="G411" s="94" t="str">
        <f ca="1">OFFSET(Variables_Lu!$D$10,Basic_Setup!H44,0)</f>
        <v>Nutrition-specific</v>
      </c>
      <c r="H411" s="354">
        <f t="shared" ref="H411:AD411" si="279">H334/EXCHANGE_RATE</f>
        <v>0</v>
      </c>
      <c r="I411" s="355">
        <f t="shared" si="279"/>
        <v>0</v>
      </c>
      <c r="J411" s="356">
        <f t="shared" si="279"/>
        <v>0</v>
      </c>
      <c r="K411" s="369">
        <f t="shared" si="279"/>
        <v>0</v>
      </c>
      <c r="L411" s="369">
        <f t="shared" si="279"/>
        <v>0</v>
      </c>
      <c r="M411" s="369">
        <f t="shared" si="279"/>
        <v>0</v>
      </c>
      <c r="N411" s="369">
        <f t="shared" si="279"/>
        <v>0</v>
      </c>
      <c r="O411" s="369">
        <f t="shared" si="279"/>
        <v>0</v>
      </c>
      <c r="P411" s="369">
        <f t="shared" si="279"/>
        <v>0</v>
      </c>
      <c r="Q411" s="369">
        <f t="shared" si="279"/>
        <v>0</v>
      </c>
      <c r="R411" s="369">
        <f t="shared" si="279"/>
        <v>0</v>
      </c>
      <c r="S411" s="369">
        <f t="shared" si="279"/>
        <v>0</v>
      </c>
      <c r="T411" s="369">
        <f t="shared" si="279"/>
        <v>0</v>
      </c>
      <c r="U411" s="96">
        <f t="shared" si="279"/>
        <v>0</v>
      </c>
      <c r="V411" s="96">
        <f t="shared" si="279"/>
        <v>0</v>
      </c>
      <c r="W411" s="96">
        <f t="shared" si="279"/>
        <v>0</v>
      </c>
      <c r="X411" s="96">
        <f t="shared" si="279"/>
        <v>0</v>
      </c>
      <c r="Y411" s="96">
        <f t="shared" si="279"/>
        <v>0</v>
      </c>
      <c r="Z411" s="96">
        <f t="shared" si="279"/>
        <v>0</v>
      </c>
      <c r="AA411" s="96">
        <f t="shared" si="279"/>
        <v>0</v>
      </c>
      <c r="AB411" s="96">
        <f t="shared" si="279"/>
        <v>0</v>
      </c>
      <c r="AC411" s="96">
        <f t="shared" si="279"/>
        <v>0</v>
      </c>
      <c r="AD411" s="96">
        <f t="shared" si="279"/>
        <v>0</v>
      </c>
    </row>
    <row r="412" spans="5:30" ht="30.75" customHeight="1" x14ac:dyDescent="0.2">
      <c r="E412" s="301"/>
      <c r="F412" s="338" t="str">
        <f>"Subtotal: "&amp;E251</f>
        <v>Subtotal: Objetivo estratégico 2: Fortalecer el acceso al tratamiento y a los servicios de salud y nutrición de calidad, así como al tratamiento de todas las formas de malnutrición</v>
      </c>
      <c r="G412" s="333"/>
      <c r="H412" s="357">
        <f t="shared" ref="H412:AD412" si="280">H335/EXCHANGE_RATE</f>
        <v>14532447.384157779</v>
      </c>
      <c r="I412" s="358">
        <f t="shared" si="280"/>
        <v>1274324.3399187438</v>
      </c>
      <c r="J412" s="358">
        <f t="shared" si="280"/>
        <v>13258123.044239035</v>
      </c>
      <c r="K412" s="370">
        <f t="shared" si="280"/>
        <v>150795.42908386252</v>
      </c>
      <c r="L412" s="370">
        <f t="shared" si="280"/>
        <v>17301.511111840628</v>
      </c>
      <c r="M412" s="370">
        <f t="shared" si="280"/>
        <v>45402.5</v>
      </c>
      <c r="N412" s="370">
        <f t="shared" si="280"/>
        <v>4860.1161449374995</v>
      </c>
      <c r="O412" s="370">
        <f t="shared" si="280"/>
        <v>2090.8904270499997</v>
      </c>
      <c r="P412" s="370">
        <f t="shared" si="280"/>
        <v>734824.53094251873</v>
      </c>
      <c r="Q412" s="370">
        <f t="shared" si="280"/>
        <v>91520.744904549996</v>
      </c>
      <c r="R412" s="370">
        <f t="shared" si="280"/>
        <v>4499.3216242749995</v>
      </c>
      <c r="S412" s="370">
        <f t="shared" si="280"/>
        <v>0</v>
      </c>
      <c r="T412" s="370">
        <f t="shared" si="280"/>
        <v>0</v>
      </c>
      <c r="U412" s="337">
        <f t="shared" si="280"/>
        <v>4800000</v>
      </c>
      <c r="V412" s="337">
        <f t="shared" si="280"/>
        <v>30000</v>
      </c>
      <c r="W412" s="337">
        <f t="shared" si="280"/>
        <v>5876828</v>
      </c>
      <c r="X412" s="337">
        <f t="shared" si="280"/>
        <v>0</v>
      </c>
      <c r="Y412" s="337">
        <f t="shared" si="280"/>
        <v>1500000</v>
      </c>
      <c r="Z412" s="337">
        <f t="shared" si="280"/>
        <v>0</v>
      </c>
      <c r="AA412" s="337">
        <f t="shared" si="280"/>
        <v>0</v>
      </c>
      <c r="AB412" s="337">
        <f t="shared" si="280"/>
        <v>0</v>
      </c>
      <c r="AC412" s="337">
        <f t="shared" si="280"/>
        <v>0</v>
      </c>
      <c r="AD412" s="337">
        <f t="shared" si="280"/>
        <v>0</v>
      </c>
    </row>
    <row r="413" spans="5:30" ht="12" x14ac:dyDescent="0.2">
      <c r="E413" s="301" t="str">
        <f>Strategy3</f>
        <v>Objetivo estratégico 3: Aumentar la disponibilidad y el acceso a alimentos nutritivos de alto valor, seguros y diversificados</v>
      </c>
      <c r="G413" s="94"/>
      <c r="H413" s="363"/>
      <c r="I413" s="364"/>
      <c r="J413" s="356"/>
      <c r="K413" s="369"/>
      <c r="L413" s="369"/>
      <c r="M413" s="369"/>
      <c r="N413" s="369"/>
      <c r="O413" s="369"/>
      <c r="P413" s="369"/>
      <c r="Q413" s="369"/>
      <c r="R413" s="369"/>
      <c r="S413" s="369"/>
      <c r="T413" s="369"/>
      <c r="U413" s="96"/>
      <c r="V413" s="96"/>
      <c r="W413" s="96"/>
      <c r="X413" s="96"/>
      <c r="Y413" s="96"/>
      <c r="Z413" s="96"/>
      <c r="AA413" s="96"/>
      <c r="AB413" s="96"/>
      <c r="AC413" s="96"/>
      <c r="AD413" s="96"/>
    </row>
    <row r="414" spans="5:30" ht="22.8" x14ac:dyDescent="0.2">
      <c r="F414" s="94" t="str">
        <f>STRAT3_IND1</f>
        <v xml:space="preserve">Aumenta la disponibilidad y el acceso a alimentos de alto valor nutritivo en los hogares. </v>
      </c>
      <c r="G414" s="94" t="str">
        <f ca="1">OFFSET(Variables_Lu!$D$10,Basic_Setup!H46,0)</f>
        <v>Nutrition-specific</v>
      </c>
      <c r="H414" s="354">
        <f t="shared" ref="H414:AD414" si="281">H337/EXCHANGE_RATE</f>
        <v>24662638.674745057</v>
      </c>
      <c r="I414" s="355">
        <f t="shared" si="281"/>
        <v>-17254113.940578252</v>
      </c>
      <c r="J414" s="356">
        <f t="shared" si="281"/>
        <v>41916752.615323305</v>
      </c>
      <c r="K414" s="369">
        <f t="shared" si="281"/>
        <v>594395.21101875254</v>
      </c>
      <c r="L414" s="369">
        <f t="shared" si="281"/>
        <v>68197.924902263141</v>
      </c>
      <c r="M414" s="369">
        <f t="shared" si="281"/>
        <v>178964.5</v>
      </c>
      <c r="N414" s="369">
        <f t="shared" si="281"/>
        <v>19157.276709887501</v>
      </c>
      <c r="O414" s="369">
        <f t="shared" si="281"/>
        <v>8241.7302974899994</v>
      </c>
      <c r="P414" s="369">
        <f t="shared" si="281"/>
        <v>2896481.5762978336</v>
      </c>
      <c r="Q414" s="369">
        <f t="shared" si="281"/>
        <v>360750.27479699004</v>
      </c>
      <c r="R414" s="369">
        <f t="shared" si="281"/>
        <v>17735.121300095001</v>
      </c>
      <c r="S414" s="369">
        <f t="shared" si="281"/>
        <v>0</v>
      </c>
      <c r="T414" s="369">
        <f t="shared" si="281"/>
        <v>0</v>
      </c>
      <c r="U414" s="96">
        <f t="shared" si="281"/>
        <v>0</v>
      </c>
      <c r="V414" s="96">
        <f t="shared" si="281"/>
        <v>0</v>
      </c>
      <c r="W414" s="96">
        <f t="shared" si="281"/>
        <v>36582055</v>
      </c>
      <c r="X414" s="96">
        <f t="shared" si="281"/>
        <v>565774</v>
      </c>
      <c r="Y414" s="96">
        <f t="shared" si="281"/>
        <v>625000</v>
      </c>
      <c r="Z414" s="96">
        <f t="shared" si="281"/>
        <v>0</v>
      </c>
      <c r="AA414" s="96">
        <f t="shared" si="281"/>
        <v>0</v>
      </c>
      <c r="AB414" s="96">
        <f t="shared" si="281"/>
        <v>0</v>
      </c>
      <c r="AC414" s="96">
        <f t="shared" si="281"/>
        <v>0</v>
      </c>
      <c r="AD414" s="96">
        <f t="shared" si="281"/>
        <v>0</v>
      </c>
    </row>
    <row r="415" spans="5:30" ht="12" x14ac:dyDescent="0.2">
      <c r="E415" s="301"/>
      <c r="F415" s="94" t="str">
        <f>STRAT3_IND2</f>
        <v xml:space="preserve"> La seguridad alimentaria está garantizada para toda la nación.</v>
      </c>
      <c r="G415" s="94" t="str">
        <f ca="1">OFFSET(Variables_Lu!$D$10,Basic_Setup!H47,0)</f>
        <v>Nutrition-sensitive</v>
      </c>
      <c r="H415" s="354">
        <f t="shared" ref="H415:AD415" si="282">H338/EXCHANGE_RATE</f>
        <v>24662638.674745057</v>
      </c>
      <c r="I415" s="355">
        <f t="shared" si="282"/>
        <v>20518715.059421744</v>
      </c>
      <c r="J415" s="356">
        <f t="shared" si="282"/>
        <v>4143923.6153233121</v>
      </c>
      <c r="K415" s="369">
        <f t="shared" si="282"/>
        <v>594395.21101875254</v>
      </c>
      <c r="L415" s="369">
        <f t="shared" si="282"/>
        <v>68197.924902263141</v>
      </c>
      <c r="M415" s="369">
        <f t="shared" si="282"/>
        <v>178964.5</v>
      </c>
      <c r="N415" s="369">
        <f t="shared" si="282"/>
        <v>19157.276709887501</v>
      </c>
      <c r="O415" s="369">
        <f t="shared" si="282"/>
        <v>8241.7302974899994</v>
      </c>
      <c r="P415" s="369">
        <f t="shared" si="282"/>
        <v>2896481.5762978336</v>
      </c>
      <c r="Q415" s="369">
        <f t="shared" si="282"/>
        <v>360750.27479699004</v>
      </c>
      <c r="R415" s="369">
        <f t="shared" si="282"/>
        <v>17735.121300095001</v>
      </c>
      <c r="S415" s="369">
        <f t="shared" si="282"/>
        <v>0</v>
      </c>
      <c r="T415" s="369">
        <f t="shared" si="282"/>
        <v>0</v>
      </c>
      <c r="U415" s="96">
        <f t="shared" si="282"/>
        <v>0</v>
      </c>
      <c r="V415" s="96">
        <f t="shared" si="282"/>
        <v>0</v>
      </c>
      <c r="W415" s="96">
        <f t="shared" si="282"/>
        <v>0</v>
      </c>
      <c r="X415" s="96">
        <f t="shared" si="282"/>
        <v>0</v>
      </c>
      <c r="Y415" s="96">
        <f t="shared" si="282"/>
        <v>0</v>
      </c>
      <c r="Z415" s="96">
        <f t="shared" si="282"/>
        <v>0</v>
      </c>
      <c r="AA415" s="96">
        <f t="shared" si="282"/>
        <v>0</v>
      </c>
      <c r="AB415" s="96">
        <f t="shared" si="282"/>
        <v>0</v>
      </c>
      <c r="AC415" s="96">
        <f t="shared" si="282"/>
        <v>0</v>
      </c>
      <c r="AD415" s="96">
        <f t="shared" si="282"/>
        <v>0</v>
      </c>
    </row>
    <row r="416" spans="5:30" ht="12" x14ac:dyDescent="0.2">
      <c r="E416" s="301"/>
      <c r="F416" s="94" t="str">
        <f>STRAT3_IND3</f>
        <v>Objetivo estratégico 3 Indicador 3</v>
      </c>
      <c r="G416" s="94" t="str">
        <f ca="1">OFFSET(Variables_Lu!$D$10,Basic_Setup!H48,0)</f>
        <v>Nutrition-specific</v>
      </c>
      <c r="H416" s="354">
        <f t="shared" ref="H416:AD416" si="283">H339/EXCHANGE_RATE</f>
        <v>0</v>
      </c>
      <c r="I416" s="355">
        <f t="shared" si="283"/>
        <v>0</v>
      </c>
      <c r="J416" s="356">
        <f t="shared" si="283"/>
        <v>0</v>
      </c>
      <c r="K416" s="369">
        <f t="shared" si="283"/>
        <v>0</v>
      </c>
      <c r="L416" s="369">
        <f t="shared" si="283"/>
        <v>0</v>
      </c>
      <c r="M416" s="369">
        <f t="shared" si="283"/>
        <v>0</v>
      </c>
      <c r="N416" s="369">
        <f t="shared" si="283"/>
        <v>0</v>
      </c>
      <c r="O416" s="369">
        <f t="shared" si="283"/>
        <v>0</v>
      </c>
      <c r="P416" s="369">
        <f t="shared" si="283"/>
        <v>0</v>
      </c>
      <c r="Q416" s="369">
        <f t="shared" si="283"/>
        <v>0</v>
      </c>
      <c r="R416" s="369">
        <f t="shared" si="283"/>
        <v>0</v>
      </c>
      <c r="S416" s="369">
        <f t="shared" si="283"/>
        <v>0</v>
      </c>
      <c r="T416" s="369">
        <f t="shared" si="283"/>
        <v>0</v>
      </c>
      <c r="U416" s="96">
        <f t="shared" si="283"/>
        <v>0</v>
      </c>
      <c r="V416" s="96">
        <f t="shared" si="283"/>
        <v>0</v>
      </c>
      <c r="W416" s="96">
        <f t="shared" si="283"/>
        <v>0</v>
      </c>
      <c r="X416" s="96">
        <f t="shared" si="283"/>
        <v>0</v>
      </c>
      <c r="Y416" s="96">
        <f t="shared" si="283"/>
        <v>0</v>
      </c>
      <c r="Z416" s="96">
        <f t="shared" si="283"/>
        <v>0</v>
      </c>
      <c r="AA416" s="96">
        <f t="shared" si="283"/>
        <v>0</v>
      </c>
      <c r="AB416" s="96">
        <f t="shared" si="283"/>
        <v>0</v>
      </c>
      <c r="AC416" s="96">
        <f t="shared" si="283"/>
        <v>0</v>
      </c>
      <c r="AD416" s="96">
        <f t="shared" si="283"/>
        <v>0</v>
      </c>
    </row>
    <row r="417" spans="5:30" ht="12" x14ac:dyDescent="0.2">
      <c r="E417" s="301"/>
      <c r="F417" s="94" t="str">
        <f>STRAT3_IND4</f>
        <v>Objetivo estratégico 3 Indicador 4</v>
      </c>
      <c r="G417" s="94" t="str">
        <f ca="1">OFFSET(Variables_Lu!$D$10,Basic_Setup!H49,0)</f>
        <v>Nutrition-specific</v>
      </c>
      <c r="H417" s="354">
        <f t="shared" ref="H417:AD417" si="284">H340/EXCHANGE_RATE</f>
        <v>0</v>
      </c>
      <c r="I417" s="355">
        <f t="shared" si="284"/>
        <v>0</v>
      </c>
      <c r="J417" s="356">
        <f t="shared" si="284"/>
        <v>0</v>
      </c>
      <c r="K417" s="369">
        <f t="shared" si="284"/>
        <v>0</v>
      </c>
      <c r="L417" s="369">
        <f t="shared" si="284"/>
        <v>0</v>
      </c>
      <c r="M417" s="369">
        <f t="shared" si="284"/>
        <v>0</v>
      </c>
      <c r="N417" s="369">
        <f t="shared" si="284"/>
        <v>0</v>
      </c>
      <c r="O417" s="369">
        <f t="shared" si="284"/>
        <v>0</v>
      </c>
      <c r="P417" s="369">
        <f t="shared" si="284"/>
        <v>0</v>
      </c>
      <c r="Q417" s="369">
        <f t="shared" si="284"/>
        <v>0</v>
      </c>
      <c r="R417" s="369">
        <f t="shared" si="284"/>
        <v>0</v>
      </c>
      <c r="S417" s="369">
        <f t="shared" si="284"/>
        <v>0</v>
      </c>
      <c r="T417" s="369">
        <f t="shared" si="284"/>
        <v>0</v>
      </c>
      <c r="U417" s="96">
        <f t="shared" si="284"/>
        <v>0</v>
      </c>
      <c r="V417" s="96">
        <f t="shared" si="284"/>
        <v>0</v>
      </c>
      <c r="W417" s="96">
        <f t="shared" si="284"/>
        <v>0</v>
      </c>
      <c r="X417" s="96">
        <f t="shared" si="284"/>
        <v>0</v>
      </c>
      <c r="Y417" s="96">
        <f t="shared" si="284"/>
        <v>0</v>
      </c>
      <c r="Z417" s="96">
        <f t="shared" si="284"/>
        <v>0</v>
      </c>
      <c r="AA417" s="96">
        <f t="shared" si="284"/>
        <v>0</v>
      </c>
      <c r="AB417" s="96">
        <f t="shared" si="284"/>
        <v>0</v>
      </c>
      <c r="AC417" s="96">
        <f t="shared" si="284"/>
        <v>0</v>
      </c>
      <c r="AD417" s="96">
        <f t="shared" si="284"/>
        <v>0</v>
      </c>
    </row>
    <row r="418" spans="5:30" ht="12" x14ac:dyDescent="0.2">
      <c r="E418" s="301"/>
      <c r="F418" s="94" t="str">
        <f>STRAT3_IND5</f>
        <v>Objetivo estratégico 3 Indicador 5</v>
      </c>
      <c r="G418" s="94" t="str">
        <f ca="1">OFFSET(Variables_Lu!$D$10,Basic_Setup!H50,0)</f>
        <v>Nutrition-specific</v>
      </c>
      <c r="H418" s="354">
        <f t="shared" ref="H418:AD418" si="285">H341/EXCHANGE_RATE</f>
        <v>0</v>
      </c>
      <c r="I418" s="355">
        <f t="shared" si="285"/>
        <v>0</v>
      </c>
      <c r="J418" s="356">
        <f t="shared" si="285"/>
        <v>0</v>
      </c>
      <c r="K418" s="369">
        <f t="shared" si="285"/>
        <v>0</v>
      </c>
      <c r="L418" s="369">
        <f t="shared" si="285"/>
        <v>0</v>
      </c>
      <c r="M418" s="369">
        <f t="shared" si="285"/>
        <v>0</v>
      </c>
      <c r="N418" s="369">
        <f t="shared" si="285"/>
        <v>0</v>
      </c>
      <c r="O418" s="369">
        <f t="shared" si="285"/>
        <v>0</v>
      </c>
      <c r="P418" s="369">
        <f t="shared" si="285"/>
        <v>0</v>
      </c>
      <c r="Q418" s="369">
        <f t="shared" si="285"/>
        <v>0</v>
      </c>
      <c r="R418" s="369">
        <f t="shared" si="285"/>
        <v>0</v>
      </c>
      <c r="S418" s="369">
        <f t="shared" si="285"/>
        <v>0</v>
      </c>
      <c r="T418" s="369">
        <f t="shared" si="285"/>
        <v>0</v>
      </c>
      <c r="U418" s="96">
        <f t="shared" si="285"/>
        <v>0</v>
      </c>
      <c r="V418" s="96">
        <f t="shared" si="285"/>
        <v>0</v>
      </c>
      <c r="W418" s="96">
        <f t="shared" si="285"/>
        <v>0</v>
      </c>
      <c r="X418" s="96">
        <f t="shared" si="285"/>
        <v>0</v>
      </c>
      <c r="Y418" s="96">
        <f t="shared" si="285"/>
        <v>0</v>
      </c>
      <c r="Z418" s="96">
        <f t="shared" si="285"/>
        <v>0</v>
      </c>
      <c r="AA418" s="96">
        <f t="shared" si="285"/>
        <v>0</v>
      </c>
      <c r="AB418" s="96">
        <f t="shared" si="285"/>
        <v>0</v>
      </c>
      <c r="AC418" s="96">
        <f t="shared" si="285"/>
        <v>0</v>
      </c>
      <c r="AD418" s="96">
        <f t="shared" si="285"/>
        <v>0</v>
      </c>
    </row>
    <row r="419" spans="5:30" ht="36" x14ac:dyDescent="0.2">
      <c r="E419" s="301"/>
      <c r="F419" s="338" t="str">
        <f>"Subtotal: "&amp;E258</f>
        <v>Subtotal: Objetivo estratégico 3: Aumentar la disponibilidad y el acceso a alimentos nutritivos de alto valor, seguros y diversificados</v>
      </c>
      <c r="G419" s="333"/>
      <c r="H419" s="357">
        <f t="shared" ref="H419:AD419" si="286">H342/EXCHANGE_RATE</f>
        <v>49325277.349490114</v>
      </c>
      <c r="I419" s="358">
        <f t="shared" si="286"/>
        <v>3264601.1188434898</v>
      </c>
      <c r="J419" s="358">
        <f t="shared" si="286"/>
        <v>46060676.230646618</v>
      </c>
      <c r="K419" s="370">
        <f t="shared" si="286"/>
        <v>1188790.4220375051</v>
      </c>
      <c r="L419" s="370">
        <f t="shared" si="286"/>
        <v>136395.84980452628</v>
      </c>
      <c r="M419" s="370">
        <f t="shared" si="286"/>
        <v>357929</v>
      </c>
      <c r="N419" s="370">
        <f t="shared" si="286"/>
        <v>38314.553419775002</v>
      </c>
      <c r="O419" s="370">
        <f t="shared" si="286"/>
        <v>16483.460594979999</v>
      </c>
      <c r="P419" s="370">
        <f t="shared" si="286"/>
        <v>5792963.1525956672</v>
      </c>
      <c r="Q419" s="370">
        <f t="shared" si="286"/>
        <v>721500.54959398007</v>
      </c>
      <c r="R419" s="370">
        <f t="shared" si="286"/>
        <v>35470.242600190002</v>
      </c>
      <c r="S419" s="370">
        <f t="shared" si="286"/>
        <v>0</v>
      </c>
      <c r="T419" s="370">
        <f t="shared" si="286"/>
        <v>0</v>
      </c>
      <c r="U419" s="337">
        <f t="shared" si="286"/>
        <v>0</v>
      </c>
      <c r="V419" s="337">
        <f t="shared" si="286"/>
        <v>0</v>
      </c>
      <c r="W419" s="337">
        <f t="shared" si="286"/>
        <v>36582055</v>
      </c>
      <c r="X419" s="337">
        <f t="shared" si="286"/>
        <v>565774</v>
      </c>
      <c r="Y419" s="337">
        <f t="shared" si="286"/>
        <v>625000</v>
      </c>
      <c r="Z419" s="337">
        <f t="shared" si="286"/>
        <v>0</v>
      </c>
      <c r="AA419" s="337">
        <f t="shared" si="286"/>
        <v>0</v>
      </c>
      <c r="AB419" s="337">
        <f t="shared" si="286"/>
        <v>0</v>
      </c>
      <c r="AC419" s="337">
        <f t="shared" si="286"/>
        <v>0</v>
      </c>
      <c r="AD419" s="337">
        <f t="shared" si="286"/>
        <v>0</v>
      </c>
    </row>
    <row r="420" spans="5:30" ht="12" x14ac:dyDescent="0.2">
      <c r="E420" s="301" t="str">
        <f>Strategy4</f>
        <v>Objetivo estratégico 4: Fortalecer la protección social, la resiliencia de la respuesta a las emergencias y los desastres naturales.</v>
      </c>
      <c r="G420" s="94"/>
      <c r="H420" s="363"/>
      <c r="I420" s="364"/>
      <c r="J420" s="356"/>
      <c r="K420" s="369"/>
      <c r="L420" s="369"/>
      <c r="M420" s="369"/>
      <c r="N420" s="369"/>
      <c r="O420" s="369"/>
      <c r="P420" s="369"/>
      <c r="Q420" s="369"/>
      <c r="R420" s="369"/>
      <c r="S420" s="369"/>
      <c r="T420" s="369"/>
      <c r="U420" s="96"/>
      <c r="V420" s="96"/>
      <c r="W420" s="96"/>
      <c r="X420" s="96"/>
      <c r="Y420" s="96"/>
      <c r="Z420" s="96"/>
      <c r="AA420" s="96"/>
      <c r="AB420" s="96"/>
      <c r="AC420" s="96"/>
      <c r="AD420" s="96"/>
    </row>
    <row r="421" spans="5:30" ht="22.8" x14ac:dyDescent="0.2">
      <c r="F421" s="94" t="str">
        <f>STRAT4_IND1</f>
        <v xml:space="preserve">Se garantiza la protección social de los niños menores de 5 años, los adolescentes, FE/FA y otros grupos vulnerables. </v>
      </c>
      <c r="G421" s="94" t="str">
        <f ca="1">OFFSET(Variables_Lu!$D$10,Basic_Setup!H52,0)</f>
        <v>Nutrition-sensitive</v>
      </c>
      <c r="H421" s="354">
        <f t="shared" ref="H421:AD421" si="287">H344/EXCHANGE_RATE</f>
        <v>7165487.6990023712</v>
      </c>
      <c r="I421" s="355">
        <f t="shared" si="287"/>
        <v>-2624141.3912855033</v>
      </c>
      <c r="J421" s="356">
        <f t="shared" si="287"/>
        <v>9789629.0902878735</v>
      </c>
      <c r="K421" s="369">
        <f t="shared" si="287"/>
        <v>334599.62138450751</v>
      </c>
      <c r="L421" s="369">
        <f t="shared" si="287"/>
        <v>38390.282136351881</v>
      </c>
      <c r="M421" s="369">
        <f t="shared" si="287"/>
        <v>100743.5</v>
      </c>
      <c r="N421" s="369">
        <f t="shared" si="287"/>
        <v>10784.100233412499</v>
      </c>
      <c r="O421" s="369">
        <f t="shared" si="287"/>
        <v>4639.4718294700006</v>
      </c>
      <c r="P421" s="369">
        <f t="shared" si="287"/>
        <v>1630500.4159023762</v>
      </c>
      <c r="Q421" s="369">
        <f t="shared" si="287"/>
        <v>203075.16467797002</v>
      </c>
      <c r="R421" s="369">
        <f t="shared" si="287"/>
        <v>9983.5341237850007</v>
      </c>
      <c r="S421" s="369">
        <f t="shared" si="287"/>
        <v>0</v>
      </c>
      <c r="T421" s="369">
        <f t="shared" si="287"/>
        <v>0</v>
      </c>
      <c r="U421" s="96">
        <f t="shared" si="287"/>
        <v>40000</v>
      </c>
      <c r="V421" s="96">
        <f t="shared" si="287"/>
        <v>0</v>
      </c>
      <c r="W421" s="96">
        <f t="shared" si="287"/>
        <v>6916913</v>
      </c>
      <c r="X421" s="96">
        <f t="shared" si="287"/>
        <v>0</v>
      </c>
      <c r="Y421" s="96">
        <f t="shared" si="287"/>
        <v>500000</v>
      </c>
      <c r="Z421" s="96">
        <f t="shared" si="287"/>
        <v>0</v>
      </c>
      <c r="AA421" s="96">
        <f t="shared" si="287"/>
        <v>0</v>
      </c>
      <c r="AB421" s="96">
        <f t="shared" si="287"/>
        <v>0</v>
      </c>
      <c r="AC421" s="96">
        <f t="shared" si="287"/>
        <v>0</v>
      </c>
      <c r="AD421" s="96">
        <f t="shared" si="287"/>
        <v>0</v>
      </c>
    </row>
    <row r="422" spans="5:30" ht="34.200000000000003" x14ac:dyDescent="0.2">
      <c r="E422" s="301"/>
      <c r="F422" s="94" t="str">
        <f>STRAT4_IND2</f>
        <v xml:space="preserve">Se fortalece la capacidad de resiliencia y el estado nutricional de las poblaciones vulnerables, incluidos los niños de las zonas desfavorecidas.  </v>
      </c>
      <c r="G422" s="94" t="str">
        <f ca="1">OFFSET(Variables_Lu!$D$10,Basic_Setup!H53,0)</f>
        <v>Nutrition-specific</v>
      </c>
      <c r="H422" s="354">
        <f t="shared" ref="H422:AD422" si="288">H345/EXCHANGE_RATE</f>
        <v>7165487.6990023712</v>
      </c>
      <c r="I422" s="355">
        <f t="shared" si="288"/>
        <v>4728271.6087144976</v>
      </c>
      <c r="J422" s="356">
        <f t="shared" si="288"/>
        <v>2437216.0902878731</v>
      </c>
      <c r="K422" s="369">
        <f t="shared" si="288"/>
        <v>334599.62138450751</v>
      </c>
      <c r="L422" s="369">
        <f t="shared" si="288"/>
        <v>38390.282136351881</v>
      </c>
      <c r="M422" s="369">
        <f t="shared" si="288"/>
        <v>100743.5</v>
      </c>
      <c r="N422" s="369">
        <f t="shared" si="288"/>
        <v>10784.100233412499</v>
      </c>
      <c r="O422" s="369">
        <f t="shared" si="288"/>
        <v>4639.4718294700006</v>
      </c>
      <c r="P422" s="369">
        <f t="shared" si="288"/>
        <v>1630500.4159023762</v>
      </c>
      <c r="Q422" s="369">
        <f t="shared" si="288"/>
        <v>203075.16467797002</v>
      </c>
      <c r="R422" s="369">
        <f t="shared" si="288"/>
        <v>9983.5341237850007</v>
      </c>
      <c r="S422" s="369">
        <f t="shared" si="288"/>
        <v>0</v>
      </c>
      <c r="T422" s="369">
        <f t="shared" si="288"/>
        <v>0</v>
      </c>
      <c r="U422" s="96">
        <f t="shared" si="288"/>
        <v>40000</v>
      </c>
      <c r="V422" s="96">
        <f t="shared" si="288"/>
        <v>0</v>
      </c>
      <c r="W422" s="96">
        <f t="shared" si="288"/>
        <v>0</v>
      </c>
      <c r="X422" s="96">
        <f t="shared" si="288"/>
        <v>14500</v>
      </c>
      <c r="Y422" s="96">
        <f t="shared" si="288"/>
        <v>50000</v>
      </c>
      <c r="Z422" s="96">
        <f t="shared" si="288"/>
        <v>0</v>
      </c>
      <c r="AA422" s="96">
        <f t="shared" si="288"/>
        <v>0</v>
      </c>
      <c r="AB422" s="96">
        <f t="shared" si="288"/>
        <v>0</v>
      </c>
      <c r="AC422" s="96">
        <f t="shared" si="288"/>
        <v>0</v>
      </c>
      <c r="AD422" s="96">
        <f t="shared" si="288"/>
        <v>0</v>
      </c>
    </row>
    <row r="423" spans="5:30" ht="22.8" x14ac:dyDescent="0.2">
      <c r="E423" s="301"/>
      <c r="F423" s="94" t="str">
        <f>STRAT4_IND3</f>
        <v xml:space="preserve"> Se introducen eficazmente intervenciones para emergencias y catástrofes naturales integrales de la nutrición.</v>
      </c>
      <c r="G423" s="94" t="str">
        <f ca="1">OFFSET(Variables_Lu!$D$10,Basic_Setup!H54,0)</f>
        <v>Nutrition-specific</v>
      </c>
      <c r="H423" s="354">
        <f t="shared" ref="H423:AD423" si="289">H346/EXCHANGE_RATE</f>
        <v>7165487.6990023712</v>
      </c>
      <c r="I423" s="355">
        <f t="shared" si="289"/>
        <v>4512771.6087144976</v>
      </c>
      <c r="J423" s="356">
        <f t="shared" si="289"/>
        <v>2652716.0902878731</v>
      </c>
      <c r="K423" s="369">
        <f t="shared" si="289"/>
        <v>334599.62138450751</v>
      </c>
      <c r="L423" s="369">
        <f t="shared" si="289"/>
        <v>38390.282136351881</v>
      </c>
      <c r="M423" s="369">
        <f t="shared" si="289"/>
        <v>100743.5</v>
      </c>
      <c r="N423" s="369">
        <f t="shared" si="289"/>
        <v>10784.100233412499</v>
      </c>
      <c r="O423" s="369">
        <f t="shared" si="289"/>
        <v>4639.4718294700006</v>
      </c>
      <c r="P423" s="369">
        <f t="shared" si="289"/>
        <v>1630500.4159023762</v>
      </c>
      <c r="Q423" s="369">
        <f t="shared" si="289"/>
        <v>203075.16467797002</v>
      </c>
      <c r="R423" s="369">
        <f t="shared" si="289"/>
        <v>9983.5341237850007</v>
      </c>
      <c r="S423" s="369">
        <f t="shared" si="289"/>
        <v>0</v>
      </c>
      <c r="T423" s="369">
        <f t="shared" si="289"/>
        <v>0</v>
      </c>
      <c r="U423" s="96">
        <f t="shared" si="289"/>
        <v>320000</v>
      </c>
      <c r="V423" s="96">
        <f t="shared" si="289"/>
        <v>0</v>
      </c>
      <c r="W423" s="96">
        <f t="shared" si="289"/>
        <v>0</v>
      </c>
      <c r="X423" s="96">
        <f t="shared" si="289"/>
        <v>0</v>
      </c>
      <c r="Y423" s="96">
        <f t="shared" si="289"/>
        <v>0</v>
      </c>
      <c r="Z423" s="96">
        <f t="shared" si="289"/>
        <v>0</v>
      </c>
      <c r="AA423" s="96">
        <f t="shared" si="289"/>
        <v>0</v>
      </c>
      <c r="AB423" s="96">
        <f t="shared" si="289"/>
        <v>0</v>
      </c>
      <c r="AC423" s="96">
        <f t="shared" si="289"/>
        <v>0</v>
      </c>
      <c r="AD423" s="96">
        <f t="shared" si="289"/>
        <v>0</v>
      </c>
    </row>
    <row r="424" spans="5:30" ht="12" x14ac:dyDescent="0.2">
      <c r="E424" s="301"/>
      <c r="F424" s="94" t="str">
        <f>STRAT4_IND4</f>
        <v>Objetivo estratégico 4 Indicador 4</v>
      </c>
      <c r="G424" s="94" t="str">
        <f ca="1">OFFSET(Variables_Lu!$D$10,Basic_Setup!H55,0)</f>
        <v>Nutrition-specific</v>
      </c>
      <c r="H424" s="354">
        <f t="shared" ref="H424:AD424" si="290">H347/EXCHANGE_RATE</f>
        <v>0</v>
      </c>
      <c r="I424" s="355">
        <f t="shared" si="290"/>
        <v>0</v>
      </c>
      <c r="J424" s="356">
        <f t="shared" si="290"/>
        <v>0</v>
      </c>
      <c r="K424" s="369">
        <f t="shared" si="290"/>
        <v>0</v>
      </c>
      <c r="L424" s="369">
        <f t="shared" si="290"/>
        <v>0</v>
      </c>
      <c r="M424" s="369">
        <f t="shared" si="290"/>
        <v>0</v>
      </c>
      <c r="N424" s="369">
        <f t="shared" si="290"/>
        <v>0</v>
      </c>
      <c r="O424" s="369">
        <f t="shared" si="290"/>
        <v>0</v>
      </c>
      <c r="P424" s="369">
        <f t="shared" si="290"/>
        <v>0</v>
      </c>
      <c r="Q424" s="369">
        <f t="shared" si="290"/>
        <v>0</v>
      </c>
      <c r="R424" s="369">
        <f t="shared" si="290"/>
        <v>0</v>
      </c>
      <c r="S424" s="369">
        <f t="shared" si="290"/>
        <v>0</v>
      </c>
      <c r="T424" s="369">
        <f t="shared" si="290"/>
        <v>0</v>
      </c>
      <c r="U424" s="96">
        <f t="shared" si="290"/>
        <v>0</v>
      </c>
      <c r="V424" s="96">
        <f t="shared" si="290"/>
        <v>0</v>
      </c>
      <c r="W424" s="96">
        <f t="shared" si="290"/>
        <v>0</v>
      </c>
      <c r="X424" s="96">
        <f t="shared" si="290"/>
        <v>0</v>
      </c>
      <c r="Y424" s="96">
        <f t="shared" si="290"/>
        <v>0</v>
      </c>
      <c r="Z424" s="96">
        <f t="shared" si="290"/>
        <v>0</v>
      </c>
      <c r="AA424" s="96">
        <f t="shared" si="290"/>
        <v>0</v>
      </c>
      <c r="AB424" s="96">
        <f t="shared" si="290"/>
        <v>0</v>
      </c>
      <c r="AC424" s="96">
        <f t="shared" si="290"/>
        <v>0</v>
      </c>
      <c r="AD424" s="96">
        <f t="shared" si="290"/>
        <v>0</v>
      </c>
    </row>
    <row r="425" spans="5:30" ht="12" x14ac:dyDescent="0.2">
      <c r="E425" s="301"/>
      <c r="F425" s="94" t="str">
        <f>STRAT4_IND5</f>
        <v>Objetivo estratégico 4 Indicador 5</v>
      </c>
      <c r="G425" s="94" t="str">
        <f ca="1">OFFSET(Variables_Lu!$D$10,Basic_Setup!H56,0)</f>
        <v>Nutrition-specific</v>
      </c>
      <c r="H425" s="354">
        <f t="shared" ref="H425:AD425" si="291">H348/EXCHANGE_RATE</f>
        <v>0</v>
      </c>
      <c r="I425" s="355">
        <f t="shared" si="291"/>
        <v>0</v>
      </c>
      <c r="J425" s="356">
        <f t="shared" si="291"/>
        <v>0</v>
      </c>
      <c r="K425" s="369">
        <f t="shared" si="291"/>
        <v>0</v>
      </c>
      <c r="L425" s="369">
        <f t="shared" si="291"/>
        <v>0</v>
      </c>
      <c r="M425" s="369">
        <f t="shared" si="291"/>
        <v>0</v>
      </c>
      <c r="N425" s="369">
        <f t="shared" si="291"/>
        <v>0</v>
      </c>
      <c r="O425" s="369">
        <f t="shared" si="291"/>
        <v>0</v>
      </c>
      <c r="P425" s="369">
        <f t="shared" si="291"/>
        <v>0</v>
      </c>
      <c r="Q425" s="369">
        <f t="shared" si="291"/>
        <v>0</v>
      </c>
      <c r="R425" s="369">
        <f t="shared" si="291"/>
        <v>0</v>
      </c>
      <c r="S425" s="369">
        <f t="shared" si="291"/>
        <v>0</v>
      </c>
      <c r="T425" s="369">
        <f t="shared" si="291"/>
        <v>0</v>
      </c>
      <c r="U425" s="96">
        <f t="shared" si="291"/>
        <v>0</v>
      </c>
      <c r="V425" s="96">
        <f t="shared" si="291"/>
        <v>0</v>
      </c>
      <c r="W425" s="96">
        <f t="shared" si="291"/>
        <v>0</v>
      </c>
      <c r="X425" s="96">
        <f t="shared" si="291"/>
        <v>0</v>
      </c>
      <c r="Y425" s="96">
        <f t="shared" si="291"/>
        <v>0</v>
      </c>
      <c r="Z425" s="96">
        <f t="shared" si="291"/>
        <v>0</v>
      </c>
      <c r="AA425" s="96">
        <f t="shared" si="291"/>
        <v>0</v>
      </c>
      <c r="AB425" s="96">
        <f t="shared" si="291"/>
        <v>0</v>
      </c>
      <c r="AC425" s="96">
        <f t="shared" si="291"/>
        <v>0</v>
      </c>
      <c r="AD425" s="96">
        <f t="shared" si="291"/>
        <v>0</v>
      </c>
    </row>
    <row r="426" spans="5:30" ht="36" x14ac:dyDescent="0.2">
      <c r="E426" s="301"/>
      <c r="F426" s="338" t="str">
        <f>"Subtotal: "&amp;E265</f>
        <v>Subtotal: Objetivo estratégico 4: Fortalecer la protección social, la resiliencia de la respuesta a las emergencias y los desastres naturales.</v>
      </c>
      <c r="G426" s="333"/>
      <c r="H426" s="357">
        <f t="shared" ref="H426:AD426" si="292">H349/EXCHANGE_RATE</f>
        <v>21496463.097007111</v>
      </c>
      <c r="I426" s="358">
        <f t="shared" si="292"/>
        <v>6616901.8261434929</v>
      </c>
      <c r="J426" s="358">
        <f t="shared" si="292"/>
        <v>14879561.270863622</v>
      </c>
      <c r="K426" s="370">
        <f t="shared" si="292"/>
        <v>1003798.8641535224</v>
      </c>
      <c r="L426" s="370">
        <f t="shared" si="292"/>
        <v>115170.84640905564</v>
      </c>
      <c r="M426" s="370">
        <f t="shared" si="292"/>
        <v>302230.5</v>
      </c>
      <c r="N426" s="370">
        <f t="shared" si="292"/>
        <v>32352.300700237494</v>
      </c>
      <c r="O426" s="370">
        <f t="shared" si="292"/>
        <v>13918.415488410001</v>
      </c>
      <c r="P426" s="370">
        <f t="shared" si="292"/>
        <v>4891501.2477071285</v>
      </c>
      <c r="Q426" s="370">
        <f t="shared" si="292"/>
        <v>609225.49403390998</v>
      </c>
      <c r="R426" s="370">
        <f t="shared" si="292"/>
        <v>29950.602371355006</v>
      </c>
      <c r="S426" s="370">
        <f t="shared" si="292"/>
        <v>0</v>
      </c>
      <c r="T426" s="370">
        <f t="shared" si="292"/>
        <v>0</v>
      </c>
      <c r="U426" s="337">
        <f t="shared" si="292"/>
        <v>400000</v>
      </c>
      <c r="V426" s="337">
        <f t="shared" si="292"/>
        <v>0</v>
      </c>
      <c r="W426" s="337">
        <f t="shared" si="292"/>
        <v>6916913</v>
      </c>
      <c r="X426" s="337">
        <f t="shared" si="292"/>
        <v>14500</v>
      </c>
      <c r="Y426" s="337">
        <f t="shared" si="292"/>
        <v>550000</v>
      </c>
      <c r="Z426" s="337">
        <f t="shared" si="292"/>
        <v>0</v>
      </c>
      <c r="AA426" s="337">
        <f t="shared" si="292"/>
        <v>0</v>
      </c>
      <c r="AB426" s="337">
        <f t="shared" si="292"/>
        <v>0</v>
      </c>
      <c r="AC426" s="337">
        <f t="shared" si="292"/>
        <v>0</v>
      </c>
      <c r="AD426" s="337">
        <f t="shared" si="292"/>
        <v>0</v>
      </c>
    </row>
    <row r="427" spans="5:30" ht="12" x14ac:dyDescent="0.2">
      <c r="E427" s="301" t="str">
        <f>Strategy5</f>
        <v xml:space="preserve">Objetivo estratégico 5: Promoción de prácticas favorables a una nutrición óptima, de higiene y saneamiento básico. </v>
      </c>
      <c r="G427" s="94"/>
      <c r="H427" s="363"/>
      <c r="I427" s="364"/>
      <c r="J427" s="356"/>
      <c r="K427" s="369"/>
      <c r="L427" s="369"/>
      <c r="M427" s="369"/>
      <c r="N427" s="369"/>
      <c r="O427" s="369"/>
      <c r="P427" s="369"/>
      <c r="Q427" s="369"/>
      <c r="R427" s="369"/>
      <c r="S427" s="369"/>
      <c r="T427" s="369"/>
      <c r="U427" s="96"/>
      <c r="V427" s="96"/>
      <c r="W427" s="96"/>
      <c r="X427" s="96"/>
      <c r="Y427" s="96"/>
      <c r="Z427" s="96"/>
      <c r="AA427" s="96"/>
      <c r="AB427" s="96"/>
      <c r="AC427" s="96"/>
      <c r="AD427" s="96"/>
    </row>
    <row r="428" spans="5:30" ht="34.200000000000003" x14ac:dyDescent="0.2">
      <c r="F428" s="94" t="str">
        <f>STRAT5_IND1</f>
        <v>Se mejoran las prácticas nutricionales favorables para los niños menores de 5 años, los adolescentes, las mujeres embarazadas y lactantes, y otros grupos vulnerables.</v>
      </c>
      <c r="G428" s="94" t="str">
        <f ca="1">OFFSET(Variables_Lu!$D$10,Basic_Setup!H58,0)</f>
        <v>Nutrition-specific</v>
      </c>
      <c r="H428" s="354">
        <f t="shared" ref="H428:AD428" si="293">H351/EXCHANGE_RATE</f>
        <v>2494478.1608024631</v>
      </c>
      <c r="I428" s="355">
        <f t="shared" si="293"/>
        <v>-338635.70540841791</v>
      </c>
      <c r="J428" s="356">
        <f t="shared" si="293"/>
        <v>2833113.8662108807</v>
      </c>
      <c r="K428" s="369">
        <f t="shared" si="293"/>
        <v>9182.2938444766642</v>
      </c>
      <c r="L428" s="369">
        <f t="shared" si="293"/>
        <v>1053.5303354191667</v>
      </c>
      <c r="M428" s="369">
        <f t="shared" si="293"/>
        <v>2764.6666666666661</v>
      </c>
      <c r="N428" s="369">
        <f t="shared" si="293"/>
        <v>295.94408021666658</v>
      </c>
      <c r="O428" s="369">
        <f t="shared" si="293"/>
        <v>127.31931209333331</v>
      </c>
      <c r="P428" s="369">
        <f t="shared" si="293"/>
        <v>44745.220781801669</v>
      </c>
      <c r="Q428" s="369">
        <f t="shared" si="293"/>
        <v>5572.9167500933336</v>
      </c>
      <c r="R428" s="369">
        <f t="shared" si="293"/>
        <v>273.97444011333329</v>
      </c>
      <c r="S428" s="369">
        <f t="shared" si="293"/>
        <v>0</v>
      </c>
      <c r="T428" s="369">
        <f t="shared" si="293"/>
        <v>0</v>
      </c>
      <c r="U428" s="96">
        <f t="shared" si="293"/>
        <v>1200000</v>
      </c>
      <c r="V428" s="96">
        <f t="shared" si="293"/>
        <v>0</v>
      </c>
      <c r="W428" s="96">
        <f t="shared" si="293"/>
        <v>569098</v>
      </c>
      <c r="X428" s="96">
        <f t="shared" si="293"/>
        <v>0</v>
      </c>
      <c r="Y428" s="96">
        <f t="shared" si="293"/>
        <v>1000000</v>
      </c>
      <c r="Z428" s="96">
        <f t="shared" si="293"/>
        <v>0</v>
      </c>
      <c r="AA428" s="96">
        <f t="shared" si="293"/>
        <v>0</v>
      </c>
      <c r="AB428" s="96">
        <f t="shared" si="293"/>
        <v>0</v>
      </c>
      <c r="AC428" s="96">
        <f t="shared" si="293"/>
        <v>0</v>
      </c>
      <c r="AD428" s="96">
        <f t="shared" si="293"/>
        <v>0</v>
      </c>
    </row>
    <row r="429" spans="5:30" ht="22.8" x14ac:dyDescent="0.2">
      <c r="E429" s="301"/>
      <c r="F429" s="94" t="str">
        <f>STRAT5_IND2</f>
        <v>Se promueven dietas saludables y estilos de vida saludables para las personas.</v>
      </c>
      <c r="G429" s="94" t="str">
        <f ca="1">OFFSET(Variables_Lu!$D$10,Basic_Setup!H59,0)</f>
        <v>Nutrition-specific</v>
      </c>
      <c r="H429" s="354">
        <f t="shared" ref="H429:AD429" si="294">H352/EXCHANGE_RATE</f>
        <v>2494478.1608024631</v>
      </c>
      <c r="I429" s="355">
        <f t="shared" si="294"/>
        <v>1933162.2945915821</v>
      </c>
      <c r="J429" s="356">
        <f t="shared" si="294"/>
        <v>561315.86621088081</v>
      </c>
      <c r="K429" s="369">
        <f t="shared" si="294"/>
        <v>9182.2938444766642</v>
      </c>
      <c r="L429" s="369">
        <f t="shared" si="294"/>
        <v>1053.5303354191667</v>
      </c>
      <c r="M429" s="369">
        <f t="shared" si="294"/>
        <v>2764.6666666666661</v>
      </c>
      <c r="N429" s="369">
        <f t="shared" si="294"/>
        <v>295.94408021666658</v>
      </c>
      <c r="O429" s="369">
        <f t="shared" si="294"/>
        <v>127.31931209333331</v>
      </c>
      <c r="P429" s="369">
        <f t="shared" si="294"/>
        <v>44745.220781801669</v>
      </c>
      <c r="Q429" s="369">
        <f t="shared" si="294"/>
        <v>5572.9167500933336</v>
      </c>
      <c r="R429" s="369">
        <f t="shared" si="294"/>
        <v>273.97444011333329</v>
      </c>
      <c r="S429" s="369">
        <f t="shared" si="294"/>
        <v>0</v>
      </c>
      <c r="T429" s="369">
        <f t="shared" si="294"/>
        <v>0</v>
      </c>
      <c r="U429" s="96">
        <f t="shared" si="294"/>
        <v>480000</v>
      </c>
      <c r="V429" s="96">
        <f t="shared" si="294"/>
        <v>0</v>
      </c>
      <c r="W429" s="96">
        <f t="shared" si="294"/>
        <v>0</v>
      </c>
      <c r="X429" s="96">
        <f t="shared" si="294"/>
        <v>17300</v>
      </c>
      <c r="Y429" s="96">
        <f t="shared" si="294"/>
        <v>0</v>
      </c>
      <c r="Z429" s="96">
        <f t="shared" si="294"/>
        <v>0</v>
      </c>
      <c r="AA429" s="96">
        <f t="shared" si="294"/>
        <v>0</v>
      </c>
      <c r="AB429" s="96">
        <f t="shared" si="294"/>
        <v>0</v>
      </c>
      <c r="AC429" s="96">
        <f t="shared" si="294"/>
        <v>0</v>
      </c>
      <c r="AD429" s="96">
        <f t="shared" si="294"/>
        <v>0</v>
      </c>
    </row>
    <row r="430" spans="5:30" ht="22.8" x14ac:dyDescent="0.2">
      <c r="E430" s="301"/>
      <c r="F430" s="94" t="str">
        <f>STRAT5_IND3</f>
        <v>Se promueven las buenas prácticas WASH a nivel comunitario y doméstico</v>
      </c>
      <c r="G430" s="94" t="str">
        <f ca="1">OFFSET(Variables_Lu!$D$10,Basic_Setup!H60,0)</f>
        <v>Nutrition-sensitive</v>
      </c>
      <c r="H430" s="354">
        <f t="shared" ref="H430:AD430" si="295">H353/EXCHANGE_RATE</f>
        <v>2494478.1608024631</v>
      </c>
      <c r="I430" s="355">
        <f t="shared" si="295"/>
        <v>1710462.2945915821</v>
      </c>
      <c r="J430" s="356">
        <f t="shared" si="295"/>
        <v>784015.86621088081</v>
      </c>
      <c r="K430" s="369">
        <f t="shared" si="295"/>
        <v>9182.2938444766642</v>
      </c>
      <c r="L430" s="369">
        <f t="shared" si="295"/>
        <v>1053.5303354191667</v>
      </c>
      <c r="M430" s="369">
        <f t="shared" si="295"/>
        <v>2764.6666666666661</v>
      </c>
      <c r="N430" s="369">
        <f t="shared" si="295"/>
        <v>295.94408021666658</v>
      </c>
      <c r="O430" s="369">
        <f t="shared" si="295"/>
        <v>127.31931209333331</v>
      </c>
      <c r="P430" s="369">
        <f t="shared" si="295"/>
        <v>44745.220781801669</v>
      </c>
      <c r="Q430" s="369">
        <f t="shared" si="295"/>
        <v>5572.9167500933336</v>
      </c>
      <c r="R430" s="369">
        <f t="shared" si="295"/>
        <v>273.97444011333329</v>
      </c>
      <c r="S430" s="369">
        <f t="shared" si="295"/>
        <v>0</v>
      </c>
      <c r="T430" s="369">
        <f t="shared" si="295"/>
        <v>0</v>
      </c>
      <c r="U430" s="96">
        <f t="shared" si="295"/>
        <v>720000</v>
      </c>
      <c r="V430" s="96">
        <f t="shared" si="295"/>
        <v>0</v>
      </c>
      <c r="W430" s="96">
        <f t="shared" si="295"/>
        <v>0</v>
      </c>
      <c r="X430" s="96">
        <f t="shared" si="295"/>
        <v>0</v>
      </c>
      <c r="Y430" s="96">
        <f t="shared" si="295"/>
        <v>0</v>
      </c>
      <c r="Z430" s="96">
        <f t="shared" si="295"/>
        <v>0</v>
      </c>
      <c r="AA430" s="96">
        <f t="shared" si="295"/>
        <v>0</v>
      </c>
      <c r="AB430" s="96">
        <f t="shared" si="295"/>
        <v>0</v>
      </c>
      <c r="AC430" s="96">
        <f t="shared" si="295"/>
        <v>0</v>
      </c>
      <c r="AD430" s="96">
        <f t="shared" si="295"/>
        <v>0</v>
      </c>
    </row>
    <row r="431" spans="5:30" ht="12" x14ac:dyDescent="0.2">
      <c r="E431" s="301"/>
      <c r="F431" s="94" t="str">
        <f>STRAT5_IND4</f>
        <v>Objetivo estratégico 5 Indicador 4</v>
      </c>
      <c r="G431" s="94" t="str">
        <f ca="1">OFFSET(Variables_Lu!$D$10,Basic_Setup!H61,0)</f>
        <v>Nutrition-specific</v>
      </c>
      <c r="H431" s="354">
        <f t="shared" ref="H431:AD431" si="296">H354/EXCHANGE_RATE</f>
        <v>0</v>
      </c>
      <c r="I431" s="355">
        <f t="shared" si="296"/>
        <v>0</v>
      </c>
      <c r="J431" s="356">
        <f t="shared" si="296"/>
        <v>0</v>
      </c>
      <c r="K431" s="369">
        <f t="shared" si="296"/>
        <v>0</v>
      </c>
      <c r="L431" s="369">
        <f t="shared" si="296"/>
        <v>0</v>
      </c>
      <c r="M431" s="369">
        <f t="shared" si="296"/>
        <v>0</v>
      </c>
      <c r="N431" s="369">
        <f t="shared" si="296"/>
        <v>0</v>
      </c>
      <c r="O431" s="369">
        <f t="shared" si="296"/>
        <v>0</v>
      </c>
      <c r="P431" s="369">
        <f t="shared" si="296"/>
        <v>0</v>
      </c>
      <c r="Q431" s="369">
        <f t="shared" si="296"/>
        <v>0</v>
      </c>
      <c r="R431" s="369">
        <f t="shared" si="296"/>
        <v>0</v>
      </c>
      <c r="S431" s="369">
        <f t="shared" si="296"/>
        <v>0</v>
      </c>
      <c r="T431" s="369">
        <f t="shared" si="296"/>
        <v>0</v>
      </c>
      <c r="U431" s="96">
        <f t="shared" si="296"/>
        <v>0</v>
      </c>
      <c r="V431" s="96">
        <f t="shared" si="296"/>
        <v>0</v>
      </c>
      <c r="W431" s="96">
        <f t="shared" si="296"/>
        <v>0</v>
      </c>
      <c r="X431" s="96">
        <f t="shared" si="296"/>
        <v>0</v>
      </c>
      <c r="Y431" s="96">
        <f t="shared" si="296"/>
        <v>0</v>
      </c>
      <c r="Z431" s="96">
        <f t="shared" si="296"/>
        <v>0</v>
      </c>
      <c r="AA431" s="96">
        <f t="shared" si="296"/>
        <v>0</v>
      </c>
      <c r="AB431" s="96">
        <f t="shared" si="296"/>
        <v>0</v>
      </c>
      <c r="AC431" s="96">
        <f t="shared" si="296"/>
        <v>0</v>
      </c>
      <c r="AD431" s="96">
        <f t="shared" si="296"/>
        <v>0</v>
      </c>
    </row>
    <row r="432" spans="5:30" ht="12" x14ac:dyDescent="0.2">
      <c r="E432" s="301"/>
      <c r="F432" s="94" t="str">
        <f>STRAT5_IND5</f>
        <v>Objetivo estratégico 5 Indicador 5</v>
      </c>
      <c r="G432" s="94" t="str">
        <f ca="1">OFFSET(Variables_Lu!$D$10,Basic_Setup!H62,0)</f>
        <v>Nutrition-specific</v>
      </c>
      <c r="H432" s="354">
        <f t="shared" ref="H432:AD432" si="297">H355/EXCHANGE_RATE</f>
        <v>0</v>
      </c>
      <c r="I432" s="355">
        <f t="shared" si="297"/>
        <v>0</v>
      </c>
      <c r="J432" s="356">
        <f t="shared" si="297"/>
        <v>0</v>
      </c>
      <c r="K432" s="369">
        <f t="shared" si="297"/>
        <v>0</v>
      </c>
      <c r="L432" s="369">
        <f t="shared" si="297"/>
        <v>0</v>
      </c>
      <c r="M432" s="369">
        <f t="shared" si="297"/>
        <v>0</v>
      </c>
      <c r="N432" s="369">
        <f t="shared" si="297"/>
        <v>0</v>
      </c>
      <c r="O432" s="369">
        <f t="shared" si="297"/>
        <v>0</v>
      </c>
      <c r="P432" s="369">
        <f t="shared" si="297"/>
        <v>0</v>
      </c>
      <c r="Q432" s="369">
        <f t="shared" si="297"/>
        <v>0</v>
      </c>
      <c r="R432" s="369">
        <f t="shared" si="297"/>
        <v>0</v>
      </c>
      <c r="S432" s="369">
        <f t="shared" si="297"/>
        <v>0</v>
      </c>
      <c r="T432" s="369">
        <f t="shared" si="297"/>
        <v>0</v>
      </c>
      <c r="U432" s="96">
        <f t="shared" si="297"/>
        <v>0</v>
      </c>
      <c r="V432" s="96">
        <f t="shared" si="297"/>
        <v>0</v>
      </c>
      <c r="W432" s="96">
        <f t="shared" si="297"/>
        <v>0</v>
      </c>
      <c r="X432" s="96">
        <f t="shared" si="297"/>
        <v>0</v>
      </c>
      <c r="Y432" s="96">
        <f t="shared" si="297"/>
        <v>0</v>
      </c>
      <c r="Z432" s="96">
        <f t="shared" si="297"/>
        <v>0</v>
      </c>
      <c r="AA432" s="96">
        <f t="shared" si="297"/>
        <v>0</v>
      </c>
      <c r="AB432" s="96">
        <f t="shared" si="297"/>
        <v>0</v>
      </c>
      <c r="AC432" s="96">
        <f t="shared" si="297"/>
        <v>0</v>
      </c>
      <c r="AD432" s="96">
        <f t="shared" si="297"/>
        <v>0</v>
      </c>
    </row>
    <row r="433" spans="5:30" ht="36" x14ac:dyDescent="0.2">
      <c r="E433" s="301"/>
      <c r="F433" s="338" t="str">
        <f>"Subtotal: "&amp;E272</f>
        <v xml:space="preserve">Subtotal: Objetivo estratégico 5: Promoción de prácticas favorables a una nutrición óptima, de higiene y saneamiento básico. </v>
      </c>
      <c r="G433" s="333"/>
      <c r="H433" s="357">
        <f t="shared" ref="H433:AD433" si="298">H356/EXCHANGE_RATE</f>
        <v>7483434.4824073883</v>
      </c>
      <c r="I433" s="358">
        <f t="shared" si="298"/>
        <v>3304988.8837747462</v>
      </c>
      <c r="J433" s="358">
        <f t="shared" si="298"/>
        <v>4178445.5986326425</v>
      </c>
      <c r="K433" s="370">
        <f t="shared" si="298"/>
        <v>27546.881533429994</v>
      </c>
      <c r="L433" s="370">
        <f t="shared" si="298"/>
        <v>3160.5910062574999</v>
      </c>
      <c r="M433" s="370">
        <f t="shared" si="298"/>
        <v>8293.9999999999982</v>
      </c>
      <c r="N433" s="370">
        <f t="shared" si="298"/>
        <v>887.83224064999979</v>
      </c>
      <c r="O433" s="370">
        <f t="shared" si="298"/>
        <v>381.95793627999996</v>
      </c>
      <c r="P433" s="370">
        <f t="shared" si="298"/>
        <v>134235.662345405</v>
      </c>
      <c r="Q433" s="370">
        <f t="shared" si="298"/>
        <v>16718.750250279998</v>
      </c>
      <c r="R433" s="370">
        <f t="shared" si="298"/>
        <v>821.92332033999992</v>
      </c>
      <c r="S433" s="370">
        <f t="shared" si="298"/>
        <v>0</v>
      </c>
      <c r="T433" s="370">
        <f t="shared" si="298"/>
        <v>0</v>
      </c>
      <c r="U433" s="337">
        <f t="shared" si="298"/>
        <v>2400000</v>
      </c>
      <c r="V433" s="337">
        <f t="shared" si="298"/>
        <v>0</v>
      </c>
      <c r="W433" s="337">
        <f t="shared" si="298"/>
        <v>569098</v>
      </c>
      <c r="X433" s="337">
        <f t="shared" si="298"/>
        <v>17300</v>
      </c>
      <c r="Y433" s="337">
        <f t="shared" si="298"/>
        <v>1000000</v>
      </c>
      <c r="Z433" s="337">
        <f t="shared" si="298"/>
        <v>0</v>
      </c>
      <c r="AA433" s="337">
        <f t="shared" si="298"/>
        <v>0</v>
      </c>
      <c r="AB433" s="337">
        <f t="shared" si="298"/>
        <v>0</v>
      </c>
      <c r="AC433" s="337">
        <f t="shared" si="298"/>
        <v>0</v>
      </c>
      <c r="AD433" s="337">
        <f t="shared" si="298"/>
        <v>0</v>
      </c>
    </row>
    <row r="434" spans="5:30" ht="12" x14ac:dyDescent="0.2">
      <c r="E434" s="301" t="str">
        <f>Strategy6</f>
        <v>Objetivo estratégico 6: [No está en uso]</v>
      </c>
      <c r="G434" s="94"/>
      <c r="H434" s="363"/>
      <c r="I434" s="364"/>
      <c r="J434" s="356"/>
      <c r="K434" s="369"/>
      <c r="L434" s="369"/>
      <c r="M434" s="369"/>
      <c r="N434" s="369"/>
      <c r="O434" s="369"/>
      <c r="P434" s="369"/>
      <c r="Q434" s="369"/>
      <c r="R434" s="369"/>
      <c r="S434" s="369"/>
      <c r="T434" s="369"/>
      <c r="U434" s="96"/>
      <c r="V434" s="96"/>
      <c r="W434" s="96"/>
      <c r="X434" s="96"/>
      <c r="Y434" s="96"/>
      <c r="Z434" s="96"/>
      <c r="AA434" s="96"/>
      <c r="AB434" s="96"/>
      <c r="AC434" s="96"/>
      <c r="AD434" s="96"/>
    </row>
    <row r="435" spans="5:30" ht="12" x14ac:dyDescent="0.2">
      <c r="E435" s="301"/>
      <c r="F435" s="94" t="str">
        <f>STRAT6_IND1</f>
        <v>Objetivo estratégico 6 Indicador 1</v>
      </c>
      <c r="G435" s="94" t="str">
        <f ca="1">OFFSET(Variables_Lu!$D$10,Basic_Setup!H64,0)</f>
        <v>Nutrition-specific</v>
      </c>
      <c r="H435" s="354">
        <f t="shared" ref="H435:AD435" si="299">H358/EXCHANGE_RATE</f>
        <v>0</v>
      </c>
      <c r="I435" s="355">
        <f t="shared" si="299"/>
        <v>0</v>
      </c>
      <c r="J435" s="356">
        <f t="shared" si="299"/>
        <v>0</v>
      </c>
      <c r="K435" s="369">
        <f t="shared" si="299"/>
        <v>0</v>
      </c>
      <c r="L435" s="369">
        <f t="shared" si="299"/>
        <v>0</v>
      </c>
      <c r="M435" s="369">
        <f t="shared" si="299"/>
        <v>0</v>
      </c>
      <c r="N435" s="369">
        <f t="shared" si="299"/>
        <v>0</v>
      </c>
      <c r="O435" s="369">
        <f t="shared" si="299"/>
        <v>0</v>
      </c>
      <c r="P435" s="369">
        <f t="shared" si="299"/>
        <v>0</v>
      </c>
      <c r="Q435" s="369">
        <f t="shared" si="299"/>
        <v>0</v>
      </c>
      <c r="R435" s="369">
        <f t="shared" si="299"/>
        <v>0</v>
      </c>
      <c r="S435" s="369">
        <f t="shared" si="299"/>
        <v>0</v>
      </c>
      <c r="T435" s="369">
        <f t="shared" si="299"/>
        <v>0</v>
      </c>
      <c r="U435" s="96">
        <f t="shared" si="299"/>
        <v>0</v>
      </c>
      <c r="V435" s="96">
        <f t="shared" si="299"/>
        <v>0</v>
      </c>
      <c r="W435" s="96">
        <f t="shared" si="299"/>
        <v>0</v>
      </c>
      <c r="X435" s="96">
        <f t="shared" si="299"/>
        <v>0</v>
      </c>
      <c r="Y435" s="96">
        <f t="shared" si="299"/>
        <v>0</v>
      </c>
      <c r="Z435" s="96">
        <f t="shared" si="299"/>
        <v>0</v>
      </c>
      <c r="AA435" s="96">
        <f t="shared" si="299"/>
        <v>0</v>
      </c>
      <c r="AB435" s="96">
        <f t="shared" si="299"/>
        <v>0</v>
      </c>
      <c r="AC435" s="96">
        <f t="shared" si="299"/>
        <v>0</v>
      </c>
      <c r="AD435" s="96">
        <f t="shared" si="299"/>
        <v>0</v>
      </c>
    </row>
    <row r="436" spans="5:30" ht="12" x14ac:dyDescent="0.2">
      <c r="E436" s="301"/>
      <c r="F436" s="94" t="str">
        <f>STRAT6_IND2</f>
        <v>Objetivo estratégico 6 Indicador 2</v>
      </c>
      <c r="G436" s="94" t="str">
        <f ca="1">OFFSET(Variables_Lu!$D$10,Basic_Setup!H65,0)</f>
        <v>Nutrition-specific</v>
      </c>
      <c r="H436" s="354">
        <f t="shared" ref="H436:AD436" si="300">H359/EXCHANGE_RATE</f>
        <v>0</v>
      </c>
      <c r="I436" s="355">
        <f t="shared" si="300"/>
        <v>0</v>
      </c>
      <c r="J436" s="356">
        <f t="shared" si="300"/>
        <v>0</v>
      </c>
      <c r="K436" s="369">
        <f t="shared" si="300"/>
        <v>0</v>
      </c>
      <c r="L436" s="369">
        <f t="shared" si="300"/>
        <v>0</v>
      </c>
      <c r="M436" s="369">
        <f t="shared" si="300"/>
        <v>0</v>
      </c>
      <c r="N436" s="369">
        <f t="shared" si="300"/>
        <v>0</v>
      </c>
      <c r="O436" s="369">
        <f t="shared" si="300"/>
        <v>0</v>
      </c>
      <c r="P436" s="369">
        <f t="shared" si="300"/>
        <v>0</v>
      </c>
      <c r="Q436" s="369">
        <f t="shared" si="300"/>
        <v>0</v>
      </c>
      <c r="R436" s="369">
        <f t="shared" si="300"/>
        <v>0</v>
      </c>
      <c r="S436" s="369">
        <f t="shared" si="300"/>
        <v>0</v>
      </c>
      <c r="T436" s="369">
        <f t="shared" si="300"/>
        <v>0</v>
      </c>
      <c r="U436" s="96">
        <f t="shared" si="300"/>
        <v>0</v>
      </c>
      <c r="V436" s="96">
        <f t="shared" si="300"/>
        <v>0</v>
      </c>
      <c r="W436" s="96">
        <f t="shared" si="300"/>
        <v>0</v>
      </c>
      <c r="X436" s="96">
        <f t="shared" si="300"/>
        <v>0</v>
      </c>
      <c r="Y436" s="96">
        <f t="shared" si="300"/>
        <v>0</v>
      </c>
      <c r="Z436" s="96">
        <f t="shared" si="300"/>
        <v>0</v>
      </c>
      <c r="AA436" s="96">
        <f t="shared" si="300"/>
        <v>0</v>
      </c>
      <c r="AB436" s="96">
        <f t="shared" si="300"/>
        <v>0</v>
      </c>
      <c r="AC436" s="96">
        <f t="shared" si="300"/>
        <v>0</v>
      </c>
      <c r="AD436" s="96">
        <f t="shared" si="300"/>
        <v>0</v>
      </c>
    </row>
    <row r="437" spans="5:30" ht="12" x14ac:dyDescent="0.2">
      <c r="E437" s="301"/>
      <c r="F437" s="94" t="str">
        <f>STRAT6_IND3</f>
        <v>Objetivo estratégico 6 Indicador 3</v>
      </c>
      <c r="G437" s="94" t="str">
        <f ca="1">OFFSET(Variables_Lu!$D$10,Basic_Setup!H66,0)</f>
        <v>Nutrition-specific</v>
      </c>
      <c r="H437" s="354">
        <f t="shared" ref="H437:AD437" si="301">H360/EXCHANGE_RATE</f>
        <v>0</v>
      </c>
      <c r="I437" s="355">
        <f t="shared" si="301"/>
        <v>0</v>
      </c>
      <c r="J437" s="356">
        <f t="shared" si="301"/>
        <v>0</v>
      </c>
      <c r="K437" s="369">
        <f t="shared" si="301"/>
        <v>0</v>
      </c>
      <c r="L437" s="369">
        <f t="shared" si="301"/>
        <v>0</v>
      </c>
      <c r="M437" s="369">
        <f t="shared" si="301"/>
        <v>0</v>
      </c>
      <c r="N437" s="369">
        <f t="shared" si="301"/>
        <v>0</v>
      </c>
      <c r="O437" s="369">
        <f t="shared" si="301"/>
        <v>0</v>
      </c>
      <c r="P437" s="369">
        <f t="shared" si="301"/>
        <v>0</v>
      </c>
      <c r="Q437" s="369">
        <f t="shared" si="301"/>
        <v>0</v>
      </c>
      <c r="R437" s="369">
        <f t="shared" si="301"/>
        <v>0</v>
      </c>
      <c r="S437" s="369">
        <f t="shared" si="301"/>
        <v>0</v>
      </c>
      <c r="T437" s="369">
        <f t="shared" si="301"/>
        <v>0</v>
      </c>
      <c r="U437" s="96">
        <f t="shared" si="301"/>
        <v>0</v>
      </c>
      <c r="V437" s="96">
        <f t="shared" si="301"/>
        <v>0</v>
      </c>
      <c r="W437" s="96">
        <f t="shared" si="301"/>
        <v>0</v>
      </c>
      <c r="X437" s="96">
        <f t="shared" si="301"/>
        <v>0</v>
      </c>
      <c r="Y437" s="96">
        <f t="shared" si="301"/>
        <v>0</v>
      </c>
      <c r="Z437" s="96">
        <f t="shared" si="301"/>
        <v>0</v>
      </c>
      <c r="AA437" s="96">
        <f t="shared" si="301"/>
        <v>0</v>
      </c>
      <c r="AB437" s="96">
        <f t="shared" si="301"/>
        <v>0</v>
      </c>
      <c r="AC437" s="96">
        <f t="shared" si="301"/>
        <v>0</v>
      </c>
      <c r="AD437" s="96">
        <f t="shared" si="301"/>
        <v>0</v>
      </c>
    </row>
    <row r="438" spans="5:30" ht="12" x14ac:dyDescent="0.2">
      <c r="E438" s="301"/>
      <c r="F438" s="94" t="str">
        <f>STRAT6_IND4</f>
        <v>Objetivo estratégico 6 Indicador 4</v>
      </c>
      <c r="G438" s="94" t="str">
        <f ca="1">OFFSET(Variables_Lu!$D$10,Basic_Setup!H67,0)</f>
        <v>Nutrition-specific</v>
      </c>
      <c r="H438" s="354">
        <f t="shared" ref="H438:AD438" si="302">H361/EXCHANGE_RATE</f>
        <v>0</v>
      </c>
      <c r="I438" s="355">
        <f t="shared" si="302"/>
        <v>0</v>
      </c>
      <c r="J438" s="356">
        <f t="shared" si="302"/>
        <v>0</v>
      </c>
      <c r="K438" s="369">
        <f t="shared" si="302"/>
        <v>0</v>
      </c>
      <c r="L438" s="369">
        <f t="shared" si="302"/>
        <v>0</v>
      </c>
      <c r="M438" s="369">
        <f t="shared" si="302"/>
        <v>0</v>
      </c>
      <c r="N438" s="369">
        <f t="shared" si="302"/>
        <v>0</v>
      </c>
      <c r="O438" s="369">
        <f t="shared" si="302"/>
        <v>0</v>
      </c>
      <c r="P438" s="369">
        <f t="shared" si="302"/>
        <v>0</v>
      </c>
      <c r="Q438" s="369">
        <f t="shared" si="302"/>
        <v>0</v>
      </c>
      <c r="R438" s="369">
        <f t="shared" si="302"/>
        <v>0</v>
      </c>
      <c r="S438" s="369">
        <f t="shared" si="302"/>
        <v>0</v>
      </c>
      <c r="T438" s="369">
        <f t="shared" si="302"/>
        <v>0</v>
      </c>
      <c r="U438" s="96">
        <f t="shared" si="302"/>
        <v>0</v>
      </c>
      <c r="V438" s="96">
        <f t="shared" si="302"/>
        <v>0</v>
      </c>
      <c r="W438" s="96">
        <f t="shared" si="302"/>
        <v>0</v>
      </c>
      <c r="X438" s="96">
        <f t="shared" si="302"/>
        <v>0</v>
      </c>
      <c r="Y438" s="96">
        <f t="shared" si="302"/>
        <v>0</v>
      </c>
      <c r="Z438" s="96">
        <f t="shared" si="302"/>
        <v>0</v>
      </c>
      <c r="AA438" s="96">
        <f t="shared" si="302"/>
        <v>0</v>
      </c>
      <c r="AB438" s="96">
        <f t="shared" si="302"/>
        <v>0</v>
      </c>
      <c r="AC438" s="96">
        <f t="shared" si="302"/>
        <v>0</v>
      </c>
      <c r="AD438" s="96">
        <f t="shared" si="302"/>
        <v>0</v>
      </c>
    </row>
    <row r="439" spans="5:30" ht="12" x14ac:dyDescent="0.2">
      <c r="E439" s="301"/>
      <c r="F439" s="94" t="str">
        <f>STRAT6_IND5</f>
        <v>Objetivo estratégico 6 Indicador 5</v>
      </c>
      <c r="G439" s="94" t="str">
        <f ca="1">OFFSET(Variables_Lu!$D$10,Basic_Setup!H68,0)</f>
        <v>Nutrition-specific</v>
      </c>
      <c r="H439" s="354">
        <f t="shared" ref="H439:AD439" si="303">H362/EXCHANGE_RATE</f>
        <v>0</v>
      </c>
      <c r="I439" s="355">
        <f t="shared" si="303"/>
        <v>0</v>
      </c>
      <c r="J439" s="356">
        <f t="shared" si="303"/>
        <v>0</v>
      </c>
      <c r="K439" s="369">
        <f t="shared" si="303"/>
        <v>0</v>
      </c>
      <c r="L439" s="369">
        <f t="shared" si="303"/>
        <v>0</v>
      </c>
      <c r="M439" s="369">
        <f t="shared" si="303"/>
        <v>0</v>
      </c>
      <c r="N439" s="369">
        <f t="shared" si="303"/>
        <v>0</v>
      </c>
      <c r="O439" s="369">
        <f t="shared" si="303"/>
        <v>0</v>
      </c>
      <c r="P439" s="369">
        <f t="shared" si="303"/>
        <v>0</v>
      </c>
      <c r="Q439" s="369">
        <f t="shared" si="303"/>
        <v>0</v>
      </c>
      <c r="R439" s="369">
        <f t="shared" si="303"/>
        <v>0</v>
      </c>
      <c r="S439" s="369">
        <f t="shared" si="303"/>
        <v>0</v>
      </c>
      <c r="T439" s="369">
        <f t="shared" si="303"/>
        <v>0</v>
      </c>
      <c r="U439" s="96">
        <f t="shared" si="303"/>
        <v>0</v>
      </c>
      <c r="V439" s="96">
        <f t="shared" si="303"/>
        <v>0</v>
      </c>
      <c r="W439" s="96">
        <f t="shared" si="303"/>
        <v>0</v>
      </c>
      <c r="X439" s="96">
        <f t="shared" si="303"/>
        <v>0</v>
      </c>
      <c r="Y439" s="96">
        <f t="shared" si="303"/>
        <v>0</v>
      </c>
      <c r="Z439" s="96">
        <f t="shared" si="303"/>
        <v>0</v>
      </c>
      <c r="AA439" s="96">
        <f t="shared" si="303"/>
        <v>0</v>
      </c>
      <c r="AB439" s="96">
        <f t="shared" si="303"/>
        <v>0</v>
      </c>
      <c r="AC439" s="96">
        <f t="shared" si="303"/>
        <v>0</v>
      </c>
      <c r="AD439" s="96">
        <f t="shared" si="303"/>
        <v>0</v>
      </c>
    </row>
    <row r="440" spans="5:30" ht="12" x14ac:dyDescent="0.2">
      <c r="E440" s="301"/>
      <c r="F440" s="338" t="str">
        <f>"Subtotal: "&amp;E279</f>
        <v>Subtotal: Objetivo estratégico 6: [No está en uso]</v>
      </c>
      <c r="G440" s="333"/>
      <c r="H440" s="357">
        <f t="shared" ref="H440:AD440" si="304">H363/EXCHANGE_RATE</f>
        <v>0</v>
      </c>
      <c r="I440" s="358">
        <f t="shared" si="304"/>
        <v>0</v>
      </c>
      <c r="J440" s="358">
        <f t="shared" si="304"/>
        <v>0</v>
      </c>
      <c r="K440" s="370">
        <f t="shared" si="304"/>
        <v>0</v>
      </c>
      <c r="L440" s="370">
        <f t="shared" si="304"/>
        <v>0</v>
      </c>
      <c r="M440" s="370">
        <f t="shared" si="304"/>
        <v>0</v>
      </c>
      <c r="N440" s="370">
        <f t="shared" si="304"/>
        <v>0</v>
      </c>
      <c r="O440" s="370">
        <f t="shared" si="304"/>
        <v>0</v>
      </c>
      <c r="P440" s="370">
        <f t="shared" si="304"/>
        <v>0</v>
      </c>
      <c r="Q440" s="370">
        <f t="shared" si="304"/>
        <v>0</v>
      </c>
      <c r="R440" s="370">
        <f t="shared" si="304"/>
        <v>0</v>
      </c>
      <c r="S440" s="370">
        <f t="shared" si="304"/>
        <v>0</v>
      </c>
      <c r="T440" s="370">
        <f t="shared" si="304"/>
        <v>0</v>
      </c>
      <c r="U440" s="337">
        <f t="shared" si="304"/>
        <v>0</v>
      </c>
      <c r="V440" s="337">
        <f t="shared" si="304"/>
        <v>0</v>
      </c>
      <c r="W440" s="337">
        <f t="shared" si="304"/>
        <v>0</v>
      </c>
      <c r="X440" s="337">
        <f t="shared" si="304"/>
        <v>0</v>
      </c>
      <c r="Y440" s="337">
        <f t="shared" si="304"/>
        <v>0</v>
      </c>
      <c r="Z440" s="337">
        <f t="shared" si="304"/>
        <v>0</v>
      </c>
      <c r="AA440" s="337">
        <f t="shared" si="304"/>
        <v>0</v>
      </c>
      <c r="AB440" s="337">
        <f t="shared" si="304"/>
        <v>0</v>
      </c>
      <c r="AC440" s="337">
        <f t="shared" si="304"/>
        <v>0</v>
      </c>
      <c r="AD440" s="337">
        <f t="shared" si="304"/>
        <v>0</v>
      </c>
    </row>
    <row r="441" spans="5:30" ht="12" x14ac:dyDescent="0.2">
      <c r="E441" s="301" t="str">
        <f>Strategy7</f>
        <v>Objetivo estratégico 7: [No está en uso]</v>
      </c>
      <c r="G441" s="94"/>
      <c r="H441" s="363"/>
      <c r="I441" s="364"/>
      <c r="J441" s="356"/>
      <c r="K441" s="369"/>
      <c r="L441" s="369"/>
      <c r="M441" s="369"/>
      <c r="N441" s="369"/>
      <c r="O441" s="369"/>
      <c r="P441" s="369"/>
      <c r="Q441" s="369"/>
      <c r="R441" s="369"/>
      <c r="S441" s="369"/>
      <c r="T441" s="369"/>
      <c r="U441" s="96"/>
      <c r="V441" s="96"/>
      <c r="W441" s="96"/>
      <c r="X441" s="96"/>
      <c r="Y441" s="96"/>
      <c r="Z441" s="96"/>
      <c r="AA441" s="96"/>
      <c r="AB441" s="96"/>
      <c r="AC441" s="96"/>
      <c r="AD441" s="96"/>
    </row>
    <row r="442" spans="5:30" ht="12" x14ac:dyDescent="0.2">
      <c r="E442" s="301"/>
      <c r="F442" s="94" t="str">
        <f>STRAT7_IND1</f>
        <v>Objetivo estratégico 7 Indicador 1</v>
      </c>
      <c r="G442" s="94" t="str">
        <f ca="1">OFFSET(Variables_Lu!$D$10,Basic_Setup!H70,0)</f>
        <v>Nutrition-specific</v>
      </c>
      <c r="H442" s="354">
        <f t="shared" ref="H442:AD442" si="305">H365/EXCHANGE_RATE</f>
        <v>0</v>
      </c>
      <c r="I442" s="355">
        <f t="shared" si="305"/>
        <v>0</v>
      </c>
      <c r="J442" s="356">
        <f t="shared" si="305"/>
        <v>0</v>
      </c>
      <c r="K442" s="369">
        <f t="shared" si="305"/>
        <v>0</v>
      </c>
      <c r="L442" s="369">
        <f t="shared" si="305"/>
        <v>0</v>
      </c>
      <c r="M442" s="369">
        <f t="shared" si="305"/>
        <v>0</v>
      </c>
      <c r="N442" s="369">
        <f t="shared" si="305"/>
        <v>0</v>
      </c>
      <c r="O442" s="369">
        <f t="shared" si="305"/>
        <v>0</v>
      </c>
      <c r="P442" s="369">
        <f t="shared" si="305"/>
        <v>0</v>
      </c>
      <c r="Q442" s="369">
        <f t="shared" si="305"/>
        <v>0</v>
      </c>
      <c r="R442" s="369">
        <f t="shared" si="305"/>
        <v>0</v>
      </c>
      <c r="S442" s="369">
        <f t="shared" si="305"/>
        <v>0</v>
      </c>
      <c r="T442" s="369">
        <f t="shared" si="305"/>
        <v>0</v>
      </c>
      <c r="U442" s="96">
        <f t="shared" si="305"/>
        <v>0</v>
      </c>
      <c r="V442" s="96">
        <f t="shared" si="305"/>
        <v>0</v>
      </c>
      <c r="W442" s="96">
        <f t="shared" si="305"/>
        <v>0</v>
      </c>
      <c r="X442" s="96">
        <f t="shared" si="305"/>
        <v>0</v>
      </c>
      <c r="Y442" s="96">
        <f t="shared" si="305"/>
        <v>0</v>
      </c>
      <c r="Z442" s="96">
        <f t="shared" si="305"/>
        <v>0</v>
      </c>
      <c r="AA442" s="96">
        <f t="shared" si="305"/>
        <v>0</v>
      </c>
      <c r="AB442" s="96">
        <f t="shared" si="305"/>
        <v>0</v>
      </c>
      <c r="AC442" s="96">
        <f t="shared" si="305"/>
        <v>0</v>
      </c>
      <c r="AD442" s="96">
        <f t="shared" si="305"/>
        <v>0</v>
      </c>
    </row>
    <row r="443" spans="5:30" ht="12" x14ac:dyDescent="0.2">
      <c r="E443" s="301"/>
      <c r="F443" s="94" t="str">
        <f>STRAT7_IND2</f>
        <v>Objetivo estratégico 7 Indicador 2</v>
      </c>
      <c r="G443" s="94" t="str">
        <f ca="1">OFFSET(Variables_Lu!$D$10,Basic_Setup!H71,0)</f>
        <v>Nutrition-specific</v>
      </c>
      <c r="H443" s="354">
        <f t="shared" ref="H443:AD443" si="306">H366/EXCHANGE_RATE</f>
        <v>0</v>
      </c>
      <c r="I443" s="355">
        <f t="shared" si="306"/>
        <v>0</v>
      </c>
      <c r="J443" s="356">
        <f t="shared" si="306"/>
        <v>0</v>
      </c>
      <c r="K443" s="369">
        <f t="shared" si="306"/>
        <v>0</v>
      </c>
      <c r="L443" s="369">
        <f t="shared" si="306"/>
        <v>0</v>
      </c>
      <c r="M443" s="369">
        <f t="shared" si="306"/>
        <v>0</v>
      </c>
      <c r="N443" s="369">
        <f t="shared" si="306"/>
        <v>0</v>
      </c>
      <c r="O443" s="369">
        <f t="shared" si="306"/>
        <v>0</v>
      </c>
      <c r="P443" s="369">
        <f t="shared" si="306"/>
        <v>0</v>
      </c>
      <c r="Q443" s="369">
        <f t="shared" si="306"/>
        <v>0</v>
      </c>
      <c r="R443" s="369">
        <f t="shared" si="306"/>
        <v>0</v>
      </c>
      <c r="S443" s="369">
        <f t="shared" si="306"/>
        <v>0</v>
      </c>
      <c r="T443" s="369">
        <f t="shared" si="306"/>
        <v>0</v>
      </c>
      <c r="U443" s="96">
        <f t="shared" si="306"/>
        <v>0</v>
      </c>
      <c r="V443" s="96">
        <f t="shared" si="306"/>
        <v>0</v>
      </c>
      <c r="W443" s="96">
        <f t="shared" si="306"/>
        <v>0</v>
      </c>
      <c r="X443" s="96">
        <f t="shared" si="306"/>
        <v>0</v>
      </c>
      <c r="Y443" s="96">
        <f t="shared" si="306"/>
        <v>0</v>
      </c>
      <c r="Z443" s="96">
        <f t="shared" si="306"/>
        <v>0</v>
      </c>
      <c r="AA443" s="96">
        <f t="shared" si="306"/>
        <v>0</v>
      </c>
      <c r="AB443" s="96">
        <f t="shared" si="306"/>
        <v>0</v>
      </c>
      <c r="AC443" s="96">
        <f t="shared" si="306"/>
        <v>0</v>
      </c>
      <c r="AD443" s="96">
        <f t="shared" si="306"/>
        <v>0</v>
      </c>
    </row>
    <row r="444" spans="5:30" ht="12" x14ac:dyDescent="0.2">
      <c r="E444" s="301"/>
      <c r="F444" s="94" t="str">
        <f>STRAT7_IND3</f>
        <v>Objetivo estratégico 7 Indicador 3</v>
      </c>
      <c r="G444" s="94" t="str">
        <f ca="1">OFFSET(Variables_Lu!$D$10,Basic_Setup!H72,0)</f>
        <v>Nutrition-specific</v>
      </c>
      <c r="H444" s="354">
        <f t="shared" ref="H444:AD444" si="307">H367/EXCHANGE_RATE</f>
        <v>0</v>
      </c>
      <c r="I444" s="355">
        <f t="shared" si="307"/>
        <v>0</v>
      </c>
      <c r="J444" s="356">
        <f t="shared" si="307"/>
        <v>0</v>
      </c>
      <c r="K444" s="369">
        <f t="shared" si="307"/>
        <v>0</v>
      </c>
      <c r="L444" s="369">
        <f t="shared" si="307"/>
        <v>0</v>
      </c>
      <c r="M444" s="369">
        <f t="shared" si="307"/>
        <v>0</v>
      </c>
      <c r="N444" s="369">
        <f t="shared" si="307"/>
        <v>0</v>
      </c>
      <c r="O444" s="369">
        <f t="shared" si="307"/>
        <v>0</v>
      </c>
      <c r="P444" s="369">
        <f t="shared" si="307"/>
        <v>0</v>
      </c>
      <c r="Q444" s="369">
        <f t="shared" si="307"/>
        <v>0</v>
      </c>
      <c r="R444" s="369">
        <f t="shared" si="307"/>
        <v>0</v>
      </c>
      <c r="S444" s="369">
        <f t="shared" si="307"/>
        <v>0</v>
      </c>
      <c r="T444" s="369">
        <f t="shared" si="307"/>
        <v>0</v>
      </c>
      <c r="U444" s="96">
        <f t="shared" si="307"/>
        <v>0</v>
      </c>
      <c r="V444" s="96">
        <f t="shared" si="307"/>
        <v>0</v>
      </c>
      <c r="W444" s="96">
        <f t="shared" si="307"/>
        <v>0</v>
      </c>
      <c r="X444" s="96">
        <f t="shared" si="307"/>
        <v>0</v>
      </c>
      <c r="Y444" s="96">
        <f t="shared" si="307"/>
        <v>0</v>
      </c>
      <c r="Z444" s="96">
        <f t="shared" si="307"/>
        <v>0</v>
      </c>
      <c r="AA444" s="96">
        <f t="shared" si="307"/>
        <v>0</v>
      </c>
      <c r="AB444" s="96">
        <f t="shared" si="307"/>
        <v>0</v>
      </c>
      <c r="AC444" s="96">
        <f t="shared" si="307"/>
        <v>0</v>
      </c>
      <c r="AD444" s="96">
        <f t="shared" si="307"/>
        <v>0</v>
      </c>
    </row>
    <row r="445" spans="5:30" ht="12" x14ac:dyDescent="0.2">
      <c r="E445" s="301"/>
      <c r="F445" s="94" t="str">
        <f>STRAT7_IND4</f>
        <v>Objetivo estratégico 7 Indicador 4</v>
      </c>
      <c r="G445" s="94" t="str">
        <f ca="1">OFFSET(Variables_Lu!$D$10,Basic_Setup!H73,0)</f>
        <v>Nutrition-specific</v>
      </c>
      <c r="H445" s="354">
        <f t="shared" ref="H445:AD445" si="308">H368/EXCHANGE_RATE</f>
        <v>0</v>
      </c>
      <c r="I445" s="355">
        <f t="shared" si="308"/>
        <v>0</v>
      </c>
      <c r="J445" s="356">
        <f t="shared" si="308"/>
        <v>0</v>
      </c>
      <c r="K445" s="369">
        <f t="shared" si="308"/>
        <v>0</v>
      </c>
      <c r="L445" s="369">
        <f t="shared" si="308"/>
        <v>0</v>
      </c>
      <c r="M445" s="369">
        <f t="shared" si="308"/>
        <v>0</v>
      </c>
      <c r="N445" s="369">
        <f t="shared" si="308"/>
        <v>0</v>
      </c>
      <c r="O445" s="369">
        <f t="shared" si="308"/>
        <v>0</v>
      </c>
      <c r="P445" s="369">
        <f t="shared" si="308"/>
        <v>0</v>
      </c>
      <c r="Q445" s="369">
        <f t="shared" si="308"/>
        <v>0</v>
      </c>
      <c r="R445" s="369">
        <f t="shared" si="308"/>
        <v>0</v>
      </c>
      <c r="S445" s="369">
        <f t="shared" si="308"/>
        <v>0</v>
      </c>
      <c r="T445" s="369">
        <f t="shared" si="308"/>
        <v>0</v>
      </c>
      <c r="U445" s="96">
        <f t="shared" si="308"/>
        <v>0</v>
      </c>
      <c r="V445" s="96">
        <f t="shared" si="308"/>
        <v>0</v>
      </c>
      <c r="W445" s="96">
        <f t="shared" si="308"/>
        <v>0</v>
      </c>
      <c r="X445" s="96">
        <f t="shared" si="308"/>
        <v>0</v>
      </c>
      <c r="Y445" s="96">
        <f t="shared" si="308"/>
        <v>0</v>
      </c>
      <c r="Z445" s="96">
        <f t="shared" si="308"/>
        <v>0</v>
      </c>
      <c r="AA445" s="96">
        <f t="shared" si="308"/>
        <v>0</v>
      </c>
      <c r="AB445" s="96">
        <f t="shared" si="308"/>
        <v>0</v>
      </c>
      <c r="AC445" s="96">
        <f t="shared" si="308"/>
        <v>0</v>
      </c>
      <c r="AD445" s="96">
        <f t="shared" si="308"/>
        <v>0</v>
      </c>
    </row>
    <row r="446" spans="5:30" ht="12" x14ac:dyDescent="0.2">
      <c r="E446" s="301"/>
      <c r="F446" s="94" t="str">
        <f>STRAT7_IND5</f>
        <v>Objetivo estratégico 7 Indicador 5</v>
      </c>
      <c r="G446" s="94" t="str">
        <f ca="1">OFFSET(Variables_Lu!$D$10,Basic_Setup!H74,0)</f>
        <v>Nutrition-specific</v>
      </c>
      <c r="H446" s="354">
        <f t="shared" ref="H446:AD446" si="309">H369/EXCHANGE_RATE</f>
        <v>0</v>
      </c>
      <c r="I446" s="355">
        <f t="shared" si="309"/>
        <v>0</v>
      </c>
      <c r="J446" s="356">
        <f t="shared" si="309"/>
        <v>0</v>
      </c>
      <c r="K446" s="369">
        <f t="shared" si="309"/>
        <v>0</v>
      </c>
      <c r="L446" s="369">
        <f t="shared" si="309"/>
        <v>0</v>
      </c>
      <c r="M446" s="369">
        <f t="shared" si="309"/>
        <v>0</v>
      </c>
      <c r="N446" s="369">
        <f t="shared" si="309"/>
        <v>0</v>
      </c>
      <c r="O446" s="369">
        <f t="shared" si="309"/>
        <v>0</v>
      </c>
      <c r="P446" s="369">
        <f t="shared" si="309"/>
        <v>0</v>
      </c>
      <c r="Q446" s="369">
        <f t="shared" si="309"/>
        <v>0</v>
      </c>
      <c r="R446" s="369">
        <f t="shared" si="309"/>
        <v>0</v>
      </c>
      <c r="S446" s="369">
        <f t="shared" si="309"/>
        <v>0</v>
      </c>
      <c r="T446" s="369">
        <f t="shared" si="309"/>
        <v>0</v>
      </c>
      <c r="U446" s="96">
        <f t="shared" si="309"/>
        <v>0</v>
      </c>
      <c r="V446" s="96">
        <f t="shared" si="309"/>
        <v>0</v>
      </c>
      <c r="W446" s="96">
        <f t="shared" si="309"/>
        <v>0</v>
      </c>
      <c r="X446" s="96">
        <f t="shared" si="309"/>
        <v>0</v>
      </c>
      <c r="Y446" s="96">
        <f t="shared" si="309"/>
        <v>0</v>
      </c>
      <c r="Z446" s="96">
        <f t="shared" si="309"/>
        <v>0</v>
      </c>
      <c r="AA446" s="96">
        <f t="shared" si="309"/>
        <v>0</v>
      </c>
      <c r="AB446" s="96">
        <f t="shared" si="309"/>
        <v>0</v>
      </c>
      <c r="AC446" s="96">
        <f t="shared" si="309"/>
        <v>0</v>
      </c>
      <c r="AD446" s="96">
        <f t="shared" si="309"/>
        <v>0</v>
      </c>
    </row>
    <row r="447" spans="5:30" ht="12" x14ac:dyDescent="0.2">
      <c r="E447" s="301"/>
      <c r="F447" s="338" t="str">
        <f>"Subtotal: "&amp;E286</f>
        <v>Subtotal: Objetivo estratégico 7: [No está en uso]</v>
      </c>
      <c r="G447" s="333"/>
      <c r="H447" s="357">
        <f t="shared" ref="H447:AD447" si="310">H370/EXCHANGE_RATE</f>
        <v>0</v>
      </c>
      <c r="I447" s="358">
        <f t="shared" si="310"/>
        <v>0</v>
      </c>
      <c r="J447" s="358">
        <f t="shared" si="310"/>
        <v>0</v>
      </c>
      <c r="K447" s="370">
        <f t="shared" si="310"/>
        <v>0</v>
      </c>
      <c r="L447" s="370">
        <f t="shared" si="310"/>
        <v>0</v>
      </c>
      <c r="M447" s="370">
        <f t="shared" si="310"/>
        <v>0</v>
      </c>
      <c r="N447" s="370">
        <f t="shared" si="310"/>
        <v>0</v>
      </c>
      <c r="O447" s="370">
        <f t="shared" si="310"/>
        <v>0</v>
      </c>
      <c r="P447" s="370">
        <f t="shared" si="310"/>
        <v>0</v>
      </c>
      <c r="Q447" s="370">
        <f t="shared" si="310"/>
        <v>0</v>
      </c>
      <c r="R447" s="370">
        <f t="shared" si="310"/>
        <v>0</v>
      </c>
      <c r="S447" s="370">
        <f t="shared" si="310"/>
        <v>0</v>
      </c>
      <c r="T447" s="370">
        <f t="shared" si="310"/>
        <v>0</v>
      </c>
      <c r="U447" s="337">
        <f t="shared" si="310"/>
        <v>0</v>
      </c>
      <c r="V447" s="337">
        <f t="shared" si="310"/>
        <v>0</v>
      </c>
      <c r="W447" s="337">
        <f t="shared" si="310"/>
        <v>0</v>
      </c>
      <c r="X447" s="337">
        <f t="shared" si="310"/>
        <v>0</v>
      </c>
      <c r="Y447" s="337">
        <f t="shared" si="310"/>
        <v>0</v>
      </c>
      <c r="Z447" s="337">
        <f t="shared" si="310"/>
        <v>0</v>
      </c>
      <c r="AA447" s="337">
        <f t="shared" si="310"/>
        <v>0</v>
      </c>
      <c r="AB447" s="337">
        <f t="shared" si="310"/>
        <v>0</v>
      </c>
      <c r="AC447" s="337">
        <f t="shared" si="310"/>
        <v>0</v>
      </c>
      <c r="AD447" s="337">
        <f t="shared" si="310"/>
        <v>0</v>
      </c>
    </row>
    <row r="448" spans="5:30" ht="12" x14ac:dyDescent="0.2">
      <c r="E448" s="301" t="str">
        <f>Strategy8</f>
        <v>Objetivo estratégico 8: [No está en uso]</v>
      </c>
      <c r="G448" s="94"/>
      <c r="H448" s="363"/>
      <c r="I448" s="364"/>
      <c r="J448" s="356"/>
      <c r="K448" s="369"/>
      <c r="L448" s="369"/>
      <c r="M448" s="369"/>
      <c r="N448" s="369"/>
      <c r="O448" s="369"/>
      <c r="P448" s="369"/>
      <c r="Q448" s="369"/>
      <c r="R448" s="369"/>
      <c r="S448" s="369"/>
      <c r="T448" s="369"/>
      <c r="U448" s="96"/>
      <c r="V448" s="96"/>
      <c r="W448" s="96"/>
      <c r="X448" s="96"/>
      <c r="Y448" s="96"/>
      <c r="Z448" s="96"/>
      <c r="AA448" s="96"/>
      <c r="AB448" s="96"/>
      <c r="AC448" s="96"/>
      <c r="AD448" s="96"/>
    </row>
    <row r="449" spans="5:30" ht="12" x14ac:dyDescent="0.2">
      <c r="E449" s="301"/>
      <c r="F449" s="94" t="str">
        <f>STRAT8_IND1</f>
        <v>Objetivo estratégico 8 Indicador 1</v>
      </c>
      <c r="G449" s="94" t="str">
        <f ca="1">OFFSET(Variables_Lu!$D$10,Basic_Setup!H76,0)</f>
        <v>Nutrition-specific</v>
      </c>
      <c r="H449" s="354">
        <f t="shared" ref="H449:AD449" si="311">H372/EXCHANGE_RATE</f>
        <v>0</v>
      </c>
      <c r="I449" s="355">
        <f t="shared" si="311"/>
        <v>0</v>
      </c>
      <c r="J449" s="356">
        <f t="shared" si="311"/>
        <v>0</v>
      </c>
      <c r="K449" s="369">
        <f t="shared" si="311"/>
        <v>0</v>
      </c>
      <c r="L449" s="369">
        <f t="shared" si="311"/>
        <v>0</v>
      </c>
      <c r="M449" s="369">
        <f t="shared" si="311"/>
        <v>0</v>
      </c>
      <c r="N449" s="369">
        <f t="shared" si="311"/>
        <v>0</v>
      </c>
      <c r="O449" s="369">
        <f t="shared" si="311"/>
        <v>0</v>
      </c>
      <c r="P449" s="369">
        <f t="shared" si="311"/>
        <v>0</v>
      </c>
      <c r="Q449" s="369">
        <f t="shared" si="311"/>
        <v>0</v>
      </c>
      <c r="R449" s="369">
        <f t="shared" si="311"/>
        <v>0</v>
      </c>
      <c r="S449" s="369">
        <f t="shared" si="311"/>
        <v>0</v>
      </c>
      <c r="T449" s="369">
        <f t="shared" si="311"/>
        <v>0</v>
      </c>
      <c r="U449" s="96">
        <f t="shared" si="311"/>
        <v>0</v>
      </c>
      <c r="V449" s="96">
        <f t="shared" si="311"/>
        <v>0</v>
      </c>
      <c r="W449" s="96">
        <f t="shared" si="311"/>
        <v>0</v>
      </c>
      <c r="X449" s="96">
        <f t="shared" si="311"/>
        <v>0</v>
      </c>
      <c r="Y449" s="96">
        <f t="shared" si="311"/>
        <v>0</v>
      </c>
      <c r="Z449" s="96">
        <f t="shared" si="311"/>
        <v>0</v>
      </c>
      <c r="AA449" s="96">
        <f t="shared" si="311"/>
        <v>0</v>
      </c>
      <c r="AB449" s="96">
        <f t="shared" si="311"/>
        <v>0</v>
      </c>
      <c r="AC449" s="96">
        <f t="shared" si="311"/>
        <v>0</v>
      </c>
      <c r="AD449" s="96">
        <f t="shared" si="311"/>
        <v>0</v>
      </c>
    </row>
    <row r="450" spans="5:30" ht="12" x14ac:dyDescent="0.2">
      <c r="E450" s="301"/>
      <c r="F450" s="94" t="str">
        <f>STRAT8_IND2</f>
        <v>Objetivo estratégico 8 Indicador 2</v>
      </c>
      <c r="G450" s="94" t="str">
        <f ca="1">OFFSET(Variables_Lu!$D$10,Basic_Setup!H77,0)</f>
        <v>Nutrition-specific</v>
      </c>
      <c r="H450" s="354">
        <f t="shared" ref="H450:AD450" si="312">H373/EXCHANGE_RATE</f>
        <v>0</v>
      </c>
      <c r="I450" s="355">
        <f t="shared" si="312"/>
        <v>0</v>
      </c>
      <c r="J450" s="356">
        <f t="shared" si="312"/>
        <v>0</v>
      </c>
      <c r="K450" s="369">
        <f t="shared" si="312"/>
        <v>0</v>
      </c>
      <c r="L450" s="369">
        <f t="shared" si="312"/>
        <v>0</v>
      </c>
      <c r="M450" s="369">
        <f t="shared" si="312"/>
        <v>0</v>
      </c>
      <c r="N450" s="369">
        <f t="shared" si="312"/>
        <v>0</v>
      </c>
      <c r="O450" s="369">
        <f t="shared" si="312"/>
        <v>0</v>
      </c>
      <c r="P450" s="369">
        <f t="shared" si="312"/>
        <v>0</v>
      </c>
      <c r="Q450" s="369">
        <f t="shared" si="312"/>
        <v>0</v>
      </c>
      <c r="R450" s="369">
        <f t="shared" si="312"/>
        <v>0</v>
      </c>
      <c r="S450" s="369">
        <f t="shared" si="312"/>
        <v>0</v>
      </c>
      <c r="T450" s="369">
        <f t="shared" si="312"/>
        <v>0</v>
      </c>
      <c r="U450" s="96">
        <f t="shared" si="312"/>
        <v>0</v>
      </c>
      <c r="V450" s="96">
        <f t="shared" si="312"/>
        <v>0</v>
      </c>
      <c r="W450" s="96">
        <f t="shared" si="312"/>
        <v>0</v>
      </c>
      <c r="X450" s="96">
        <f t="shared" si="312"/>
        <v>0</v>
      </c>
      <c r="Y450" s="96">
        <f t="shared" si="312"/>
        <v>0</v>
      </c>
      <c r="Z450" s="96">
        <f t="shared" si="312"/>
        <v>0</v>
      </c>
      <c r="AA450" s="96">
        <f t="shared" si="312"/>
        <v>0</v>
      </c>
      <c r="AB450" s="96">
        <f t="shared" si="312"/>
        <v>0</v>
      </c>
      <c r="AC450" s="96">
        <f t="shared" si="312"/>
        <v>0</v>
      </c>
      <c r="AD450" s="96">
        <f t="shared" si="312"/>
        <v>0</v>
      </c>
    </row>
    <row r="451" spans="5:30" ht="12" x14ac:dyDescent="0.2">
      <c r="E451" s="301"/>
      <c r="F451" s="94" t="str">
        <f>STRAT8_IND3</f>
        <v>Objetivo estratégico 8 Indicador 3</v>
      </c>
      <c r="G451" s="94" t="str">
        <f ca="1">OFFSET(Variables_Lu!$D$10,Basic_Setup!H78,0)</f>
        <v>Nutrition-specific</v>
      </c>
      <c r="H451" s="354">
        <f t="shared" ref="H451:AD451" si="313">H374/EXCHANGE_RATE</f>
        <v>0</v>
      </c>
      <c r="I451" s="355">
        <f t="shared" si="313"/>
        <v>0</v>
      </c>
      <c r="J451" s="356">
        <f t="shared" si="313"/>
        <v>0</v>
      </c>
      <c r="K451" s="369">
        <f t="shared" si="313"/>
        <v>0</v>
      </c>
      <c r="L451" s="369">
        <f t="shared" si="313"/>
        <v>0</v>
      </c>
      <c r="M451" s="369">
        <f t="shared" si="313"/>
        <v>0</v>
      </c>
      <c r="N451" s="369">
        <f t="shared" si="313"/>
        <v>0</v>
      </c>
      <c r="O451" s="369">
        <f t="shared" si="313"/>
        <v>0</v>
      </c>
      <c r="P451" s="369">
        <f t="shared" si="313"/>
        <v>0</v>
      </c>
      <c r="Q451" s="369">
        <f t="shared" si="313"/>
        <v>0</v>
      </c>
      <c r="R451" s="369">
        <f t="shared" si="313"/>
        <v>0</v>
      </c>
      <c r="S451" s="369">
        <f t="shared" si="313"/>
        <v>0</v>
      </c>
      <c r="T451" s="369">
        <f t="shared" si="313"/>
        <v>0</v>
      </c>
      <c r="U451" s="96">
        <f t="shared" si="313"/>
        <v>0</v>
      </c>
      <c r="V451" s="96">
        <f t="shared" si="313"/>
        <v>0</v>
      </c>
      <c r="W451" s="96">
        <f t="shared" si="313"/>
        <v>0</v>
      </c>
      <c r="X451" s="96">
        <f t="shared" si="313"/>
        <v>0</v>
      </c>
      <c r="Y451" s="96">
        <f t="shared" si="313"/>
        <v>0</v>
      </c>
      <c r="Z451" s="96">
        <f t="shared" si="313"/>
        <v>0</v>
      </c>
      <c r="AA451" s="96">
        <f t="shared" si="313"/>
        <v>0</v>
      </c>
      <c r="AB451" s="96">
        <f t="shared" si="313"/>
        <v>0</v>
      </c>
      <c r="AC451" s="96">
        <f t="shared" si="313"/>
        <v>0</v>
      </c>
      <c r="AD451" s="96">
        <f t="shared" si="313"/>
        <v>0</v>
      </c>
    </row>
    <row r="452" spans="5:30" ht="12" x14ac:dyDescent="0.2">
      <c r="E452" s="301"/>
      <c r="F452" s="94" t="str">
        <f>STRAT8_IND4</f>
        <v>Objetivo estratégico 8 Indicador 4</v>
      </c>
      <c r="G452" s="94" t="str">
        <f ca="1">OFFSET(Variables_Lu!$D$10,Basic_Setup!H79,0)</f>
        <v>Nutrition-specific</v>
      </c>
      <c r="H452" s="354">
        <f t="shared" ref="H452:AD452" si="314">H375/EXCHANGE_RATE</f>
        <v>0</v>
      </c>
      <c r="I452" s="355">
        <f t="shared" si="314"/>
        <v>0</v>
      </c>
      <c r="J452" s="356">
        <f t="shared" si="314"/>
        <v>0</v>
      </c>
      <c r="K452" s="369">
        <f t="shared" si="314"/>
        <v>0</v>
      </c>
      <c r="L452" s="369">
        <f t="shared" si="314"/>
        <v>0</v>
      </c>
      <c r="M452" s="369">
        <f t="shared" si="314"/>
        <v>0</v>
      </c>
      <c r="N452" s="369">
        <f t="shared" si="314"/>
        <v>0</v>
      </c>
      <c r="O452" s="369">
        <f t="shared" si="314"/>
        <v>0</v>
      </c>
      <c r="P452" s="369">
        <f t="shared" si="314"/>
        <v>0</v>
      </c>
      <c r="Q452" s="369">
        <f t="shared" si="314"/>
        <v>0</v>
      </c>
      <c r="R452" s="369">
        <f t="shared" si="314"/>
        <v>0</v>
      </c>
      <c r="S452" s="369">
        <f t="shared" si="314"/>
        <v>0</v>
      </c>
      <c r="T452" s="369">
        <f t="shared" si="314"/>
        <v>0</v>
      </c>
      <c r="U452" s="96">
        <f t="shared" si="314"/>
        <v>0</v>
      </c>
      <c r="V452" s="96">
        <f t="shared" si="314"/>
        <v>0</v>
      </c>
      <c r="W452" s="96">
        <f t="shared" si="314"/>
        <v>0</v>
      </c>
      <c r="X452" s="96">
        <f t="shared" si="314"/>
        <v>0</v>
      </c>
      <c r="Y452" s="96">
        <f t="shared" si="314"/>
        <v>0</v>
      </c>
      <c r="Z452" s="96">
        <f t="shared" si="314"/>
        <v>0</v>
      </c>
      <c r="AA452" s="96">
        <f t="shared" si="314"/>
        <v>0</v>
      </c>
      <c r="AB452" s="96">
        <f t="shared" si="314"/>
        <v>0</v>
      </c>
      <c r="AC452" s="96">
        <f t="shared" si="314"/>
        <v>0</v>
      </c>
      <c r="AD452" s="96">
        <f t="shared" si="314"/>
        <v>0</v>
      </c>
    </row>
    <row r="453" spans="5:30" ht="12" x14ac:dyDescent="0.2">
      <c r="E453" s="301"/>
      <c r="F453" s="94" t="str">
        <f>STRAT8_IND5</f>
        <v>Objetivo estratégico 8 Indicador 5</v>
      </c>
      <c r="G453" s="94" t="str">
        <f ca="1">OFFSET(Variables_Lu!$D$10,Basic_Setup!H80,0)</f>
        <v>Nutrition-specific</v>
      </c>
      <c r="H453" s="354">
        <f t="shared" ref="H453:AD453" si="315">H376/EXCHANGE_RATE</f>
        <v>0</v>
      </c>
      <c r="I453" s="355">
        <f t="shared" si="315"/>
        <v>0</v>
      </c>
      <c r="J453" s="356">
        <f t="shared" si="315"/>
        <v>0</v>
      </c>
      <c r="K453" s="369">
        <f t="shared" si="315"/>
        <v>0</v>
      </c>
      <c r="L453" s="369">
        <f t="shared" si="315"/>
        <v>0</v>
      </c>
      <c r="M453" s="369">
        <f t="shared" si="315"/>
        <v>0</v>
      </c>
      <c r="N453" s="369">
        <f t="shared" si="315"/>
        <v>0</v>
      </c>
      <c r="O453" s="369">
        <f t="shared" si="315"/>
        <v>0</v>
      </c>
      <c r="P453" s="369">
        <f t="shared" si="315"/>
        <v>0</v>
      </c>
      <c r="Q453" s="369">
        <f t="shared" si="315"/>
        <v>0</v>
      </c>
      <c r="R453" s="369">
        <f t="shared" si="315"/>
        <v>0</v>
      </c>
      <c r="S453" s="369">
        <f t="shared" si="315"/>
        <v>0</v>
      </c>
      <c r="T453" s="369">
        <f t="shared" si="315"/>
        <v>0</v>
      </c>
      <c r="U453" s="96">
        <f t="shared" si="315"/>
        <v>0</v>
      </c>
      <c r="V453" s="96">
        <f t="shared" si="315"/>
        <v>0</v>
      </c>
      <c r="W453" s="96">
        <f t="shared" si="315"/>
        <v>0</v>
      </c>
      <c r="X453" s="96">
        <f t="shared" si="315"/>
        <v>0</v>
      </c>
      <c r="Y453" s="96">
        <f t="shared" si="315"/>
        <v>0</v>
      </c>
      <c r="Z453" s="96">
        <f t="shared" si="315"/>
        <v>0</v>
      </c>
      <c r="AA453" s="96">
        <f t="shared" si="315"/>
        <v>0</v>
      </c>
      <c r="AB453" s="96">
        <f t="shared" si="315"/>
        <v>0</v>
      </c>
      <c r="AC453" s="96">
        <f t="shared" si="315"/>
        <v>0</v>
      </c>
      <c r="AD453" s="96">
        <f t="shared" si="315"/>
        <v>0</v>
      </c>
    </row>
    <row r="454" spans="5:30" ht="12" x14ac:dyDescent="0.2">
      <c r="E454" s="301"/>
      <c r="F454" s="338" t="str">
        <f>"Subtotal: "&amp;E293</f>
        <v>Subtotal: Objetivo estratégico 8: [No está en uso]</v>
      </c>
      <c r="G454" s="333"/>
      <c r="H454" s="357">
        <f t="shared" ref="H454:AD454" si="316">H377/EXCHANGE_RATE</f>
        <v>0</v>
      </c>
      <c r="I454" s="358">
        <f t="shared" si="316"/>
        <v>0</v>
      </c>
      <c r="J454" s="358">
        <f t="shared" si="316"/>
        <v>0</v>
      </c>
      <c r="K454" s="370">
        <f t="shared" si="316"/>
        <v>0</v>
      </c>
      <c r="L454" s="370">
        <f t="shared" si="316"/>
        <v>0</v>
      </c>
      <c r="M454" s="370">
        <f t="shared" si="316"/>
        <v>0</v>
      </c>
      <c r="N454" s="370">
        <f t="shared" si="316"/>
        <v>0</v>
      </c>
      <c r="O454" s="370">
        <f t="shared" si="316"/>
        <v>0</v>
      </c>
      <c r="P454" s="370">
        <f t="shared" si="316"/>
        <v>0</v>
      </c>
      <c r="Q454" s="370">
        <f t="shared" si="316"/>
        <v>0</v>
      </c>
      <c r="R454" s="370">
        <f t="shared" si="316"/>
        <v>0</v>
      </c>
      <c r="S454" s="370">
        <f t="shared" si="316"/>
        <v>0</v>
      </c>
      <c r="T454" s="370">
        <f t="shared" si="316"/>
        <v>0</v>
      </c>
      <c r="U454" s="337">
        <f t="shared" si="316"/>
        <v>0</v>
      </c>
      <c r="V454" s="337">
        <f t="shared" si="316"/>
        <v>0</v>
      </c>
      <c r="W454" s="337">
        <f t="shared" si="316"/>
        <v>0</v>
      </c>
      <c r="X454" s="337">
        <f t="shared" si="316"/>
        <v>0</v>
      </c>
      <c r="Y454" s="337">
        <f t="shared" si="316"/>
        <v>0</v>
      </c>
      <c r="Z454" s="337">
        <f t="shared" si="316"/>
        <v>0</v>
      </c>
      <c r="AA454" s="337">
        <f t="shared" si="316"/>
        <v>0</v>
      </c>
      <c r="AB454" s="337">
        <f t="shared" si="316"/>
        <v>0</v>
      </c>
      <c r="AC454" s="337">
        <f t="shared" si="316"/>
        <v>0</v>
      </c>
      <c r="AD454" s="337">
        <f t="shared" si="316"/>
        <v>0</v>
      </c>
    </row>
    <row r="455" spans="5:30" ht="12" x14ac:dyDescent="0.2">
      <c r="E455" s="301" t="str">
        <f>Strategy9</f>
        <v>Objetivo estratégico 9: [No está en uso]</v>
      </c>
      <c r="G455" s="94"/>
      <c r="H455" s="363"/>
      <c r="I455" s="364"/>
      <c r="J455" s="356"/>
      <c r="K455" s="369"/>
      <c r="L455" s="369"/>
      <c r="M455" s="369"/>
      <c r="N455" s="369"/>
      <c r="O455" s="369"/>
      <c r="P455" s="369"/>
      <c r="Q455" s="369"/>
      <c r="R455" s="369"/>
      <c r="S455" s="369"/>
      <c r="T455" s="369"/>
      <c r="U455" s="96"/>
      <c r="V455" s="96"/>
      <c r="W455" s="96"/>
      <c r="X455" s="96"/>
      <c r="Y455" s="96"/>
      <c r="Z455" s="96"/>
      <c r="AA455" s="96"/>
      <c r="AB455" s="96"/>
      <c r="AC455" s="96"/>
      <c r="AD455" s="96"/>
    </row>
    <row r="456" spans="5:30" ht="12" x14ac:dyDescent="0.2">
      <c r="E456" s="301"/>
      <c r="F456" s="94" t="str">
        <f>STRAT9_IND1</f>
        <v>Objetivo estratégico 9 Indicador 1</v>
      </c>
      <c r="G456" s="94" t="str">
        <f ca="1">OFFSET(Variables_Lu!$D$10,Basic_Setup!H82,0)</f>
        <v>Nutrition-specific</v>
      </c>
      <c r="H456" s="354">
        <f t="shared" ref="H456:AD456" si="317">H379/EXCHANGE_RATE</f>
        <v>0</v>
      </c>
      <c r="I456" s="355">
        <f t="shared" si="317"/>
        <v>0</v>
      </c>
      <c r="J456" s="356">
        <f t="shared" si="317"/>
        <v>0</v>
      </c>
      <c r="K456" s="369">
        <f t="shared" si="317"/>
        <v>0</v>
      </c>
      <c r="L456" s="369">
        <f t="shared" si="317"/>
        <v>0</v>
      </c>
      <c r="M456" s="369">
        <f t="shared" si="317"/>
        <v>0</v>
      </c>
      <c r="N456" s="369">
        <f t="shared" si="317"/>
        <v>0</v>
      </c>
      <c r="O456" s="369">
        <f t="shared" si="317"/>
        <v>0</v>
      </c>
      <c r="P456" s="369">
        <f t="shared" si="317"/>
        <v>0</v>
      </c>
      <c r="Q456" s="369">
        <f t="shared" si="317"/>
        <v>0</v>
      </c>
      <c r="R456" s="369">
        <f t="shared" si="317"/>
        <v>0</v>
      </c>
      <c r="S456" s="369">
        <f t="shared" si="317"/>
        <v>0</v>
      </c>
      <c r="T456" s="369">
        <f t="shared" si="317"/>
        <v>0</v>
      </c>
      <c r="U456" s="96">
        <f t="shared" si="317"/>
        <v>0</v>
      </c>
      <c r="V456" s="96">
        <f t="shared" si="317"/>
        <v>0</v>
      </c>
      <c r="W456" s="96">
        <f t="shared" si="317"/>
        <v>0</v>
      </c>
      <c r="X456" s="96">
        <f t="shared" si="317"/>
        <v>0</v>
      </c>
      <c r="Y456" s="96">
        <f t="shared" si="317"/>
        <v>0</v>
      </c>
      <c r="Z456" s="96">
        <f t="shared" si="317"/>
        <v>0</v>
      </c>
      <c r="AA456" s="96">
        <f t="shared" si="317"/>
        <v>0</v>
      </c>
      <c r="AB456" s="96">
        <f t="shared" si="317"/>
        <v>0</v>
      </c>
      <c r="AC456" s="96">
        <f t="shared" si="317"/>
        <v>0</v>
      </c>
      <c r="AD456" s="96">
        <f t="shared" si="317"/>
        <v>0</v>
      </c>
    </row>
    <row r="457" spans="5:30" ht="12" x14ac:dyDescent="0.2">
      <c r="E457" s="301"/>
      <c r="F457" s="94" t="str">
        <f>STRAT9_IND2</f>
        <v>Objetivo estratégico 9 Indicador 2</v>
      </c>
      <c r="G457" s="94" t="str">
        <f ca="1">OFFSET(Variables_Lu!$D$10,Basic_Setup!H83,0)</f>
        <v>Nutrition-specific</v>
      </c>
      <c r="H457" s="354">
        <f t="shared" ref="H457:AD457" si="318">H380/EXCHANGE_RATE</f>
        <v>0</v>
      </c>
      <c r="I457" s="355">
        <f t="shared" si="318"/>
        <v>0</v>
      </c>
      <c r="J457" s="356">
        <f t="shared" si="318"/>
        <v>0</v>
      </c>
      <c r="K457" s="369">
        <f t="shared" si="318"/>
        <v>0</v>
      </c>
      <c r="L457" s="369">
        <f t="shared" si="318"/>
        <v>0</v>
      </c>
      <c r="M457" s="369">
        <f t="shared" si="318"/>
        <v>0</v>
      </c>
      <c r="N457" s="369">
        <f t="shared" si="318"/>
        <v>0</v>
      </c>
      <c r="O457" s="369">
        <f t="shared" si="318"/>
        <v>0</v>
      </c>
      <c r="P457" s="369">
        <f t="shared" si="318"/>
        <v>0</v>
      </c>
      <c r="Q457" s="369">
        <f t="shared" si="318"/>
        <v>0</v>
      </c>
      <c r="R457" s="369">
        <f t="shared" si="318"/>
        <v>0</v>
      </c>
      <c r="S457" s="369">
        <f t="shared" si="318"/>
        <v>0</v>
      </c>
      <c r="T457" s="369">
        <f t="shared" si="318"/>
        <v>0</v>
      </c>
      <c r="U457" s="96">
        <f t="shared" si="318"/>
        <v>0</v>
      </c>
      <c r="V457" s="96">
        <f t="shared" si="318"/>
        <v>0</v>
      </c>
      <c r="W457" s="96">
        <f t="shared" si="318"/>
        <v>0</v>
      </c>
      <c r="X457" s="96">
        <f t="shared" si="318"/>
        <v>0</v>
      </c>
      <c r="Y457" s="96">
        <f t="shared" si="318"/>
        <v>0</v>
      </c>
      <c r="Z457" s="96">
        <f t="shared" si="318"/>
        <v>0</v>
      </c>
      <c r="AA457" s="96">
        <f t="shared" si="318"/>
        <v>0</v>
      </c>
      <c r="AB457" s="96">
        <f t="shared" si="318"/>
        <v>0</v>
      </c>
      <c r="AC457" s="96">
        <f t="shared" si="318"/>
        <v>0</v>
      </c>
      <c r="AD457" s="96">
        <f t="shared" si="318"/>
        <v>0</v>
      </c>
    </row>
    <row r="458" spans="5:30" ht="12" x14ac:dyDescent="0.2">
      <c r="E458" s="301"/>
      <c r="F458" s="94" t="str">
        <f>STRAT9_IND3</f>
        <v>Objetivo estratégico 9 Indicador 3</v>
      </c>
      <c r="G458" s="94" t="str">
        <f ca="1">OFFSET(Variables_Lu!$D$10,Basic_Setup!H84,0)</f>
        <v>Nutrition-specific</v>
      </c>
      <c r="H458" s="354">
        <f t="shared" ref="H458:AD458" si="319">H381/EXCHANGE_RATE</f>
        <v>0</v>
      </c>
      <c r="I458" s="355">
        <f t="shared" si="319"/>
        <v>0</v>
      </c>
      <c r="J458" s="356">
        <f t="shared" si="319"/>
        <v>0</v>
      </c>
      <c r="K458" s="369">
        <f t="shared" si="319"/>
        <v>0</v>
      </c>
      <c r="L458" s="369">
        <f t="shared" si="319"/>
        <v>0</v>
      </c>
      <c r="M458" s="369">
        <f t="shared" si="319"/>
        <v>0</v>
      </c>
      <c r="N458" s="369">
        <f t="shared" si="319"/>
        <v>0</v>
      </c>
      <c r="O458" s="369">
        <f t="shared" si="319"/>
        <v>0</v>
      </c>
      <c r="P458" s="369">
        <f t="shared" si="319"/>
        <v>0</v>
      </c>
      <c r="Q458" s="369">
        <f t="shared" si="319"/>
        <v>0</v>
      </c>
      <c r="R458" s="369">
        <f t="shared" si="319"/>
        <v>0</v>
      </c>
      <c r="S458" s="369">
        <f t="shared" si="319"/>
        <v>0</v>
      </c>
      <c r="T458" s="369">
        <f t="shared" si="319"/>
        <v>0</v>
      </c>
      <c r="U458" s="96">
        <f t="shared" si="319"/>
        <v>0</v>
      </c>
      <c r="V458" s="96">
        <f t="shared" si="319"/>
        <v>0</v>
      </c>
      <c r="W458" s="96">
        <f t="shared" si="319"/>
        <v>0</v>
      </c>
      <c r="X458" s="96">
        <f t="shared" si="319"/>
        <v>0</v>
      </c>
      <c r="Y458" s="96">
        <f t="shared" si="319"/>
        <v>0</v>
      </c>
      <c r="Z458" s="96">
        <f t="shared" si="319"/>
        <v>0</v>
      </c>
      <c r="AA458" s="96">
        <f t="shared" si="319"/>
        <v>0</v>
      </c>
      <c r="AB458" s="96">
        <f t="shared" si="319"/>
        <v>0</v>
      </c>
      <c r="AC458" s="96">
        <f t="shared" si="319"/>
        <v>0</v>
      </c>
      <c r="AD458" s="96">
        <f t="shared" si="319"/>
        <v>0</v>
      </c>
    </row>
    <row r="459" spans="5:30" ht="11.25" customHeight="1" x14ac:dyDescent="0.2">
      <c r="E459" s="301"/>
      <c r="F459" s="94" t="str">
        <f>STRAT9_IND4</f>
        <v>Objetivo estratégico 9 Indicador 4</v>
      </c>
      <c r="G459" s="94" t="str">
        <f ca="1">OFFSET(Variables_Lu!$D$10,Basic_Setup!H85,0)</f>
        <v>Nutrition-specific</v>
      </c>
      <c r="H459" s="354">
        <f t="shared" ref="H459:AD459" si="320">H382/EXCHANGE_RATE</f>
        <v>0</v>
      </c>
      <c r="I459" s="355">
        <f t="shared" si="320"/>
        <v>0</v>
      </c>
      <c r="J459" s="356">
        <f t="shared" si="320"/>
        <v>0</v>
      </c>
      <c r="K459" s="369">
        <f t="shared" si="320"/>
        <v>0</v>
      </c>
      <c r="L459" s="369">
        <f t="shared" si="320"/>
        <v>0</v>
      </c>
      <c r="M459" s="369">
        <f t="shared" si="320"/>
        <v>0</v>
      </c>
      <c r="N459" s="369">
        <f t="shared" si="320"/>
        <v>0</v>
      </c>
      <c r="O459" s="369">
        <f t="shared" si="320"/>
        <v>0</v>
      </c>
      <c r="P459" s="369">
        <f t="shared" si="320"/>
        <v>0</v>
      </c>
      <c r="Q459" s="369">
        <f t="shared" si="320"/>
        <v>0</v>
      </c>
      <c r="R459" s="369">
        <f t="shared" si="320"/>
        <v>0</v>
      </c>
      <c r="S459" s="369">
        <f t="shared" si="320"/>
        <v>0</v>
      </c>
      <c r="T459" s="369">
        <f t="shared" si="320"/>
        <v>0</v>
      </c>
      <c r="U459" s="96">
        <f t="shared" si="320"/>
        <v>0</v>
      </c>
      <c r="V459" s="96">
        <f t="shared" si="320"/>
        <v>0</v>
      </c>
      <c r="W459" s="96">
        <f t="shared" si="320"/>
        <v>0</v>
      </c>
      <c r="X459" s="96">
        <f t="shared" si="320"/>
        <v>0</v>
      </c>
      <c r="Y459" s="96">
        <f t="shared" si="320"/>
        <v>0</v>
      </c>
      <c r="Z459" s="96">
        <f t="shared" si="320"/>
        <v>0</v>
      </c>
      <c r="AA459" s="96">
        <f t="shared" si="320"/>
        <v>0</v>
      </c>
      <c r="AB459" s="96">
        <f t="shared" si="320"/>
        <v>0</v>
      </c>
      <c r="AC459" s="96">
        <f t="shared" si="320"/>
        <v>0</v>
      </c>
      <c r="AD459" s="96">
        <f t="shared" si="320"/>
        <v>0</v>
      </c>
    </row>
    <row r="460" spans="5:30" ht="12" x14ac:dyDescent="0.2">
      <c r="E460" s="301"/>
      <c r="F460" s="94" t="str">
        <f>STRAT9_IND5</f>
        <v>Objetivo estratégico 9 Indicador 5</v>
      </c>
      <c r="G460" s="94" t="str">
        <f ca="1">OFFSET(Variables_Lu!$D$10,Basic_Setup!H86,0)</f>
        <v>Nutrition-specific</v>
      </c>
      <c r="H460" s="354">
        <f t="shared" ref="H460:AD460" si="321">H383/EXCHANGE_RATE</f>
        <v>0</v>
      </c>
      <c r="I460" s="355">
        <f t="shared" si="321"/>
        <v>0</v>
      </c>
      <c r="J460" s="356">
        <f t="shared" si="321"/>
        <v>0</v>
      </c>
      <c r="K460" s="369">
        <f t="shared" si="321"/>
        <v>0</v>
      </c>
      <c r="L460" s="369">
        <f t="shared" si="321"/>
        <v>0</v>
      </c>
      <c r="M460" s="369">
        <f t="shared" si="321"/>
        <v>0</v>
      </c>
      <c r="N460" s="369">
        <f t="shared" si="321"/>
        <v>0</v>
      </c>
      <c r="O460" s="369">
        <f t="shared" si="321"/>
        <v>0</v>
      </c>
      <c r="P460" s="369">
        <f t="shared" si="321"/>
        <v>0</v>
      </c>
      <c r="Q460" s="369">
        <f t="shared" si="321"/>
        <v>0</v>
      </c>
      <c r="R460" s="369">
        <f t="shared" si="321"/>
        <v>0</v>
      </c>
      <c r="S460" s="369">
        <f t="shared" si="321"/>
        <v>0</v>
      </c>
      <c r="T460" s="369">
        <f t="shared" si="321"/>
        <v>0</v>
      </c>
      <c r="U460" s="96">
        <f t="shared" si="321"/>
        <v>0</v>
      </c>
      <c r="V460" s="96">
        <f t="shared" si="321"/>
        <v>0</v>
      </c>
      <c r="W460" s="96">
        <f t="shared" si="321"/>
        <v>0</v>
      </c>
      <c r="X460" s="96">
        <f t="shared" si="321"/>
        <v>0</v>
      </c>
      <c r="Y460" s="96">
        <f t="shared" si="321"/>
        <v>0</v>
      </c>
      <c r="Z460" s="96">
        <f t="shared" si="321"/>
        <v>0</v>
      </c>
      <c r="AA460" s="96">
        <f t="shared" si="321"/>
        <v>0</v>
      </c>
      <c r="AB460" s="96">
        <f t="shared" si="321"/>
        <v>0</v>
      </c>
      <c r="AC460" s="96">
        <f t="shared" si="321"/>
        <v>0</v>
      </c>
      <c r="AD460" s="96">
        <f t="shared" si="321"/>
        <v>0</v>
      </c>
    </row>
    <row r="461" spans="5:30" ht="12" x14ac:dyDescent="0.2">
      <c r="E461" s="301"/>
      <c r="F461" s="338" t="str">
        <f>"Subtotal: "&amp;E300</f>
        <v>Subtotal: Objetivo estratégico 9: [No está en uso]</v>
      </c>
      <c r="G461" s="333"/>
      <c r="H461" s="357">
        <f t="shared" ref="H461:AD461" si="322">H384/EXCHANGE_RATE</f>
        <v>0</v>
      </c>
      <c r="I461" s="358">
        <f t="shared" si="322"/>
        <v>0</v>
      </c>
      <c r="J461" s="358">
        <f t="shared" si="322"/>
        <v>0</v>
      </c>
      <c r="K461" s="370">
        <f t="shared" si="322"/>
        <v>0</v>
      </c>
      <c r="L461" s="370">
        <f t="shared" si="322"/>
        <v>0</v>
      </c>
      <c r="M461" s="370">
        <f t="shared" si="322"/>
        <v>0</v>
      </c>
      <c r="N461" s="370">
        <f t="shared" si="322"/>
        <v>0</v>
      </c>
      <c r="O461" s="370">
        <f t="shared" si="322"/>
        <v>0</v>
      </c>
      <c r="P461" s="370">
        <f t="shared" si="322"/>
        <v>0</v>
      </c>
      <c r="Q461" s="370">
        <f t="shared" si="322"/>
        <v>0</v>
      </c>
      <c r="R461" s="370">
        <f t="shared" si="322"/>
        <v>0</v>
      </c>
      <c r="S461" s="370">
        <f t="shared" si="322"/>
        <v>0</v>
      </c>
      <c r="T461" s="370">
        <f t="shared" si="322"/>
        <v>0</v>
      </c>
      <c r="U461" s="337">
        <f t="shared" si="322"/>
        <v>0</v>
      </c>
      <c r="V461" s="337">
        <f t="shared" si="322"/>
        <v>0</v>
      </c>
      <c r="W461" s="337">
        <f t="shared" si="322"/>
        <v>0</v>
      </c>
      <c r="X461" s="337">
        <f t="shared" si="322"/>
        <v>0</v>
      </c>
      <c r="Y461" s="337">
        <f t="shared" si="322"/>
        <v>0</v>
      </c>
      <c r="Z461" s="337">
        <f t="shared" si="322"/>
        <v>0</v>
      </c>
      <c r="AA461" s="337">
        <f t="shared" si="322"/>
        <v>0</v>
      </c>
      <c r="AB461" s="337">
        <f t="shared" si="322"/>
        <v>0</v>
      </c>
      <c r="AC461" s="337">
        <f t="shared" si="322"/>
        <v>0</v>
      </c>
      <c r="AD461" s="337">
        <f t="shared" si="322"/>
        <v>0</v>
      </c>
    </row>
    <row r="462" spans="5:30" ht="12" x14ac:dyDescent="0.2">
      <c r="E462" s="301" t="str">
        <f>Strategy10</f>
        <v>Objetivo estratégico 10: [No está en uso]</v>
      </c>
      <c r="G462" s="94"/>
      <c r="H462" s="363"/>
      <c r="I462" s="364"/>
      <c r="J462" s="356"/>
      <c r="K462" s="369"/>
      <c r="L462" s="369"/>
      <c r="M462" s="369"/>
      <c r="N462" s="369"/>
      <c r="O462" s="369"/>
      <c r="P462" s="369"/>
      <c r="Q462" s="369"/>
      <c r="R462" s="369"/>
      <c r="S462" s="369"/>
      <c r="T462" s="369"/>
      <c r="U462" s="96"/>
      <c r="V462" s="96"/>
      <c r="W462" s="96"/>
      <c r="X462" s="96"/>
      <c r="Y462" s="96"/>
      <c r="Z462" s="96"/>
      <c r="AA462" s="96"/>
      <c r="AB462" s="96"/>
      <c r="AC462" s="96"/>
      <c r="AD462" s="96"/>
    </row>
    <row r="463" spans="5:30" ht="12" x14ac:dyDescent="0.2">
      <c r="F463" s="94" t="str">
        <f>STRAT10_IND1</f>
        <v>Objetivo estratégico 10 Indicador 1</v>
      </c>
      <c r="G463" s="94" t="str">
        <f ca="1">OFFSET(Variables_Lu!$D$10,Basic_Setup!H88,0)</f>
        <v>Nutrition-specific</v>
      </c>
      <c r="H463" s="354">
        <f t="shared" ref="H463:AD463" si="323">H386/EXCHANGE_RATE</f>
        <v>0</v>
      </c>
      <c r="I463" s="355">
        <f t="shared" si="323"/>
        <v>0</v>
      </c>
      <c r="J463" s="356">
        <f t="shared" si="323"/>
        <v>0</v>
      </c>
      <c r="K463" s="369">
        <f t="shared" si="323"/>
        <v>0</v>
      </c>
      <c r="L463" s="369">
        <f t="shared" si="323"/>
        <v>0</v>
      </c>
      <c r="M463" s="369">
        <f t="shared" si="323"/>
        <v>0</v>
      </c>
      <c r="N463" s="369">
        <f t="shared" si="323"/>
        <v>0</v>
      </c>
      <c r="O463" s="369">
        <f t="shared" si="323"/>
        <v>0</v>
      </c>
      <c r="P463" s="369">
        <f t="shared" si="323"/>
        <v>0</v>
      </c>
      <c r="Q463" s="369">
        <f t="shared" si="323"/>
        <v>0</v>
      </c>
      <c r="R463" s="369">
        <f t="shared" si="323"/>
        <v>0</v>
      </c>
      <c r="S463" s="369">
        <f t="shared" si="323"/>
        <v>0</v>
      </c>
      <c r="T463" s="369">
        <f t="shared" si="323"/>
        <v>0</v>
      </c>
      <c r="U463" s="96">
        <f t="shared" si="323"/>
        <v>0</v>
      </c>
      <c r="V463" s="96">
        <f t="shared" si="323"/>
        <v>0</v>
      </c>
      <c r="W463" s="96">
        <f t="shared" si="323"/>
        <v>0</v>
      </c>
      <c r="X463" s="96">
        <f t="shared" si="323"/>
        <v>0</v>
      </c>
      <c r="Y463" s="96">
        <f t="shared" si="323"/>
        <v>0</v>
      </c>
      <c r="Z463" s="96">
        <f t="shared" si="323"/>
        <v>0</v>
      </c>
      <c r="AA463" s="96">
        <f t="shared" si="323"/>
        <v>0</v>
      </c>
      <c r="AB463" s="96">
        <f t="shared" si="323"/>
        <v>0</v>
      </c>
      <c r="AC463" s="96">
        <f t="shared" si="323"/>
        <v>0</v>
      </c>
      <c r="AD463" s="96">
        <f t="shared" si="323"/>
        <v>0</v>
      </c>
    </row>
    <row r="464" spans="5:30" ht="12" x14ac:dyDescent="0.2">
      <c r="F464" s="94" t="str">
        <f>STRAT10_IND2</f>
        <v>Objetivo estratégico 10 Indicador 2</v>
      </c>
      <c r="G464" s="94" t="str">
        <f ca="1">OFFSET(Variables_Lu!$D$10,Basic_Setup!H89,0)</f>
        <v>Nutrition-specific</v>
      </c>
      <c r="H464" s="354">
        <f t="shared" ref="H464:AD464" si="324">H387/EXCHANGE_RATE</f>
        <v>0</v>
      </c>
      <c r="I464" s="355">
        <f t="shared" si="324"/>
        <v>0</v>
      </c>
      <c r="J464" s="356">
        <f t="shared" si="324"/>
        <v>0</v>
      </c>
      <c r="K464" s="369">
        <f t="shared" si="324"/>
        <v>0</v>
      </c>
      <c r="L464" s="369">
        <f t="shared" si="324"/>
        <v>0</v>
      </c>
      <c r="M464" s="369">
        <f t="shared" si="324"/>
        <v>0</v>
      </c>
      <c r="N464" s="369">
        <f t="shared" si="324"/>
        <v>0</v>
      </c>
      <c r="O464" s="369">
        <f t="shared" si="324"/>
        <v>0</v>
      </c>
      <c r="P464" s="369">
        <f t="shared" si="324"/>
        <v>0</v>
      </c>
      <c r="Q464" s="369">
        <f t="shared" si="324"/>
        <v>0</v>
      </c>
      <c r="R464" s="369">
        <f t="shared" si="324"/>
        <v>0</v>
      </c>
      <c r="S464" s="369">
        <f t="shared" si="324"/>
        <v>0</v>
      </c>
      <c r="T464" s="369">
        <f t="shared" si="324"/>
        <v>0</v>
      </c>
      <c r="U464" s="96">
        <f t="shared" si="324"/>
        <v>0</v>
      </c>
      <c r="V464" s="96">
        <f t="shared" si="324"/>
        <v>0</v>
      </c>
      <c r="W464" s="96">
        <f t="shared" si="324"/>
        <v>0</v>
      </c>
      <c r="X464" s="96">
        <f t="shared" si="324"/>
        <v>0</v>
      </c>
      <c r="Y464" s="96">
        <f t="shared" si="324"/>
        <v>0</v>
      </c>
      <c r="Z464" s="96">
        <f t="shared" si="324"/>
        <v>0</v>
      </c>
      <c r="AA464" s="96">
        <f t="shared" si="324"/>
        <v>0</v>
      </c>
      <c r="AB464" s="96">
        <f t="shared" si="324"/>
        <v>0</v>
      </c>
      <c r="AC464" s="96">
        <f t="shared" si="324"/>
        <v>0</v>
      </c>
      <c r="AD464" s="96">
        <f t="shared" si="324"/>
        <v>0</v>
      </c>
    </row>
    <row r="465" spans="1:30" ht="12" x14ac:dyDescent="0.2">
      <c r="F465" s="94" t="str">
        <f>STRAT10_IND3</f>
        <v>Objetivo estratégico 10 Indicador 3</v>
      </c>
      <c r="G465" s="94" t="str">
        <f ca="1">OFFSET(Variables_Lu!$D$10,Basic_Setup!H90,0)</f>
        <v>Nutrition-specific</v>
      </c>
      <c r="H465" s="354">
        <f t="shared" ref="H465:AD465" si="325">H388/EXCHANGE_RATE</f>
        <v>0</v>
      </c>
      <c r="I465" s="355">
        <f t="shared" si="325"/>
        <v>0</v>
      </c>
      <c r="J465" s="356">
        <f t="shared" si="325"/>
        <v>0</v>
      </c>
      <c r="K465" s="369">
        <f t="shared" si="325"/>
        <v>0</v>
      </c>
      <c r="L465" s="369">
        <f t="shared" si="325"/>
        <v>0</v>
      </c>
      <c r="M465" s="369">
        <f t="shared" si="325"/>
        <v>0</v>
      </c>
      <c r="N465" s="369">
        <f t="shared" si="325"/>
        <v>0</v>
      </c>
      <c r="O465" s="369">
        <f t="shared" si="325"/>
        <v>0</v>
      </c>
      <c r="P465" s="369">
        <f t="shared" si="325"/>
        <v>0</v>
      </c>
      <c r="Q465" s="369">
        <f t="shared" si="325"/>
        <v>0</v>
      </c>
      <c r="R465" s="369">
        <f t="shared" si="325"/>
        <v>0</v>
      </c>
      <c r="S465" s="369">
        <f t="shared" si="325"/>
        <v>0</v>
      </c>
      <c r="T465" s="369">
        <f t="shared" si="325"/>
        <v>0</v>
      </c>
      <c r="U465" s="96">
        <f t="shared" si="325"/>
        <v>0</v>
      </c>
      <c r="V465" s="96">
        <f t="shared" si="325"/>
        <v>0</v>
      </c>
      <c r="W465" s="96">
        <f t="shared" si="325"/>
        <v>0</v>
      </c>
      <c r="X465" s="96">
        <f t="shared" si="325"/>
        <v>0</v>
      </c>
      <c r="Y465" s="96">
        <f t="shared" si="325"/>
        <v>0</v>
      </c>
      <c r="Z465" s="96">
        <f t="shared" si="325"/>
        <v>0</v>
      </c>
      <c r="AA465" s="96">
        <f t="shared" si="325"/>
        <v>0</v>
      </c>
      <c r="AB465" s="96">
        <f t="shared" si="325"/>
        <v>0</v>
      </c>
      <c r="AC465" s="96">
        <f t="shared" si="325"/>
        <v>0</v>
      </c>
      <c r="AD465" s="96">
        <f t="shared" si="325"/>
        <v>0</v>
      </c>
    </row>
    <row r="466" spans="1:30" ht="12" x14ac:dyDescent="0.2">
      <c r="F466" s="94" t="str">
        <f>STRAT10_IND4</f>
        <v>Objetivo estratégico 10 Indicador 4</v>
      </c>
      <c r="G466" s="94" t="str">
        <f ca="1">OFFSET(Variables_Lu!$D$10,Basic_Setup!H91,0)</f>
        <v>Nutrition-specific</v>
      </c>
      <c r="H466" s="354">
        <f t="shared" ref="H466:AD466" si="326">H389/EXCHANGE_RATE</f>
        <v>0</v>
      </c>
      <c r="I466" s="355">
        <f t="shared" si="326"/>
        <v>0</v>
      </c>
      <c r="J466" s="356">
        <f t="shared" si="326"/>
        <v>0</v>
      </c>
      <c r="K466" s="369">
        <f t="shared" si="326"/>
        <v>0</v>
      </c>
      <c r="L466" s="369">
        <f t="shared" si="326"/>
        <v>0</v>
      </c>
      <c r="M466" s="369">
        <f t="shared" si="326"/>
        <v>0</v>
      </c>
      <c r="N466" s="369">
        <f t="shared" si="326"/>
        <v>0</v>
      </c>
      <c r="O466" s="369">
        <f t="shared" si="326"/>
        <v>0</v>
      </c>
      <c r="P466" s="369">
        <f t="shared" si="326"/>
        <v>0</v>
      </c>
      <c r="Q466" s="369">
        <f t="shared" si="326"/>
        <v>0</v>
      </c>
      <c r="R466" s="369">
        <f t="shared" si="326"/>
        <v>0</v>
      </c>
      <c r="S466" s="369">
        <f t="shared" si="326"/>
        <v>0</v>
      </c>
      <c r="T466" s="369">
        <f t="shared" si="326"/>
        <v>0</v>
      </c>
      <c r="U466" s="96">
        <f t="shared" si="326"/>
        <v>0</v>
      </c>
      <c r="V466" s="96">
        <f t="shared" si="326"/>
        <v>0</v>
      </c>
      <c r="W466" s="96">
        <f t="shared" si="326"/>
        <v>0</v>
      </c>
      <c r="X466" s="96">
        <f t="shared" si="326"/>
        <v>0</v>
      </c>
      <c r="Y466" s="96">
        <f t="shared" si="326"/>
        <v>0</v>
      </c>
      <c r="Z466" s="96">
        <f t="shared" si="326"/>
        <v>0</v>
      </c>
      <c r="AA466" s="96">
        <f t="shared" si="326"/>
        <v>0</v>
      </c>
      <c r="AB466" s="96">
        <f t="shared" si="326"/>
        <v>0</v>
      </c>
      <c r="AC466" s="96">
        <f t="shared" si="326"/>
        <v>0</v>
      </c>
      <c r="AD466" s="96">
        <f t="shared" si="326"/>
        <v>0</v>
      </c>
    </row>
    <row r="467" spans="1:30" ht="12" x14ac:dyDescent="0.2">
      <c r="F467" s="94" t="str">
        <f>STRAT10_IND5</f>
        <v>Objetivo estratégico 10 Indicador 5</v>
      </c>
      <c r="G467" s="94" t="str">
        <f ca="1">OFFSET(Variables_Lu!$D$10,Basic_Setup!H92,0)</f>
        <v>Nutrition-specific</v>
      </c>
      <c r="H467" s="354">
        <f t="shared" ref="H467:AD467" si="327">H390/EXCHANGE_RATE</f>
        <v>0</v>
      </c>
      <c r="I467" s="355">
        <f t="shared" si="327"/>
        <v>0</v>
      </c>
      <c r="J467" s="356">
        <f t="shared" si="327"/>
        <v>0</v>
      </c>
      <c r="K467" s="369">
        <f t="shared" si="327"/>
        <v>0</v>
      </c>
      <c r="L467" s="369">
        <f t="shared" si="327"/>
        <v>0</v>
      </c>
      <c r="M467" s="369">
        <f t="shared" si="327"/>
        <v>0</v>
      </c>
      <c r="N467" s="369">
        <f t="shared" si="327"/>
        <v>0</v>
      </c>
      <c r="O467" s="369">
        <f t="shared" si="327"/>
        <v>0</v>
      </c>
      <c r="P467" s="369">
        <f t="shared" si="327"/>
        <v>0</v>
      </c>
      <c r="Q467" s="369">
        <f t="shared" si="327"/>
        <v>0</v>
      </c>
      <c r="R467" s="369">
        <f t="shared" si="327"/>
        <v>0</v>
      </c>
      <c r="S467" s="369">
        <f t="shared" si="327"/>
        <v>0</v>
      </c>
      <c r="T467" s="369">
        <f t="shared" si="327"/>
        <v>0</v>
      </c>
      <c r="U467" s="96">
        <f t="shared" si="327"/>
        <v>0</v>
      </c>
      <c r="V467" s="96">
        <f t="shared" si="327"/>
        <v>0</v>
      </c>
      <c r="W467" s="96">
        <f t="shared" si="327"/>
        <v>0</v>
      </c>
      <c r="X467" s="96">
        <f t="shared" si="327"/>
        <v>0</v>
      </c>
      <c r="Y467" s="96">
        <f t="shared" si="327"/>
        <v>0</v>
      </c>
      <c r="Z467" s="96">
        <f t="shared" si="327"/>
        <v>0</v>
      </c>
      <c r="AA467" s="96">
        <f t="shared" si="327"/>
        <v>0</v>
      </c>
      <c r="AB467" s="96">
        <f t="shared" si="327"/>
        <v>0</v>
      </c>
      <c r="AC467" s="96">
        <f t="shared" si="327"/>
        <v>0</v>
      </c>
      <c r="AD467" s="96">
        <f t="shared" si="327"/>
        <v>0</v>
      </c>
    </row>
    <row r="468" spans="1:30" ht="12.75" customHeight="1" x14ac:dyDescent="0.2">
      <c r="F468" s="338" t="str">
        <f>"Subtotal: "&amp;E307</f>
        <v>Subtotal: Objetivo estratégico 10: [No está en uso]</v>
      </c>
      <c r="G468" s="333"/>
      <c r="H468" s="357">
        <f t="shared" ref="H468:AD468" si="328">H391/EXCHANGE_RATE</f>
        <v>0</v>
      </c>
      <c r="I468" s="358">
        <f t="shared" si="328"/>
        <v>0</v>
      </c>
      <c r="J468" s="358">
        <f t="shared" si="328"/>
        <v>0</v>
      </c>
      <c r="K468" s="370">
        <f t="shared" si="328"/>
        <v>0</v>
      </c>
      <c r="L468" s="370">
        <f t="shared" si="328"/>
        <v>0</v>
      </c>
      <c r="M468" s="370">
        <f t="shared" si="328"/>
        <v>0</v>
      </c>
      <c r="N468" s="370">
        <f t="shared" si="328"/>
        <v>0</v>
      </c>
      <c r="O468" s="370">
        <f t="shared" si="328"/>
        <v>0</v>
      </c>
      <c r="P468" s="370">
        <f t="shared" si="328"/>
        <v>0</v>
      </c>
      <c r="Q468" s="370">
        <f t="shared" si="328"/>
        <v>0</v>
      </c>
      <c r="R468" s="370">
        <f t="shared" si="328"/>
        <v>0</v>
      </c>
      <c r="S468" s="370">
        <f t="shared" si="328"/>
        <v>0</v>
      </c>
      <c r="T468" s="370">
        <f t="shared" si="328"/>
        <v>0</v>
      </c>
      <c r="U468" s="337">
        <f t="shared" si="328"/>
        <v>0</v>
      </c>
      <c r="V468" s="337">
        <f t="shared" si="328"/>
        <v>0</v>
      </c>
      <c r="W468" s="337">
        <f t="shared" si="328"/>
        <v>0</v>
      </c>
      <c r="X468" s="337">
        <f t="shared" si="328"/>
        <v>0</v>
      </c>
      <c r="Y468" s="337">
        <f t="shared" si="328"/>
        <v>0</v>
      </c>
      <c r="Z468" s="337">
        <f t="shared" si="328"/>
        <v>0</v>
      </c>
      <c r="AA468" s="337">
        <f t="shared" si="328"/>
        <v>0</v>
      </c>
      <c r="AB468" s="337">
        <f t="shared" si="328"/>
        <v>0</v>
      </c>
      <c r="AC468" s="337">
        <f t="shared" si="328"/>
        <v>0</v>
      </c>
      <c r="AD468" s="337">
        <f t="shared" si="328"/>
        <v>0</v>
      </c>
    </row>
    <row r="469" spans="1:30" ht="12" x14ac:dyDescent="0.2">
      <c r="F469" s="142" t="str">
        <f>"Total "&amp;" ("&amp;E240&amp;")"</f>
        <v>Total  (USD)</v>
      </c>
      <c r="G469" s="142"/>
      <c r="H469" s="360">
        <f t="shared" ref="H469:AD469" si="329">H392/EXCHANGE_RATE</f>
        <v>93607859.740840167</v>
      </c>
      <c r="I469" s="360">
        <f t="shared" si="329"/>
        <v>14428516.272508919</v>
      </c>
      <c r="J469" s="361">
        <f t="shared" si="329"/>
        <v>79179343.468331248</v>
      </c>
      <c r="K469" s="371">
        <f t="shared" si="329"/>
        <v>2374731.166675</v>
      </c>
      <c r="L469" s="371">
        <f t="shared" si="329"/>
        <v>272464.74191875005</v>
      </c>
      <c r="M469" s="371">
        <f t="shared" si="329"/>
        <v>715000</v>
      </c>
      <c r="N469" s="371">
        <f t="shared" si="329"/>
        <v>76537.262124999994</v>
      </c>
      <c r="O469" s="371">
        <f t="shared" si="329"/>
        <v>32927.408300000003</v>
      </c>
      <c r="P469" s="371">
        <f t="shared" si="329"/>
        <v>11572039.857362499</v>
      </c>
      <c r="Q469" s="371">
        <f t="shared" si="329"/>
        <v>1441271.5733</v>
      </c>
      <c r="R469" s="371">
        <f t="shared" si="329"/>
        <v>70855.45865</v>
      </c>
      <c r="S469" s="371">
        <f t="shared" si="329"/>
        <v>0</v>
      </c>
      <c r="T469" s="371">
        <f t="shared" si="329"/>
        <v>0</v>
      </c>
      <c r="U469" s="371">
        <f t="shared" si="329"/>
        <v>7608000</v>
      </c>
      <c r="V469" s="371">
        <f t="shared" si="329"/>
        <v>35000</v>
      </c>
      <c r="W469" s="371">
        <f t="shared" si="329"/>
        <v>50513992</v>
      </c>
      <c r="X469" s="371">
        <f t="shared" si="329"/>
        <v>641524</v>
      </c>
      <c r="Y469" s="371">
        <f t="shared" si="329"/>
        <v>3825000</v>
      </c>
      <c r="Z469" s="371">
        <f t="shared" si="329"/>
        <v>0</v>
      </c>
      <c r="AA469" s="371">
        <f t="shared" si="329"/>
        <v>0</v>
      </c>
      <c r="AB469" s="371">
        <f t="shared" si="329"/>
        <v>0</v>
      </c>
      <c r="AC469" s="371">
        <f t="shared" si="329"/>
        <v>0</v>
      </c>
      <c r="AD469" s="371">
        <f t="shared" si="329"/>
        <v>0</v>
      </c>
    </row>
    <row r="471" spans="1:30" s="1" customFormat="1" ht="17.399999999999999" x14ac:dyDescent="0.2">
      <c r="A471" s="35" t="s">
        <v>77</v>
      </c>
      <c r="B471" s="1" t="str">
        <f>"Detailed Report of Financial Requirements, Financing Available (by Contributor), and Financial Gap -"&amp;Ts_First_Fin_Yr+2</f>
        <v>Detailed Report of Financial Requirements, Financing Available (by Contributor), and Financial Gap -2021</v>
      </c>
      <c r="E471" s="304"/>
      <c r="F471" s="99"/>
      <c r="G471" s="99"/>
    </row>
    <row r="473" spans="1:30" ht="17.399999999999999" x14ac:dyDescent="0.2">
      <c r="E473" s="305" t="str">
        <f>CURR_LCU_ABBR</f>
        <v>GOZ</v>
      </c>
    </row>
    <row r="475" spans="1:30" ht="84" x14ac:dyDescent="0.2">
      <c r="E475" s="303" t="s">
        <v>140</v>
      </c>
      <c r="F475" s="10"/>
      <c r="G475" s="302" t="s">
        <v>482</v>
      </c>
      <c r="H475" s="340" t="s">
        <v>143</v>
      </c>
      <c r="I475" s="341" t="s">
        <v>565</v>
      </c>
      <c r="J475" s="342" t="s">
        <v>141</v>
      </c>
      <c r="K475" s="339" t="str">
        <f>Government1</f>
        <v>Ministerio de Agricultura y Ganadería</v>
      </c>
      <c r="L475" s="339" t="str">
        <f>Government2</f>
        <v>Ministerio de Energía y Minas</v>
      </c>
      <c r="M475" s="339" t="str">
        <f>Government3</f>
        <v>Ministerio de Educación Nacional, de Educación Superior e Investigación Científica</v>
      </c>
      <c r="N475" s="339" t="str">
        <f>Government4</f>
        <v>Ministerio de Medioambiente</v>
      </c>
      <c r="O475" s="339" t="str">
        <f>Government5</f>
        <v>Ministerio de Servicio Público</v>
      </c>
      <c r="P475" s="339" t="str">
        <f>Government6</f>
        <v>Ministerio de Salud Pública y Lucha contra el SIDA</v>
      </c>
      <c r="Q475" s="339" t="str">
        <f>Government7</f>
        <v xml:space="preserve">Ministerio de Derechos Humanos, Asuntos Sociales y Género </v>
      </c>
      <c r="R475" s="339" t="str">
        <f>Government8</f>
        <v>Ministerio de Desarrollo Municipal</v>
      </c>
      <c r="S475" s="339" t="str">
        <f>Government9</f>
        <v>[No está en uso]</v>
      </c>
      <c r="T475" s="339" t="str">
        <f>Government10</f>
        <v>[No está en uso]</v>
      </c>
      <c r="U475" s="97" t="str">
        <f>Partner1</f>
        <v>UNICEF</v>
      </c>
      <c r="V475" s="97" t="str">
        <f>Partner2</f>
        <v>Organización Mundial de la Salud</v>
      </c>
      <c r="W475" s="97" t="str">
        <f>Partner3</f>
        <v>Banco Mundial</v>
      </c>
      <c r="X475" s="97" t="str">
        <f>Partner4</f>
        <v>Organización de las Naciones Unidas para la Alimentación y la Agricultura</v>
      </c>
      <c r="Y475" s="97" t="str">
        <f>Partner5</f>
        <v>Programa Mundial de Alimentos</v>
      </c>
      <c r="Z475" s="97" t="str">
        <f>Partner6</f>
        <v>[No está en uso]</v>
      </c>
      <c r="AA475" s="97" t="str">
        <f>Partner7</f>
        <v>[No está en uso]</v>
      </c>
      <c r="AB475" s="97" t="str">
        <f>Partner8</f>
        <v>[No está en uso]</v>
      </c>
      <c r="AC475" s="97" t="str">
        <f>Partner9</f>
        <v>[No está en uso]</v>
      </c>
      <c r="AD475" s="97" t="str">
        <f>Partner10</f>
        <v>[No está en uso]</v>
      </c>
    </row>
    <row r="476" spans="1:30" x14ac:dyDescent="0.2">
      <c r="H476" s="372"/>
      <c r="I476" s="372"/>
      <c r="J476" s="372"/>
    </row>
    <row r="477" spans="1:30" ht="12" x14ac:dyDescent="0.2">
      <c r="E477" s="301" t="str">
        <f>Strategy1</f>
        <v>Objetivo estratégico 1: Fortalecer la gobernanza de la nutrición</v>
      </c>
      <c r="H477" s="343"/>
      <c r="I477" s="344"/>
      <c r="J477" s="345"/>
      <c r="K477" s="368"/>
      <c r="L477" s="368"/>
      <c r="M477" s="368"/>
      <c r="N477" s="368"/>
      <c r="O477" s="368"/>
      <c r="P477" s="368"/>
      <c r="Q477" s="368"/>
      <c r="R477" s="368"/>
      <c r="S477" s="368"/>
      <c r="T477" s="368"/>
      <c r="U477" s="179"/>
      <c r="V477" s="179"/>
      <c r="W477" s="179"/>
      <c r="X477" s="179"/>
      <c r="Y477" s="179"/>
      <c r="Z477" s="179"/>
      <c r="AA477" s="179"/>
      <c r="AB477" s="179"/>
      <c r="AC477" s="179"/>
      <c r="AD477" s="179"/>
    </row>
    <row r="478" spans="1:30" ht="12" x14ac:dyDescent="0.2">
      <c r="F478" s="94" t="str">
        <f>STRAT1_IND1</f>
        <v>Se refuerza la coordinación multisectorial en materia de nutrición</v>
      </c>
      <c r="G478" s="94" t="str">
        <f ca="1">OFFSET(Variables_Lu!$D$10,Basic_Setup!H34,0)</f>
        <v>Governance</v>
      </c>
      <c r="H478" s="346">
        <f>'Financial Req'!$L20</f>
        <v>576780091.52499998</v>
      </c>
      <c r="I478" s="347">
        <f>H478-J478</f>
        <v>-242751504.25219858</v>
      </c>
      <c r="J478" s="345">
        <f>SUM(K478:AD478)</f>
        <v>819531595.77719855</v>
      </c>
      <c r="K478" s="365">
        <f>Government1!$L20</f>
        <v>1709806.440006</v>
      </c>
      <c r="L478" s="365">
        <f>Government2!$L20</f>
        <v>196174.61418150002</v>
      </c>
      <c r="M478" s="365">
        <f>Government3!$L20</f>
        <v>514800</v>
      </c>
      <c r="N478" s="365">
        <f>Government4!$L20</f>
        <v>55106.828730000001</v>
      </c>
      <c r="O478" s="365">
        <f>Government5!$L20</f>
        <v>23707.733976</v>
      </c>
      <c r="P478" s="365">
        <f>Government6!$L20</f>
        <v>8331868.6973009994</v>
      </c>
      <c r="Q478" s="365">
        <f>Government7!$L20</f>
        <v>1037715.5327760001</v>
      </c>
      <c r="R478" s="365">
        <f>Government8!$L20</f>
        <v>51015.930227999997</v>
      </c>
      <c r="S478" s="365">
        <f>Government9!$L20</f>
        <v>0</v>
      </c>
      <c r="T478" s="365">
        <f>Government10!$L20</f>
        <v>0</v>
      </c>
      <c r="U478" s="179">
        <f>Partner1!$L91</f>
        <v>8640000</v>
      </c>
      <c r="V478" s="179">
        <f>Partner2!$L91</f>
        <v>18000000</v>
      </c>
      <c r="W478" s="179">
        <f>Partner3!$L91</f>
        <v>510971400</v>
      </c>
      <c r="X478" s="179">
        <f>Partner4!$L91</f>
        <v>0</v>
      </c>
      <c r="Y478" s="179">
        <f>Partner5!$L91</f>
        <v>270000000</v>
      </c>
      <c r="Z478" s="179">
        <f>Partner6!$L91</f>
        <v>0</v>
      </c>
      <c r="AA478" s="179">
        <f>Partner7!$L91</f>
        <v>0</v>
      </c>
      <c r="AB478" s="179">
        <f>Partner8!$L91</f>
        <v>0</v>
      </c>
      <c r="AC478" s="179">
        <f>Partner9!$L91</f>
        <v>0</v>
      </c>
      <c r="AD478" s="179">
        <f>Partner10!$L91</f>
        <v>0</v>
      </c>
    </row>
    <row r="479" spans="1:30" ht="22.8" x14ac:dyDescent="0.2">
      <c r="F479" s="94" t="str">
        <f>STRAT1_IND2</f>
        <v>Está en funcionamiento el sistema multisectorial de información sobre nutrición para la adopción de decisiones eficaces.</v>
      </c>
      <c r="G479" s="94" t="str">
        <f ca="1">OFFSET(Variables_Lu!$D$10,Basic_Setup!H35,0)</f>
        <v>Governance</v>
      </c>
      <c r="H479" s="346">
        <f>'Financial Req'!$L21</f>
        <v>576780091.52499998</v>
      </c>
      <c r="I479" s="347">
        <f>H479-J479</f>
        <v>563419895.74780142</v>
      </c>
      <c r="J479" s="345">
        <f>SUM(K479:AD479)</f>
        <v>13360195.777198501</v>
      </c>
      <c r="K479" s="365">
        <f>Government1!$L21</f>
        <v>1709806.440006</v>
      </c>
      <c r="L479" s="365">
        <f>Government2!$L21</f>
        <v>196174.61418150002</v>
      </c>
      <c r="M479" s="365">
        <f>Government3!$L21</f>
        <v>514800</v>
      </c>
      <c r="N479" s="365">
        <f>Government4!$L21</f>
        <v>55106.828730000001</v>
      </c>
      <c r="O479" s="365">
        <f>Government5!$L21</f>
        <v>23707.733976</v>
      </c>
      <c r="P479" s="365">
        <f>Government6!$L21</f>
        <v>8331868.6973009994</v>
      </c>
      <c r="Q479" s="365">
        <f>Government7!$L21</f>
        <v>1037715.5327760001</v>
      </c>
      <c r="R479" s="365">
        <f>Government8!$L21</f>
        <v>51015.930227999997</v>
      </c>
      <c r="S479" s="365">
        <f>Government9!$L21</f>
        <v>0</v>
      </c>
      <c r="T479" s="365">
        <f>Government10!$L21</f>
        <v>0</v>
      </c>
      <c r="U479" s="179">
        <f>Partner1!$L92</f>
        <v>1440000</v>
      </c>
      <c r="V479" s="179">
        <f>Partner2!$L92</f>
        <v>0</v>
      </c>
      <c r="W479" s="179">
        <f>Partner3!$L92</f>
        <v>0</v>
      </c>
      <c r="X479" s="179">
        <f>Partner4!$L92</f>
        <v>0</v>
      </c>
      <c r="Y479" s="179">
        <f>Partner5!$L92</f>
        <v>0</v>
      </c>
      <c r="Z479" s="179">
        <f>Partner6!$L92</f>
        <v>0</v>
      </c>
      <c r="AA479" s="179">
        <f>Partner7!$L92</f>
        <v>0</v>
      </c>
      <c r="AB479" s="179">
        <f>Partner8!$L92</f>
        <v>0</v>
      </c>
      <c r="AC479" s="179">
        <f>Partner9!$L92</f>
        <v>0</v>
      </c>
      <c r="AD479" s="179">
        <f>Partner10!$L92</f>
        <v>0</v>
      </c>
    </row>
    <row r="480" spans="1:30" ht="22.8" x14ac:dyDescent="0.2">
      <c r="F480" s="94" t="str">
        <f>STRAT1_IND3</f>
        <v>La investigación en nutrición se utiliza para aclarar que la toma de decisiones se mejora y se refuerza.</v>
      </c>
      <c r="G480" s="94" t="str">
        <f ca="1">OFFSET(Variables_Lu!$D$10,Basic_Setup!H36,0)</f>
        <v>Governance</v>
      </c>
      <c r="H480" s="346">
        <f>'Financial Req'!$L22</f>
        <v>576780091.52499998</v>
      </c>
      <c r="I480" s="347">
        <f>H480-J480</f>
        <v>561979895.74780142</v>
      </c>
      <c r="J480" s="345">
        <f>SUM(K480:AD480)</f>
        <v>14800195.777198501</v>
      </c>
      <c r="K480" s="365">
        <f>Government1!$L22</f>
        <v>1709806.440006</v>
      </c>
      <c r="L480" s="365">
        <f>Government2!$L22</f>
        <v>196174.61418150002</v>
      </c>
      <c r="M480" s="365">
        <f>Government3!$L22</f>
        <v>514800</v>
      </c>
      <c r="N480" s="365">
        <f>Government4!$L22</f>
        <v>55106.828730000001</v>
      </c>
      <c r="O480" s="365">
        <f>Government5!$L22</f>
        <v>23707.733976</v>
      </c>
      <c r="P480" s="365">
        <f>Government6!$L22</f>
        <v>8331868.6973009994</v>
      </c>
      <c r="Q480" s="365">
        <f>Government7!$L22</f>
        <v>1037715.5327760001</v>
      </c>
      <c r="R480" s="365">
        <f>Government8!$L22</f>
        <v>51015.930227999997</v>
      </c>
      <c r="S480" s="365">
        <f>Government9!$L22</f>
        <v>0</v>
      </c>
      <c r="T480" s="365">
        <f>Government10!$L22</f>
        <v>0</v>
      </c>
      <c r="U480" s="179">
        <f>Partner1!$L93</f>
        <v>2880000</v>
      </c>
      <c r="V480" s="179">
        <f>Partner2!$L93</f>
        <v>0</v>
      </c>
      <c r="W480" s="179">
        <f>Partner3!$L93</f>
        <v>0</v>
      </c>
      <c r="X480" s="179">
        <f>Partner4!$L93</f>
        <v>0</v>
      </c>
      <c r="Y480" s="179">
        <f>Partner5!$L93</f>
        <v>0</v>
      </c>
      <c r="Z480" s="179">
        <f>Partner6!$L93</f>
        <v>0</v>
      </c>
      <c r="AA480" s="179">
        <f>Partner7!$L93</f>
        <v>0</v>
      </c>
      <c r="AB480" s="179">
        <f>Partner8!$L93</f>
        <v>0</v>
      </c>
      <c r="AC480" s="179">
        <f>Partner9!$L93</f>
        <v>0</v>
      </c>
      <c r="AD480" s="179">
        <f>Partner10!$L93</f>
        <v>0</v>
      </c>
    </row>
    <row r="481" spans="5:30" ht="22.8" x14ac:dyDescent="0.2">
      <c r="F481" s="94" t="str">
        <f>STRAT1_IND4</f>
        <v>El marco legislativo y reglamentario de la nutrición se ha fortalecido y está en funcionamiento.</v>
      </c>
      <c r="G481" s="94" t="str">
        <f ca="1">OFFSET(Variables_Lu!$D$10,Basic_Setup!H37,0)</f>
        <v>Governance</v>
      </c>
      <c r="H481" s="346">
        <f>'Financial Req'!$L23</f>
        <v>576780091.52499998</v>
      </c>
      <c r="I481" s="347">
        <f>H481-J481</f>
        <v>563419895.74780142</v>
      </c>
      <c r="J481" s="345">
        <f>SUM(K481:AD481)</f>
        <v>13360195.777198501</v>
      </c>
      <c r="K481" s="365">
        <f>Government1!$L23</f>
        <v>1709806.440006</v>
      </c>
      <c r="L481" s="365">
        <f>Government2!$L23</f>
        <v>196174.61418150002</v>
      </c>
      <c r="M481" s="365">
        <f>Government3!$L23</f>
        <v>514800</v>
      </c>
      <c r="N481" s="365">
        <f>Government4!$L23</f>
        <v>55106.828730000001</v>
      </c>
      <c r="O481" s="365">
        <f>Government5!$L23</f>
        <v>23707.733976</v>
      </c>
      <c r="P481" s="365">
        <f>Government6!$L23</f>
        <v>8331868.6973009994</v>
      </c>
      <c r="Q481" s="365">
        <f>Government7!$L23</f>
        <v>1037715.5327760001</v>
      </c>
      <c r="R481" s="365">
        <f>Government8!$L23</f>
        <v>51015.930227999997</v>
      </c>
      <c r="S481" s="365">
        <f>Government9!$L23</f>
        <v>0</v>
      </c>
      <c r="T481" s="365">
        <f>Government10!$L23</f>
        <v>0</v>
      </c>
      <c r="U481" s="179">
        <f>Partner1!$L94</f>
        <v>1440000</v>
      </c>
      <c r="V481" s="179">
        <f>Partner2!$L94</f>
        <v>0</v>
      </c>
      <c r="W481" s="179">
        <f>Partner3!$L94</f>
        <v>0</v>
      </c>
      <c r="X481" s="179">
        <f>Partner4!$L94</f>
        <v>0</v>
      </c>
      <c r="Y481" s="179">
        <f>Partner5!$L94</f>
        <v>0</v>
      </c>
      <c r="Z481" s="179">
        <f>Partner6!$L94</f>
        <v>0</v>
      </c>
      <c r="AA481" s="179">
        <f>Partner7!$L94</f>
        <v>0</v>
      </c>
      <c r="AB481" s="179">
        <f>Partner8!$L94</f>
        <v>0</v>
      </c>
      <c r="AC481" s="179">
        <f>Partner9!$L94</f>
        <v>0</v>
      </c>
      <c r="AD481" s="179">
        <f>Partner10!$L94</f>
        <v>0</v>
      </c>
    </row>
    <row r="482" spans="5:30" ht="12" x14ac:dyDescent="0.2">
      <c r="F482" s="94" t="str">
        <f>STRAT1_IND5</f>
        <v>Objetivo estratégico 1 Indicador 5</v>
      </c>
      <c r="G482" s="94" t="str">
        <f ca="1">OFFSET(Variables_Lu!$D$10,Basic_Setup!H38,0)</f>
        <v>Governance</v>
      </c>
      <c r="H482" s="346">
        <f>'Financial Req'!$L24</f>
        <v>0</v>
      </c>
      <c r="I482" s="347">
        <f>H482-J482</f>
        <v>0</v>
      </c>
      <c r="J482" s="345">
        <f>SUM(K482:AD482)</f>
        <v>0</v>
      </c>
      <c r="K482" s="365">
        <f>Government1!$L24</f>
        <v>0</v>
      </c>
      <c r="L482" s="365">
        <f>Government2!$L24</f>
        <v>0</v>
      </c>
      <c r="M482" s="365">
        <f>Government3!$L24</f>
        <v>0</v>
      </c>
      <c r="N482" s="365">
        <f>Government4!$L24</f>
        <v>0</v>
      </c>
      <c r="O482" s="365">
        <f>Government5!$L24</f>
        <v>0</v>
      </c>
      <c r="P482" s="365">
        <f>Government6!$L24</f>
        <v>0</v>
      </c>
      <c r="Q482" s="365">
        <f>Government7!$L24</f>
        <v>0</v>
      </c>
      <c r="R482" s="365">
        <f>Government8!$L24</f>
        <v>0</v>
      </c>
      <c r="S482" s="365">
        <f>Government9!$L24</f>
        <v>0</v>
      </c>
      <c r="T482" s="365">
        <f>Government10!$L24</f>
        <v>0</v>
      </c>
      <c r="U482" s="179">
        <f>Partner1!$L95</f>
        <v>0</v>
      </c>
      <c r="V482" s="179">
        <f>Partner2!$L95</f>
        <v>0</v>
      </c>
      <c r="W482" s="179">
        <f>Partner3!$L95</f>
        <v>0</v>
      </c>
      <c r="X482" s="179">
        <f>Partner4!$L95</f>
        <v>0</v>
      </c>
      <c r="Y482" s="179">
        <f>Partner5!$L95</f>
        <v>0</v>
      </c>
      <c r="Z482" s="179">
        <f>Partner6!$L95</f>
        <v>0</v>
      </c>
      <c r="AA482" s="179">
        <f>Partner7!$L95</f>
        <v>0</v>
      </c>
      <c r="AB482" s="179">
        <f>Partner8!$L95</f>
        <v>0</v>
      </c>
      <c r="AC482" s="179">
        <f>Partner9!$L95</f>
        <v>0</v>
      </c>
      <c r="AD482" s="179">
        <f>Partner10!$L95</f>
        <v>0</v>
      </c>
    </row>
    <row r="483" spans="5:30" ht="22.8" x14ac:dyDescent="0.2">
      <c r="F483" s="332" t="str">
        <f>"Subtotal: "&amp;E167</f>
        <v>Subtotal: Objetivo estratégico 1: Fortalecer la gobernanza de la nutrición</v>
      </c>
      <c r="G483" s="333"/>
      <c r="H483" s="348">
        <f>'Financial Req'!$L25</f>
        <v>2307120366.0999999</v>
      </c>
      <c r="I483" s="349">
        <f>SUM(I478:I482)</f>
        <v>1446068182.9912057</v>
      </c>
      <c r="J483" s="350">
        <f>SUM(J478:J482)</f>
        <v>861052183.10879421</v>
      </c>
      <c r="K483" s="366">
        <f>Government1!$L25</f>
        <v>6839225.760024</v>
      </c>
      <c r="L483" s="366">
        <f>Government2!$L25</f>
        <v>784698.45672600006</v>
      </c>
      <c r="M483" s="366">
        <f>Government3!$L25</f>
        <v>2059200</v>
      </c>
      <c r="N483" s="366">
        <f>Government4!$L25</f>
        <v>220427.31492</v>
      </c>
      <c r="O483" s="366">
        <f>Government5!$L25</f>
        <v>94830.935903999998</v>
      </c>
      <c r="P483" s="366">
        <f>Government6!$L25</f>
        <v>33327474.789203998</v>
      </c>
      <c r="Q483" s="366">
        <f>Government7!$L25</f>
        <v>4150862.1311040004</v>
      </c>
      <c r="R483" s="366">
        <f>Government8!$L25</f>
        <v>204063.72091199999</v>
      </c>
      <c r="S483" s="366">
        <f>Government9!$L25</f>
        <v>0</v>
      </c>
      <c r="T483" s="366">
        <f>Government10!$L25</f>
        <v>0</v>
      </c>
      <c r="U483" s="331">
        <f>Partner1!$L96</f>
        <v>14400000</v>
      </c>
      <c r="V483" s="331">
        <f>Partner2!$L96</f>
        <v>18000000</v>
      </c>
      <c r="W483" s="331">
        <f>Partner3!$L96</f>
        <v>510971400</v>
      </c>
      <c r="X483" s="331">
        <f>Partner4!$L96</f>
        <v>0</v>
      </c>
      <c r="Y483" s="331">
        <f>Partner5!$L96</f>
        <v>270000000</v>
      </c>
      <c r="Z483" s="331">
        <f>Partner6!$L96</f>
        <v>0</v>
      </c>
      <c r="AA483" s="331">
        <f>Partner7!$L96</f>
        <v>0</v>
      </c>
      <c r="AB483" s="331">
        <f>Partner8!$L96</f>
        <v>0</v>
      </c>
      <c r="AC483" s="331">
        <f>Partner9!$L96</f>
        <v>0</v>
      </c>
      <c r="AD483" s="331">
        <f>Partner10!$L96</f>
        <v>0</v>
      </c>
    </row>
    <row r="484" spans="5:30" ht="12" x14ac:dyDescent="0.2">
      <c r="E484" s="301" t="str">
        <f>Strategy2</f>
        <v>Objetivo estratégico 2: Fortalecer el acceso al tratamiento y a los servicios de salud y nutrición de calidad, así como al tratamiento de todas las formas de malnutrición</v>
      </c>
      <c r="G484" s="94"/>
      <c r="H484" s="343"/>
      <c r="I484" s="344"/>
      <c r="J484" s="345"/>
      <c r="K484" s="365"/>
      <c r="L484" s="365"/>
      <c r="M484" s="365"/>
      <c r="N484" s="365"/>
      <c r="O484" s="365"/>
      <c r="P484" s="365"/>
      <c r="Q484" s="365"/>
      <c r="R484" s="365"/>
      <c r="S484" s="365"/>
      <c r="T484" s="365"/>
      <c r="U484" s="179"/>
      <c r="V484" s="179"/>
      <c r="W484" s="179"/>
      <c r="X484" s="179"/>
      <c r="Y484" s="179"/>
      <c r="Z484" s="179"/>
      <c r="AA484" s="179"/>
      <c r="AB484" s="179"/>
      <c r="AC484" s="179"/>
      <c r="AD484" s="179"/>
    </row>
    <row r="485" spans="5:30" ht="34.200000000000003" x14ac:dyDescent="0.2">
      <c r="F485" s="94" t="str">
        <f>STRAT2_IND1</f>
        <v>Se fortalece el acceso y la utilización sostenible de los servicios de salud y nutrición para los niños menores de 5 años, los adolescentes, las mujeres embarazadas y lactantes, y los demás grupos vulnerables</v>
      </c>
      <c r="G485" s="94" t="str">
        <f ca="1">OFFSET(Variables_Lu!$D$10,Basic_Setup!H40,0)</f>
        <v>Nutrition-specific</v>
      </c>
      <c r="H485" s="346">
        <f>'Financial Req'!$L26</f>
        <v>7877189913.7800665</v>
      </c>
      <c r="I485" s="347">
        <f>H485-J485</f>
        <v>-880587112.7633543</v>
      </c>
      <c r="J485" s="345">
        <f>SUM(K485:AD485)</f>
        <v>8757777026.5434208</v>
      </c>
      <c r="K485" s="365">
        <f>Government1!$L26</f>
        <v>90477257.450317502</v>
      </c>
      <c r="L485" s="365">
        <f>Government2!$L26</f>
        <v>10380906.667104376</v>
      </c>
      <c r="M485" s="365">
        <f>Government3!$L26</f>
        <v>27241500</v>
      </c>
      <c r="N485" s="365">
        <f>Government4!$L26</f>
        <v>2916069.6869624997</v>
      </c>
      <c r="O485" s="365">
        <f>Government5!$L26</f>
        <v>1254534.2562299999</v>
      </c>
      <c r="P485" s="365">
        <f>Government6!$L26</f>
        <v>440894718.56551123</v>
      </c>
      <c r="Q485" s="365">
        <f>Government7!$L26</f>
        <v>54912446.942730002</v>
      </c>
      <c r="R485" s="365">
        <f>Government8!$L26</f>
        <v>2699592.9745649998</v>
      </c>
      <c r="S485" s="365">
        <f>Government9!$L26</f>
        <v>0</v>
      </c>
      <c r="T485" s="365">
        <f>Government10!$L26</f>
        <v>0</v>
      </c>
      <c r="U485" s="179">
        <f>Partner1!$L97</f>
        <v>5400000000</v>
      </c>
      <c r="V485" s="179">
        <f>Partner2!$L97</f>
        <v>27000000</v>
      </c>
      <c r="W485" s="179">
        <f>Partner3!$L97</f>
        <v>0</v>
      </c>
      <c r="X485" s="179">
        <f>Partner4!$L97</f>
        <v>0</v>
      </c>
      <c r="Y485" s="179">
        <f>Partner5!$L97</f>
        <v>2700000000</v>
      </c>
      <c r="Z485" s="179">
        <f>Partner6!$L97</f>
        <v>0</v>
      </c>
      <c r="AA485" s="179">
        <f>Partner7!$L97</f>
        <v>0</v>
      </c>
      <c r="AB485" s="179">
        <f>Partner8!$L97</f>
        <v>0</v>
      </c>
      <c r="AC485" s="179">
        <f>Partner9!$L97</f>
        <v>0</v>
      </c>
      <c r="AD485" s="179">
        <f>Partner10!$L97</f>
        <v>0</v>
      </c>
    </row>
    <row r="486" spans="5:30" ht="45.6" x14ac:dyDescent="0.2">
      <c r="F486" s="94" t="str">
        <f>STRAT2_IND2</f>
        <v xml:space="preserve">Se reduce la prevalencia de enfermedades relacionadas con la prevalencia de la malnutrición (paludismo, diarrea, neumonía, parásitos intestinales, VIH, TNM) en lactantes, adolescentes y mujeres en edad reproductiva. </v>
      </c>
      <c r="G486" s="94" t="str">
        <f ca="1">OFFSET(Variables_Lu!$D$10,Basic_Setup!H41,0)</f>
        <v>Nutrition-sensitive</v>
      </c>
      <c r="H486" s="346">
        <f>'Financial Req'!$L27</f>
        <v>7877189913.7800665</v>
      </c>
      <c r="I486" s="347">
        <f>H486-J486</f>
        <v>1246914787.2366457</v>
      </c>
      <c r="J486" s="345">
        <f>SUM(K486:AD486)</f>
        <v>6630275126.5434208</v>
      </c>
      <c r="K486" s="365">
        <f>Government1!$L27</f>
        <v>90477257.450317502</v>
      </c>
      <c r="L486" s="365">
        <f>Government2!$L27</f>
        <v>10380906.667104376</v>
      </c>
      <c r="M486" s="365">
        <f>Government3!$L27</f>
        <v>27241500</v>
      </c>
      <c r="N486" s="365">
        <f>Government4!$L27</f>
        <v>2916069.6869624997</v>
      </c>
      <c r="O486" s="365">
        <f>Government5!$L27</f>
        <v>1254534.2562299999</v>
      </c>
      <c r="P486" s="365">
        <f>Government6!$L27</f>
        <v>440894718.56551123</v>
      </c>
      <c r="Q486" s="365">
        <f>Government7!$L27</f>
        <v>54912446.942730002</v>
      </c>
      <c r="R486" s="365">
        <f>Government8!$L27</f>
        <v>2699592.9745649998</v>
      </c>
      <c r="S486" s="365">
        <f>Government9!$L27</f>
        <v>0</v>
      </c>
      <c r="T486" s="365">
        <f>Government10!$L27</f>
        <v>0</v>
      </c>
      <c r="U486" s="179">
        <f>Partner1!$L98</f>
        <v>900000000</v>
      </c>
      <c r="V486" s="179">
        <f>Partner2!$L98</f>
        <v>18000000</v>
      </c>
      <c r="W486" s="179">
        <f>Partner3!$L98</f>
        <v>5081498100</v>
      </c>
      <c r="X486" s="179">
        <f>Partner4!$L98</f>
        <v>0</v>
      </c>
      <c r="Y486" s="179">
        <f>Partner5!$L98</f>
        <v>0</v>
      </c>
      <c r="Z486" s="179">
        <f>Partner6!$L98</f>
        <v>0</v>
      </c>
      <c r="AA486" s="179">
        <f>Partner7!$L98</f>
        <v>0</v>
      </c>
      <c r="AB486" s="179">
        <f>Partner8!$L98</f>
        <v>0</v>
      </c>
      <c r="AC486" s="179">
        <f>Partner9!$L98</f>
        <v>0</v>
      </c>
      <c r="AD486" s="179">
        <f>Partner10!$L98</f>
        <v>0</v>
      </c>
    </row>
    <row r="487" spans="5:30" ht="12" x14ac:dyDescent="0.2">
      <c r="F487" s="94" t="str">
        <f>STRAT2_IND3</f>
        <v>Se refuerzan las intervenciones comunitarias en materia de nutrición.</v>
      </c>
      <c r="G487" s="94" t="str">
        <f ca="1">OFFSET(Variables_Lu!$D$10,Basic_Setup!H42,0)</f>
        <v>Nutrition-specific</v>
      </c>
      <c r="H487" s="346">
        <f>'Financial Req'!$L28</f>
        <v>7877189913.7800665</v>
      </c>
      <c r="I487" s="347">
        <f>H487-J487</f>
        <v>4906412887.2366457</v>
      </c>
      <c r="J487" s="345">
        <f>SUM(K487:AD487)</f>
        <v>2970777026.5434208</v>
      </c>
      <c r="K487" s="365">
        <f>Government1!$L28</f>
        <v>90477257.450317502</v>
      </c>
      <c r="L487" s="365">
        <f>Government2!$L28</f>
        <v>10380906.667104376</v>
      </c>
      <c r="M487" s="365">
        <f>Government3!$L28</f>
        <v>27241500</v>
      </c>
      <c r="N487" s="365">
        <f>Government4!$L28</f>
        <v>2916069.6869624997</v>
      </c>
      <c r="O487" s="365">
        <f>Government5!$L28</f>
        <v>1254534.2562299999</v>
      </c>
      <c r="P487" s="365">
        <f>Government6!$L28</f>
        <v>440894718.56551123</v>
      </c>
      <c r="Q487" s="365">
        <f>Government7!$L28</f>
        <v>54912446.942730002</v>
      </c>
      <c r="R487" s="365">
        <f>Government8!$L28</f>
        <v>2699592.9745649998</v>
      </c>
      <c r="S487" s="365">
        <f>Government9!$L28</f>
        <v>0</v>
      </c>
      <c r="T487" s="365">
        <f>Government10!$L28</f>
        <v>0</v>
      </c>
      <c r="U487" s="179">
        <f>Partner1!$L99</f>
        <v>2340000000</v>
      </c>
      <c r="V487" s="179">
        <f>Partner2!$L99</f>
        <v>0</v>
      </c>
      <c r="W487" s="179">
        <f>Partner3!$L99</f>
        <v>0</v>
      </c>
      <c r="X487" s="179">
        <f>Partner4!$L99</f>
        <v>0</v>
      </c>
      <c r="Y487" s="179">
        <f>Partner5!$L99</f>
        <v>0</v>
      </c>
      <c r="Z487" s="179">
        <f>Partner6!$L99</f>
        <v>0</v>
      </c>
      <c r="AA487" s="179">
        <f>Partner7!$L99</f>
        <v>0</v>
      </c>
      <c r="AB487" s="179">
        <f>Partner8!$L99</f>
        <v>0</v>
      </c>
      <c r="AC487" s="179">
        <f>Partner9!$L99</f>
        <v>0</v>
      </c>
      <c r="AD487" s="179">
        <f>Partner10!$L99</f>
        <v>0</v>
      </c>
    </row>
    <row r="488" spans="5:30" ht="12" x14ac:dyDescent="0.2">
      <c r="F488" s="94" t="str">
        <f>STRAT2_IND4</f>
        <v>Objetivo estratégico 2 Indicador 4</v>
      </c>
      <c r="G488" s="94" t="str">
        <f ca="1">OFFSET(Variables_Lu!$D$10,Basic_Setup!H43,0)</f>
        <v>Nutrition-specific</v>
      </c>
      <c r="H488" s="346">
        <f>'Financial Req'!$L29</f>
        <v>0</v>
      </c>
      <c r="I488" s="347">
        <f>H488-J488</f>
        <v>0</v>
      </c>
      <c r="J488" s="345">
        <f>SUM(K488:AD488)</f>
        <v>0</v>
      </c>
      <c r="K488" s="365">
        <f>Government1!$L29</f>
        <v>0</v>
      </c>
      <c r="L488" s="365">
        <f>Government2!$L29</f>
        <v>0</v>
      </c>
      <c r="M488" s="365">
        <f>Government3!$L29</f>
        <v>0</v>
      </c>
      <c r="N488" s="365">
        <f>Government4!$L29</f>
        <v>0</v>
      </c>
      <c r="O488" s="365">
        <f>Government5!$L29</f>
        <v>0</v>
      </c>
      <c r="P488" s="365">
        <f>Government6!$L29</f>
        <v>0</v>
      </c>
      <c r="Q488" s="365">
        <f>Government7!$L29</f>
        <v>0</v>
      </c>
      <c r="R488" s="365">
        <f>Government8!$L29</f>
        <v>0</v>
      </c>
      <c r="S488" s="365">
        <f>Government9!$L29</f>
        <v>0</v>
      </c>
      <c r="T488" s="365">
        <f>Government10!$L29</f>
        <v>0</v>
      </c>
      <c r="U488" s="179">
        <f>Partner1!$L100</f>
        <v>0</v>
      </c>
      <c r="V488" s="179">
        <f>Partner2!$L100</f>
        <v>0</v>
      </c>
      <c r="W488" s="179">
        <f>Partner3!$L100</f>
        <v>0</v>
      </c>
      <c r="X488" s="179">
        <f>Partner4!$L100</f>
        <v>0</v>
      </c>
      <c r="Y488" s="179">
        <f>Partner5!$L100</f>
        <v>0</v>
      </c>
      <c r="Z488" s="179">
        <f>Partner6!$L100</f>
        <v>0</v>
      </c>
      <c r="AA488" s="179">
        <f>Partner7!$L100</f>
        <v>0</v>
      </c>
      <c r="AB488" s="179">
        <f>Partner8!$L100</f>
        <v>0</v>
      </c>
      <c r="AC488" s="179">
        <f>Partner9!$L100</f>
        <v>0</v>
      </c>
      <c r="AD488" s="179">
        <f>Partner10!$L100</f>
        <v>0</v>
      </c>
    </row>
    <row r="489" spans="5:30" ht="12" x14ac:dyDescent="0.2">
      <c r="F489" s="94" t="str">
        <f>STRAT2_IND5</f>
        <v>Objetivo estratégico 2 Indicador 5</v>
      </c>
      <c r="G489" s="94" t="str">
        <f ca="1">OFFSET(Variables_Lu!$D$10,Basic_Setup!H44,0)</f>
        <v>Nutrition-specific</v>
      </c>
      <c r="H489" s="346">
        <f>'Financial Req'!$L30</f>
        <v>0</v>
      </c>
      <c r="I489" s="347">
        <f>H489-J489</f>
        <v>0</v>
      </c>
      <c r="J489" s="345">
        <f>SUM(K489:AD489)</f>
        <v>0</v>
      </c>
      <c r="K489" s="365">
        <f>Government1!$L30</f>
        <v>0</v>
      </c>
      <c r="L489" s="365">
        <f>Government2!$L30</f>
        <v>0</v>
      </c>
      <c r="M489" s="365">
        <f>Government3!$L30</f>
        <v>0</v>
      </c>
      <c r="N489" s="365">
        <f>Government4!$L30</f>
        <v>0</v>
      </c>
      <c r="O489" s="365">
        <f>Government5!$L30</f>
        <v>0</v>
      </c>
      <c r="P489" s="365">
        <f>Government6!$L30</f>
        <v>0</v>
      </c>
      <c r="Q489" s="365">
        <f>Government7!$L30</f>
        <v>0</v>
      </c>
      <c r="R489" s="365">
        <f>Government8!$L30</f>
        <v>0</v>
      </c>
      <c r="S489" s="365">
        <f>Government9!$L30</f>
        <v>0</v>
      </c>
      <c r="T489" s="365">
        <f>Government10!$L30</f>
        <v>0</v>
      </c>
      <c r="U489" s="179">
        <f>Partner1!$L101</f>
        <v>0</v>
      </c>
      <c r="V489" s="179">
        <f>Partner2!$L101</f>
        <v>0</v>
      </c>
      <c r="W489" s="179">
        <f>Partner3!$L101</f>
        <v>0</v>
      </c>
      <c r="X489" s="179">
        <f>Partner4!$L101</f>
        <v>0</v>
      </c>
      <c r="Y489" s="179">
        <f>Partner5!$L101</f>
        <v>0</v>
      </c>
      <c r="Z489" s="179">
        <f>Partner6!$L101</f>
        <v>0</v>
      </c>
      <c r="AA489" s="179">
        <f>Partner7!$L101</f>
        <v>0</v>
      </c>
      <c r="AB489" s="179">
        <f>Partner8!$L101</f>
        <v>0</v>
      </c>
      <c r="AC489" s="179">
        <f>Partner9!$L101</f>
        <v>0</v>
      </c>
      <c r="AD489" s="179">
        <f>Partner10!$L101</f>
        <v>0</v>
      </c>
    </row>
    <row r="490" spans="5:30" ht="34.200000000000003" x14ac:dyDescent="0.2">
      <c r="F490" s="332" t="str">
        <f>"Subtotal: "&amp;E174</f>
        <v>Subtotal: Objetivo estratégico 2: Fortalecer el acceso al tratamiento y a los servicios de salud y nutrición de calidad, así como al tratamiento de todas las formas de malnutrición</v>
      </c>
      <c r="G490" s="333"/>
      <c r="H490" s="348">
        <f>'Financial Req'!$L31</f>
        <v>23631569741.340199</v>
      </c>
      <c r="I490" s="349">
        <f>SUM(I485:I489)</f>
        <v>5272740561.7099371</v>
      </c>
      <c r="J490" s="350">
        <f>SUM(J485:J489)</f>
        <v>18358829179.630264</v>
      </c>
      <c r="K490" s="366">
        <f>Government1!$L31</f>
        <v>271431772.35095251</v>
      </c>
      <c r="L490" s="366">
        <f>Government2!$L31</f>
        <v>31142720.001313128</v>
      </c>
      <c r="M490" s="366">
        <f>Government3!$L31</f>
        <v>81724500</v>
      </c>
      <c r="N490" s="366">
        <f>Government4!$L31</f>
        <v>8748209.0608874988</v>
      </c>
      <c r="O490" s="366">
        <f>Government5!$L31</f>
        <v>3763602.7686899998</v>
      </c>
      <c r="P490" s="366">
        <f>Government6!$L31</f>
        <v>1322684155.6965337</v>
      </c>
      <c r="Q490" s="366">
        <f>Government7!$L31</f>
        <v>164737340.82819</v>
      </c>
      <c r="R490" s="366">
        <f>Government8!$L31</f>
        <v>8098778.9236949999</v>
      </c>
      <c r="S490" s="366">
        <f>Government9!$L31</f>
        <v>0</v>
      </c>
      <c r="T490" s="366">
        <f>Government10!$L31</f>
        <v>0</v>
      </c>
      <c r="U490" s="331">
        <f>Partner1!$L102</f>
        <v>8640000000</v>
      </c>
      <c r="V490" s="331">
        <f>Partner2!$L102</f>
        <v>45000000</v>
      </c>
      <c r="W490" s="331">
        <f>Partner3!$L102</f>
        <v>5081498100</v>
      </c>
      <c r="X490" s="331">
        <f>Partner4!$L102</f>
        <v>0</v>
      </c>
      <c r="Y490" s="331">
        <f>Partner5!$L102</f>
        <v>2700000000</v>
      </c>
      <c r="Z490" s="331">
        <f>Partner6!$L102</f>
        <v>0</v>
      </c>
      <c r="AA490" s="331">
        <f>Partner7!$L102</f>
        <v>0</v>
      </c>
      <c r="AB490" s="331">
        <f>Partner8!$L102</f>
        <v>0</v>
      </c>
      <c r="AC490" s="331">
        <f>Partner9!$L102</f>
        <v>0</v>
      </c>
      <c r="AD490" s="331">
        <f>Partner10!$L102</f>
        <v>0</v>
      </c>
    </row>
    <row r="491" spans="5:30" ht="12" x14ac:dyDescent="0.2">
      <c r="E491" s="301" t="str">
        <f>Strategy3</f>
        <v>Objetivo estratégico 3: Aumentar la disponibilidad y el acceso a alimentos nutritivos de alto valor, seguros y diversificados</v>
      </c>
      <c r="G491" s="94"/>
      <c r="H491" s="343"/>
      <c r="I491" s="344"/>
      <c r="J491" s="345"/>
      <c r="K491" s="365"/>
      <c r="L491" s="365"/>
      <c r="M491" s="365"/>
      <c r="N491" s="365"/>
      <c r="O491" s="365"/>
      <c r="P491" s="365"/>
      <c r="Q491" s="365"/>
      <c r="R491" s="365"/>
      <c r="S491" s="365"/>
      <c r="T491" s="365"/>
      <c r="U491" s="179"/>
      <c r="V491" s="179"/>
      <c r="W491" s="179"/>
      <c r="X491" s="179"/>
      <c r="Y491" s="179"/>
      <c r="Z491" s="179"/>
      <c r="AA491" s="179"/>
      <c r="AB491" s="179"/>
      <c r="AC491" s="179"/>
      <c r="AD491" s="179"/>
    </row>
    <row r="492" spans="5:30" ht="33" customHeight="1" x14ac:dyDescent="0.2">
      <c r="F492" s="94" t="str">
        <f>STRAT3_IND1</f>
        <v xml:space="preserve">Aumenta la disponibilidad y el acceso a alimentos de alto valor nutritivo en los hogares. </v>
      </c>
      <c r="G492" s="94" t="str">
        <f ca="1">OFFSET(Variables_Lu!$D$10,Basic_Setup!H46,0)</f>
        <v>Nutrition-specific</v>
      </c>
      <c r="H492" s="346">
        <f>'Financial Req'!$L32</f>
        <v>42623876505.870201</v>
      </c>
      <c r="I492" s="347">
        <f>H492-J492</f>
        <v>937903998.28823853</v>
      </c>
      <c r="J492" s="345">
        <f>SUM(K492:AD492)</f>
        <v>41685972507.581963</v>
      </c>
      <c r="K492" s="365">
        <f>Government1!$L32</f>
        <v>1069911379.8337545</v>
      </c>
      <c r="L492" s="365">
        <f>Government2!$L32</f>
        <v>122756264.82407364</v>
      </c>
      <c r="M492" s="365">
        <f>Government3!$L32</f>
        <v>322136100</v>
      </c>
      <c r="N492" s="365">
        <f>Government4!$L32</f>
        <v>34483098.077797502</v>
      </c>
      <c r="O492" s="365">
        <f>Government5!$L32</f>
        <v>14835114.535482001</v>
      </c>
      <c r="P492" s="365">
        <f>Government6!$L32</f>
        <v>5213666837.3361006</v>
      </c>
      <c r="Q492" s="365">
        <f>Government7!$L32</f>
        <v>649350494.63458204</v>
      </c>
      <c r="R492" s="365">
        <f>Government8!$L32</f>
        <v>31923218.340171002</v>
      </c>
      <c r="S492" s="365">
        <f>Government9!$L32</f>
        <v>0</v>
      </c>
      <c r="T492" s="365">
        <f>Government10!$L32</f>
        <v>0</v>
      </c>
      <c r="U492" s="179">
        <f>Partner1!$L103</f>
        <v>0</v>
      </c>
      <c r="V492" s="179">
        <f>Partner2!$L103</f>
        <v>0</v>
      </c>
      <c r="W492" s="179">
        <f>Partner3!$L103</f>
        <v>32463720000</v>
      </c>
      <c r="X492" s="179">
        <f>Partner4!$L103</f>
        <v>638190000</v>
      </c>
      <c r="Y492" s="179">
        <f>Partner5!$L103</f>
        <v>1125000000</v>
      </c>
      <c r="Z492" s="179">
        <f>Partner6!$L103</f>
        <v>0</v>
      </c>
      <c r="AA492" s="179">
        <f>Partner7!$L103</f>
        <v>0</v>
      </c>
      <c r="AB492" s="179">
        <f>Partner8!$L103</f>
        <v>0</v>
      </c>
      <c r="AC492" s="179">
        <f>Partner9!$L103</f>
        <v>0</v>
      </c>
      <c r="AD492" s="179">
        <f>Partner10!$L103</f>
        <v>0</v>
      </c>
    </row>
    <row r="493" spans="5:30" ht="13.5" customHeight="1" x14ac:dyDescent="0.2">
      <c r="F493" s="94" t="str">
        <f>STRAT3_IND2</f>
        <v xml:space="preserve"> La seguridad alimentaria está garantizada para toda la nación.</v>
      </c>
      <c r="G493" s="94" t="str">
        <f ca="1">OFFSET(Variables_Lu!$D$10,Basic_Setup!H47,0)</f>
        <v>Nutrition-sensitive</v>
      </c>
      <c r="H493" s="346">
        <f>'Financial Req'!$L33</f>
        <v>42623876505.870201</v>
      </c>
      <c r="I493" s="347">
        <f>H493-J493</f>
        <v>35164813998.288239</v>
      </c>
      <c r="J493" s="345">
        <f>SUM(K493:AD493)</f>
        <v>7459062507.5819616</v>
      </c>
      <c r="K493" s="365">
        <f>Government1!$L33</f>
        <v>1069911379.8337545</v>
      </c>
      <c r="L493" s="365">
        <f>Government2!$L33</f>
        <v>122756264.82407364</v>
      </c>
      <c r="M493" s="365">
        <f>Government3!$L33</f>
        <v>322136100</v>
      </c>
      <c r="N493" s="365">
        <f>Government4!$L33</f>
        <v>34483098.077797502</v>
      </c>
      <c r="O493" s="365">
        <f>Government5!$L33</f>
        <v>14835114.535482001</v>
      </c>
      <c r="P493" s="365">
        <f>Government6!$L33</f>
        <v>5213666837.3361006</v>
      </c>
      <c r="Q493" s="365">
        <f>Government7!$L33</f>
        <v>649350494.63458204</v>
      </c>
      <c r="R493" s="365">
        <f>Government8!$L33</f>
        <v>31923218.340171002</v>
      </c>
      <c r="S493" s="365">
        <f>Government9!$L33</f>
        <v>0</v>
      </c>
      <c r="T493" s="365">
        <f>Government10!$L33</f>
        <v>0</v>
      </c>
      <c r="U493" s="179">
        <f>Partner1!$L104</f>
        <v>0</v>
      </c>
      <c r="V493" s="179">
        <f>Partner2!$L104</f>
        <v>0</v>
      </c>
      <c r="W493" s="179">
        <f>Partner3!$L104</f>
        <v>0</v>
      </c>
      <c r="X493" s="179">
        <f>Partner4!$L104</f>
        <v>0</v>
      </c>
      <c r="Y493" s="179">
        <f>Partner5!$L104</f>
        <v>0</v>
      </c>
      <c r="Z493" s="179">
        <f>Partner6!$L104</f>
        <v>0</v>
      </c>
      <c r="AA493" s="179">
        <f>Partner7!$L104</f>
        <v>0</v>
      </c>
      <c r="AB493" s="179">
        <f>Partner8!$L104</f>
        <v>0</v>
      </c>
      <c r="AC493" s="179">
        <f>Partner9!$L104</f>
        <v>0</v>
      </c>
      <c r="AD493" s="179">
        <f>Partner10!$L104</f>
        <v>0</v>
      </c>
    </row>
    <row r="494" spans="5:30" ht="12" x14ac:dyDescent="0.2">
      <c r="F494" s="94" t="str">
        <f>STRAT3_IND3</f>
        <v>Objetivo estratégico 3 Indicador 3</v>
      </c>
      <c r="G494" s="94" t="str">
        <f ca="1">OFFSET(Variables_Lu!$D$10,Basic_Setup!H48,0)</f>
        <v>Nutrition-specific</v>
      </c>
      <c r="H494" s="346">
        <f>'Financial Req'!$L34</f>
        <v>0</v>
      </c>
      <c r="I494" s="347">
        <f>H494-J494</f>
        <v>0</v>
      </c>
      <c r="J494" s="345">
        <f>SUM(K494:AD494)</f>
        <v>0</v>
      </c>
      <c r="K494" s="365">
        <f>Government1!$L34</f>
        <v>0</v>
      </c>
      <c r="L494" s="365">
        <f>Government2!$L34</f>
        <v>0</v>
      </c>
      <c r="M494" s="365">
        <f>Government3!$L34</f>
        <v>0</v>
      </c>
      <c r="N494" s="365">
        <f>Government4!$L34</f>
        <v>0</v>
      </c>
      <c r="O494" s="365">
        <f>Government5!$L34</f>
        <v>0</v>
      </c>
      <c r="P494" s="365">
        <f>Government6!$L34</f>
        <v>0</v>
      </c>
      <c r="Q494" s="365">
        <f>Government7!$L34</f>
        <v>0</v>
      </c>
      <c r="R494" s="365">
        <f>Government8!$L34</f>
        <v>0</v>
      </c>
      <c r="S494" s="365">
        <f>Government9!$L34</f>
        <v>0</v>
      </c>
      <c r="T494" s="365">
        <f>Government10!$L34</f>
        <v>0</v>
      </c>
      <c r="U494" s="179">
        <f>Partner1!$L105</f>
        <v>0</v>
      </c>
      <c r="V494" s="179">
        <f>Partner2!$L105</f>
        <v>0</v>
      </c>
      <c r="W494" s="179">
        <f>Partner3!$L105</f>
        <v>0</v>
      </c>
      <c r="X494" s="179">
        <f>Partner4!$L105</f>
        <v>0</v>
      </c>
      <c r="Y494" s="179">
        <f>Partner5!$L105</f>
        <v>0</v>
      </c>
      <c r="Z494" s="179">
        <f>Partner6!$L105</f>
        <v>0</v>
      </c>
      <c r="AA494" s="179">
        <f>Partner7!$L105</f>
        <v>0</v>
      </c>
      <c r="AB494" s="179">
        <f>Partner8!$L105</f>
        <v>0</v>
      </c>
      <c r="AC494" s="179">
        <f>Partner9!$L105</f>
        <v>0</v>
      </c>
      <c r="AD494" s="179">
        <f>Partner10!$L105</f>
        <v>0</v>
      </c>
    </row>
    <row r="495" spans="5:30" ht="12" x14ac:dyDescent="0.2">
      <c r="F495" s="94" t="str">
        <f>STRAT3_IND4</f>
        <v>Objetivo estratégico 3 Indicador 4</v>
      </c>
      <c r="G495" s="94" t="str">
        <f ca="1">OFFSET(Variables_Lu!$D$10,Basic_Setup!H49,0)</f>
        <v>Nutrition-specific</v>
      </c>
      <c r="H495" s="346">
        <f>'Financial Req'!$L35</f>
        <v>0</v>
      </c>
      <c r="I495" s="347">
        <f>H495-J495</f>
        <v>0</v>
      </c>
      <c r="J495" s="345">
        <f>SUM(K495:AD495)</f>
        <v>0</v>
      </c>
      <c r="K495" s="365">
        <f>Government1!$L35</f>
        <v>0</v>
      </c>
      <c r="L495" s="365">
        <f>Government2!$L35</f>
        <v>0</v>
      </c>
      <c r="M495" s="365">
        <f>Government3!$L35</f>
        <v>0</v>
      </c>
      <c r="N495" s="365">
        <f>Government4!$L35</f>
        <v>0</v>
      </c>
      <c r="O495" s="365">
        <f>Government5!$L35</f>
        <v>0</v>
      </c>
      <c r="P495" s="365">
        <f>Government6!$L35</f>
        <v>0</v>
      </c>
      <c r="Q495" s="365">
        <f>Government7!$L35</f>
        <v>0</v>
      </c>
      <c r="R495" s="365">
        <f>Government8!$L35</f>
        <v>0</v>
      </c>
      <c r="S495" s="365">
        <f>Government9!$L35</f>
        <v>0</v>
      </c>
      <c r="T495" s="365">
        <f>Government10!$L35</f>
        <v>0</v>
      </c>
      <c r="U495" s="179">
        <f>Partner1!$L106</f>
        <v>0</v>
      </c>
      <c r="V495" s="179">
        <f>Partner2!$L106</f>
        <v>0</v>
      </c>
      <c r="W495" s="179">
        <f>Partner3!$L106</f>
        <v>0</v>
      </c>
      <c r="X495" s="179">
        <f>Partner4!$L106</f>
        <v>0</v>
      </c>
      <c r="Y495" s="179">
        <f>Partner5!$L106</f>
        <v>0</v>
      </c>
      <c r="Z495" s="179">
        <f>Partner6!$L106</f>
        <v>0</v>
      </c>
      <c r="AA495" s="179">
        <f>Partner7!$L106</f>
        <v>0</v>
      </c>
      <c r="AB495" s="179">
        <f>Partner8!$L106</f>
        <v>0</v>
      </c>
      <c r="AC495" s="179">
        <f>Partner9!$L106</f>
        <v>0</v>
      </c>
      <c r="AD495" s="179">
        <f>Partner10!$L106</f>
        <v>0</v>
      </c>
    </row>
    <row r="496" spans="5:30" ht="12" x14ac:dyDescent="0.2">
      <c r="F496" s="94" t="str">
        <f>STRAT3_IND5</f>
        <v>Objetivo estratégico 3 Indicador 5</v>
      </c>
      <c r="G496" s="94" t="str">
        <f ca="1">OFFSET(Variables_Lu!$D$10,Basic_Setup!H50,0)</f>
        <v>Nutrition-specific</v>
      </c>
      <c r="H496" s="346">
        <f>'Financial Req'!$L36</f>
        <v>0</v>
      </c>
      <c r="I496" s="347">
        <f>H496-J496</f>
        <v>0</v>
      </c>
      <c r="J496" s="345">
        <f>SUM(K496:AD496)</f>
        <v>0</v>
      </c>
      <c r="K496" s="365">
        <f>Government1!$L36</f>
        <v>0</v>
      </c>
      <c r="L496" s="365">
        <f>Government2!$L36</f>
        <v>0</v>
      </c>
      <c r="M496" s="365">
        <f>Government3!$L36</f>
        <v>0</v>
      </c>
      <c r="N496" s="365">
        <f>Government4!$L36</f>
        <v>0</v>
      </c>
      <c r="O496" s="365">
        <f>Government5!$L36</f>
        <v>0</v>
      </c>
      <c r="P496" s="365">
        <f>Government6!$L36</f>
        <v>0</v>
      </c>
      <c r="Q496" s="365">
        <f>Government7!$L36</f>
        <v>0</v>
      </c>
      <c r="R496" s="365">
        <f>Government8!$L36</f>
        <v>0</v>
      </c>
      <c r="S496" s="365">
        <f>Government9!$L36</f>
        <v>0</v>
      </c>
      <c r="T496" s="365">
        <f>Government10!$L36</f>
        <v>0</v>
      </c>
      <c r="U496" s="179">
        <f>Partner1!$L107</f>
        <v>0</v>
      </c>
      <c r="V496" s="179">
        <f>Partner2!$L107</f>
        <v>0</v>
      </c>
      <c r="W496" s="179">
        <f>Partner3!$L107</f>
        <v>0</v>
      </c>
      <c r="X496" s="179">
        <f>Partner4!$L107</f>
        <v>0</v>
      </c>
      <c r="Y496" s="179">
        <f>Partner5!$L107</f>
        <v>0</v>
      </c>
      <c r="Z496" s="179">
        <f>Partner6!$L107</f>
        <v>0</v>
      </c>
      <c r="AA496" s="179">
        <f>Partner7!$L107</f>
        <v>0</v>
      </c>
      <c r="AB496" s="179">
        <f>Partner8!$L107</f>
        <v>0</v>
      </c>
      <c r="AC496" s="179">
        <f>Partner9!$L107</f>
        <v>0</v>
      </c>
      <c r="AD496" s="179">
        <f>Partner10!$L107</f>
        <v>0</v>
      </c>
    </row>
    <row r="497" spans="5:30" ht="34.200000000000003" x14ac:dyDescent="0.2">
      <c r="F497" s="332" t="str">
        <f>"Subtotal: "&amp;E181</f>
        <v>Subtotal: Objetivo estratégico 3: Aumentar la disponibilidad y el acceso a alimentos nutritivos de alto valor, seguros y diversificados</v>
      </c>
      <c r="G497" s="333"/>
      <c r="H497" s="348">
        <f>'Financial Req'!$L37</f>
        <v>85247753011.740402</v>
      </c>
      <c r="I497" s="349">
        <f>SUM(I492:I496)</f>
        <v>36102717996.576477</v>
      </c>
      <c r="J497" s="350">
        <f>SUM(J492:J496)</f>
        <v>49145035015.163925</v>
      </c>
      <c r="K497" s="366">
        <f>Government1!$L37</f>
        <v>2139822759.6675091</v>
      </c>
      <c r="L497" s="366">
        <f>Government2!$L37</f>
        <v>245512529.64814728</v>
      </c>
      <c r="M497" s="366">
        <f>Government3!$L37</f>
        <v>644272200</v>
      </c>
      <c r="N497" s="366">
        <f>Government4!$L37</f>
        <v>68966196.155595005</v>
      </c>
      <c r="O497" s="366">
        <f>Government5!$L37</f>
        <v>29670229.070964001</v>
      </c>
      <c r="P497" s="366">
        <f>Government6!$L37</f>
        <v>10427333674.672201</v>
      </c>
      <c r="Q497" s="366">
        <f>Government7!$L37</f>
        <v>1298700989.2691641</v>
      </c>
      <c r="R497" s="366">
        <f>Government8!$L37</f>
        <v>63846436.680342004</v>
      </c>
      <c r="S497" s="366">
        <f>Government9!$L37</f>
        <v>0</v>
      </c>
      <c r="T497" s="366">
        <f>Government10!$L37</f>
        <v>0</v>
      </c>
      <c r="U497" s="331">
        <f>Partner1!$L108</f>
        <v>0</v>
      </c>
      <c r="V497" s="331">
        <f>Partner2!$L108</f>
        <v>0</v>
      </c>
      <c r="W497" s="331">
        <f>Partner3!$L108</f>
        <v>32463720000</v>
      </c>
      <c r="X497" s="331">
        <f>Partner4!$L108</f>
        <v>638190000</v>
      </c>
      <c r="Y497" s="331">
        <f>Partner5!$L108</f>
        <v>1125000000</v>
      </c>
      <c r="Z497" s="331">
        <f>Partner6!$L108</f>
        <v>0</v>
      </c>
      <c r="AA497" s="331">
        <f>Partner7!$L108</f>
        <v>0</v>
      </c>
      <c r="AB497" s="331">
        <f>Partner8!$L108</f>
        <v>0</v>
      </c>
      <c r="AC497" s="331">
        <f>Partner9!$L108</f>
        <v>0</v>
      </c>
      <c r="AD497" s="331">
        <f>Partner10!$L108</f>
        <v>0</v>
      </c>
    </row>
    <row r="498" spans="5:30" ht="12" x14ac:dyDescent="0.2">
      <c r="E498" s="301" t="str">
        <f>Strategy4</f>
        <v>Objetivo estratégico 4: Fortalecer la protección social, la resiliencia de la respuesta a las emergencias y los desastres naturales.</v>
      </c>
      <c r="G498" s="94"/>
      <c r="H498" s="343"/>
      <c r="I498" s="344"/>
      <c r="J498" s="345"/>
      <c r="K498" s="365"/>
      <c r="L498" s="365"/>
      <c r="M498" s="365"/>
      <c r="N498" s="365"/>
      <c r="O498" s="365"/>
      <c r="P498" s="365"/>
      <c r="Q498" s="365"/>
      <c r="R498" s="365"/>
      <c r="S498" s="365"/>
      <c r="T498" s="365"/>
      <c r="U498" s="179"/>
      <c r="V498" s="179"/>
      <c r="W498" s="179"/>
      <c r="X498" s="179"/>
      <c r="Y498" s="179"/>
      <c r="Z498" s="179"/>
      <c r="AA498" s="179"/>
      <c r="AB498" s="179"/>
      <c r="AC498" s="179"/>
      <c r="AD498" s="179"/>
    </row>
    <row r="499" spans="5:30" ht="22.8" x14ac:dyDescent="0.2">
      <c r="F499" s="94" t="str">
        <f>STRAT4_IND1</f>
        <v xml:space="preserve">Se garantiza la protección social de los niños menores de 5 años, los adolescentes, FE/FA y otros grupos vulnerables. </v>
      </c>
      <c r="G499" s="94" t="str">
        <f ca="1">OFFSET(Variables_Lu!$D$10,Basic_Setup!H52,0)</f>
        <v>Nutrition-sensitive</v>
      </c>
      <c r="H499" s="346">
        <f>'Financial Req'!$L38</f>
        <v>12920770800.690666</v>
      </c>
      <c r="I499" s="347">
        <f>H499-J499</f>
        <v>1480342338.1724949</v>
      </c>
      <c r="J499" s="345">
        <f>SUM(K499:AD499)</f>
        <v>11440428462.518171</v>
      </c>
      <c r="K499" s="365">
        <f>Government1!$L38</f>
        <v>602279318.49211347</v>
      </c>
      <c r="L499" s="365">
        <f>Government2!$L38</f>
        <v>69102507.845433384</v>
      </c>
      <c r="M499" s="365">
        <f>Government3!$L38</f>
        <v>181338300</v>
      </c>
      <c r="N499" s="365">
        <f>Government4!$L38</f>
        <v>19411380.420142498</v>
      </c>
      <c r="O499" s="365">
        <f>Government5!$L38</f>
        <v>8351049.2930460004</v>
      </c>
      <c r="P499" s="365">
        <f>Government6!$L38</f>
        <v>2934900748.6242771</v>
      </c>
      <c r="Q499" s="365">
        <f>Government7!$L38</f>
        <v>365535296.42034602</v>
      </c>
      <c r="R499" s="365">
        <f>Government8!$L38</f>
        <v>17970361.422813002</v>
      </c>
      <c r="S499" s="365">
        <f>Government9!$L38</f>
        <v>0</v>
      </c>
      <c r="T499" s="365">
        <f>Government10!$L38</f>
        <v>0</v>
      </c>
      <c r="U499" s="179">
        <f>Partner1!$L109</f>
        <v>72000000</v>
      </c>
      <c r="V499" s="179">
        <f>Partner2!$L109</f>
        <v>0</v>
      </c>
      <c r="W499" s="179">
        <f>Partner3!$L109</f>
        <v>6269539500</v>
      </c>
      <c r="X499" s="179">
        <f>Partner4!$L109</f>
        <v>0</v>
      </c>
      <c r="Y499" s="179">
        <f>Partner5!$L109</f>
        <v>900000000</v>
      </c>
      <c r="Z499" s="179">
        <f>Partner6!$L109</f>
        <v>0</v>
      </c>
      <c r="AA499" s="179">
        <f>Partner7!$L109</f>
        <v>0</v>
      </c>
      <c r="AB499" s="179">
        <f>Partner8!$L109</f>
        <v>0</v>
      </c>
      <c r="AC499" s="179">
        <f>Partner9!$L109</f>
        <v>0</v>
      </c>
      <c r="AD499" s="179">
        <f>Partner10!$L109</f>
        <v>0</v>
      </c>
    </row>
    <row r="500" spans="5:30" ht="34.200000000000003" x14ac:dyDescent="0.2">
      <c r="F500" s="94" t="str">
        <f>STRAT4_IND2</f>
        <v xml:space="preserve">Se fortalece la capacidad de resiliencia y el estado nutricional de las poblaciones vulnerables, incluidos los niños de las zonas desfavorecidas.  </v>
      </c>
      <c r="G500" s="94" t="str">
        <f ca="1">OFFSET(Variables_Lu!$D$10,Basic_Setup!H53,0)</f>
        <v>Nutrition-specific</v>
      </c>
      <c r="H500" s="346">
        <f>'Financial Req'!$L39</f>
        <v>12920770800.690666</v>
      </c>
      <c r="I500" s="347">
        <f>H500-J500</f>
        <v>8559881838.1724949</v>
      </c>
      <c r="J500" s="345">
        <f>SUM(K500:AD500)</f>
        <v>4360888962.5181713</v>
      </c>
      <c r="K500" s="365">
        <f>Government1!$L39</f>
        <v>602279318.49211347</v>
      </c>
      <c r="L500" s="365">
        <f>Government2!$L39</f>
        <v>69102507.845433384</v>
      </c>
      <c r="M500" s="365">
        <f>Government3!$L39</f>
        <v>181338300</v>
      </c>
      <c r="N500" s="365">
        <f>Government4!$L39</f>
        <v>19411380.420142498</v>
      </c>
      <c r="O500" s="365">
        <f>Government5!$L39</f>
        <v>8351049.2930460004</v>
      </c>
      <c r="P500" s="365">
        <f>Government6!$L39</f>
        <v>2934900748.6242771</v>
      </c>
      <c r="Q500" s="365">
        <f>Government7!$L39</f>
        <v>365535296.42034602</v>
      </c>
      <c r="R500" s="365">
        <f>Government8!$L39</f>
        <v>17970361.422813002</v>
      </c>
      <c r="S500" s="365">
        <f>Government9!$L39</f>
        <v>0</v>
      </c>
      <c r="T500" s="365">
        <f>Government10!$L39</f>
        <v>0</v>
      </c>
      <c r="U500" s="179">
        <f>Partner1!$L110</f>
        <v>72000000</v>
      </c>
      <c r="V500" s="179">
        <f>Partner2!$L110</f>
        <v>0</v>
      </c>
      <c r="W500" s="179">
        <f>Partner3!$L110</f>
        <v>0</v>
      </c>
      <c r="X500" s="179">
        <f>Partner4!$L110</f>
        <v>0</v>
      </c>
      <c r="Y500" s="179">
        <f>Partner5!$L110</f>
        <v>90000000</v>
      </c>
      <c r="Z500" s="179">
        <f>Partner6!$L110</f>
        <v>0</v>
      </c>
      <c r="AA500" s="179">
        <f>Partner7!$L110</f>
        <v>0</v>
      </c>
      <c r="AB500" s="179">
        <f>Partner8!$L110</f>
        <v>0</v>
      </c>
      <c r="AC500" s="179">
        <f>Partner9!$L110</f>
        <v>0</v>
      </c>
      <c r="AD500" s="179">
        <f>Partner10!$L110</f>
        <v>0</v>
      </c>
    </row>
    <row r="501" spans="5:30" ht="22.8" x14ac:dyDescent="0.2">
      <c r="F501" s="94" t="str">
        <f>STRAT4_IND3</f>
        <v xml:space="preserve"> Se introducen eficazmente intervenciones para emergencias y catástrofes naturales integrales de la nutrición.</v>
      </c>
      <c r="G501" s="94" t="str">
        <f ca="1">OFFSET(Variables_Lu!$D$10,Basic_Setup!H54,0)</f>
        <v>Nutrition-specific</v>
      </c>
      <c r="H501" s="346">
        <f>'Financial Req'!$L40</f>
        <v>12920770800.690666</v>
      </c>
      <c r="I501" s="347">
        <f>H501-J501</f>
        <v>8145881838.1724949</v>
      </c>
      <c r="J501" s="345">
        <f>SUM(K501:AD501)</f>
        <v>4774888962.5181713</v>
      </c>
      <c r="K501" s="365">
        <f>Government1!$L40</f>
        <v>602279318.49211347</v>
      </c>
      <c r="L501" s="365">
        <f>Government2!$L40</f>
        <v>69102507.845433384</v>
      </c>
      <c r="M501" s="365">
        <f>Government3!$L40</f>
        <v>181338300</v>
      </c>
      <c r="N501" s="365">
        <f>Government4!$L40</f>
        <v>19411380.420142498</v>
      </c>
      <c r="O501" s="365">
        <f>Government5!$L40</f>
        <v>8351049.2930460004</v>
      </c>
      <c r="P501" s="365">
        <f>Government6!$L40</f>
        <v>2934900748.6242771</v>
      </c>
      <c r="Q501" s="365">
        <f>Government7!$L40</f>
        <v>365535296.42034602</v>
      </c>
      <c r="R501" s="365">
        <f>Government8!$L40</f>
        <v>17970361.422813002</v>
      </c>
      <c r="S501" s="365">
        <f>Government9!$L40</f>
        <v>0</v>
      </c>
      <c r="T501" s="365">
        <f>Government10!$L40</f>
        <v>0</v>
      </c>
      <c r="U501" s="179">
        <f>Partner1!$L111</f>
        <v>576000000</v>
      </c>
      <c r="V501" s="179">
        <f>Partner2!$L111</f>
        <v>0</v>
      </c>
      <c r="W501" s="179">
        <f>Partner3!$L111</f>
        <v>0</v>
      </c>
      <c r="X501" s="179">
        <f>Partner4!$L111</f>
        <v>0</v>
      </c>
      <c r="Y501" s="179">
        <f>Partner5!$L111</f>
        <v>0</v>
      </c>
      <c r="Z501" s="179">
        <f>Partner6!$L111</f>
        <v>0</v>
      </c>
      <c r="AA501" s="179">
        <f>Partner7!$L111</f>
        <v>0</v>
      </c>
      <c r="AB501" s="179">
        <f>Partner8!$L111</f>
        <v>0</v>
      </c>
      <c r="AC501" s="179">
        <f>Partner9!$L111</f>
        <v>0</v>
      </c>
      <c r="AD501" s="179">
        <f>Partner10!$L111</f>
        <v>0</v>
      </c>
    </row>
    <row r="502" spans="5:30" ht="12" x14ac:dyDescent="0.2">
      <c r="F502" s="94" t="str">
        <f>STRAT4_IND4</f>
        <v>Objetivo estratégico 4 Indicador 4</v>
      </c>
      <c r="G502" s="94" t="str">
        <f ca="1">OFFSET(Variables_Lu!$D$10,Basic_Setup!H55,0)</f>
        <v>Nutrition-specific</v>
      </c>
      <c r="H502" s="346">
        <f>'Financial Req'!$L41</f>
        <v>0</v>
      </c>
      <c r="I502" s="347">
        <f>H502-J502</f>
        <v>0</v>
      </c>
      <c r="J502" s="345">
        <f>SUM(K502:AD502)</f>
        <v>0</v>
      </c>
      <c r="K502" s="365">
        <f>Government1!$L41</f>
        <v>0</v>
      </c>
      <c r="L502" s="365">
        <f>Government2!$L41</f>
        <v>0</v>
      </c>
      <c r="M502" s="365">
        <f>Government3!$L41</f>
        <v>0</v>
      </c>
      <c r="N502" s="365">
        <f>Government4!$L41</f>
        <v>0</v>
      </c>
      <c r="O502" s="365">
        <f>Government5!$L41</f>
        <v>0</v>
      </c>
      <c r="P502" s="365">
        <f>Government6!$L41</f>
        <v>0</v>
      </c>
      <c r="Q502" s="365">
        <f>Government7!$L41</f>
        <v>0</v>
      </c>
      <c r="R502" s="365">
        <f>Government8!$L41</f>
        <v>0</v>
      </c>
      <c r="S502" s="365">
        <f>Government9!$L41</f>
        <v>0</v>
      </c>
      <c r="T502" s="365">
        <f>Government10!$L41</f>
        <v>0</v>
      </c>
      <c r="U502" s="179">
        <f>Partner1!$L112</f>
        <v>0</v>
      </c>
      <c r="V502" s="179">
        <f>Partner2!$L112</f>
        <v>0</v>
      </c>
      <c r="W502" s="179">
        <f>Partner3!$L112</f>
        <v>0</v>
      </c>
      <c r="X502" s="179">
        <f>Partner4!$L112</f>
        <v>0</v>
      </c>
      <c r="Y502" s="179">
        <f>Partner5!$L112</f>
        <v>0</v>
      </c>
      <c r="Z502" s="179">
        <f>Partner6!$L112</f>
        <v>0</v>
      </c>
      <c r="AA502" s="179">
        <f>Partner7!$L112</f>
        <v>0</v>
      </c>
      <c r="AB502" s="179">
        <f>Partner8!$L112</f>
        <v>0</v>
      </c>
      <c r="AC502" s="179">
        <f>Partner9!$L112</f>
        <v>0</v>
      </c>
      <c r="AD502" s="179">
        <f>Partner10!$L112</f>
        <v>0</v>
      </c>
    </row>
    <row r="503" spans="5:30" ht="12" x14ac:dyDescent="0.2">
      <c r="F503" s="94" t="str">
        <f>STRAT4_IND5</f>
        <v>Objetivo estratégico 4 Indicador 5</v>
      </c>
      <c r="G503" s="94" t="str">
        <f ca="1">OFFSET(Variables_Lu!$D$10,Basic_Setup!H56,0)</f>
        <v>Nutrition-specific</v>
      </c>
      <c r="H503" s="346">
        <f>'Financial Req'!$L42</f>
        <v>0</v>
      </c>
      <c r="I503" s="347">
        <f>H503-J503</f>
        <v>0</v>
      </c>
      <c r="J503" s="345">
        <f>SUM(K503:AD503)</f>
        <v>0</v>
      </c>
      <c r="K503" s="365">
        <f>Government1!$L42</f>
        <v>0</v>
      </c>
      <c r="L503" s="365">
        <f>Government2!$L42</f>
        <v>0</v>
      </c>
      <c r="M503" s="365">
        <f>Government3!$L42</f>
        <v>0</v>
      </c>
      <c r="N503" s="365">
        <f>Government4!$L42</f>
        <v>0</v>
      </c>
      <c r="O503" s="365">
        <f>Government5!$L42</f>
        <v>0</v>
      </c>
      <c r="P503" s="365">
        <f>Government6!$L42</f>
        <v>0</v>
      </c>
      <c r="Q503" s="365">
        <f>Government7!$L42</f>
        <v>0</v>
      </c>
      <c r="R503" s="365">
        <f>Government8!$L42</f>
        <v>0</v>
      </c>
      <c r="S503" s="365">
        <f>Government9!$L42</f>
        <v>0</v>
      </c>
      <c r="T503" s="365">
        <f>Government10!$L42</f>
        <v>0</v>
      </c>
      <c r="U503" s="179">
        <f>Partner1!$L113</f>
        <v>0</v>
      </c>
      <c r="V503" s="179">
        <f>Partner2!$L113</f>
        <v>0</v>
      </c>
      <c r="W503" s="179">
        <f>Partner3!$L113</f>
        <v>0</v>
      </c>
      <c r="X503" s="179">
        <f>Partner4!$L113</f>
        <v>0</v>
      </c>
      <c r="Y503" s="179">
        <f>Partner5!$L113</f>
        <v>0</v>
      </c>
      <c r="Z503" s="179">
        <f>Partner6!$L113</f>
        <v>0</v>
      </c>
      <c r="AA503" s="179">
        <f>Partner7!$L113</f>
        <v>0</v>
      </c>
      <c r="AB503" s="179">
        <f>Partner8!$L113</f>
        <v>0</v>
      </c>
      <c r="AC503" s="179">
        <f>Partner9!$L113</f>
        <v>0</v>
      </c>
      <c r="AD503" s="179">
        <f>Partner10!$L113</f>
        <v>0</v>
      </c>
    </row>
    <row r="504" spans="5:30" ht="34.200000000000003" x14ac:dyDescent="0.2">
      <c r="F504" s="332" t="str">
        <f>"Subtotal: "&amp;E188</f>
        <v>Subtotal: Objetivo estratégico 4: Fortalecer la protección social, la resiliencia de la respuesta a las emergencias y los desastres naturales.</v>
      </c>
      <c r="G504" s="333"/>
      <c r="H504" s="348">
        <f>'Financial Req'!$L43</f>
        <v>38762312402.071999</v>
      </c>
      <c r="I504" s="349">
        <f>SUM(I499:I503)</f>
        <v>18186106014.517487</v>
      </c>
      <c r="J504" s="350">
        <f>SUM(J499:J503)</f>
        <v>20576206387.554512</v>
      </c>
      <c r="K504" s="366">
        <f>Government1!$L43</f>
        <v>1806837955.4763403</v>
      </c>
      <c r="L504" s="366">
        <f>Government2!$L43</f>
        <v>207307523.53630015</v>
      </c>
      <c r="M504" s="366">
        <f>Government3!$L43</f>
        <v>544014900</v>
      </c>
      <c r="N504" s="366">
        <f>Government4!$L43</f>
        <v>58234141.26042749</v>
      </c>
      <c r="O504" s="366">
        <f>Government5!$L43</f>
        <v>25053147.879138</v>
      </c>
      <c r="P504" s="366">
        <f>Government6!$L43</f>
        <v>8804702245.8728313</v>
      </c>
      <c r="Q504" s="366">
        <f>Government7!$L43</f>
        <v>1096605889.2610381</v>
      </c>
      <c r="R504" s="366">
        <f>Government8!$L43</f>
        <v>53911084.26843901</v>
      </c>
      <c r="S504" s="366">
        <f>Government9!$L43</f>
        <v>0</v>
      </c>
      <c r="T504" s="366">
        <f>Government10!$L43</f>
        <v>0</v>
      </c>
      <c r="U504" s="331">
        <f>Partner1!$L114</f>
        <v>720000000</v>
      </c>
      <c r="V504" s="331">
        <f>Partner2!$L114</f>
        <v>0</v>
      </c>
      <c r="W504" s="331">
        <f>Partner3!$L114</f>
        <v>6269539500</v>
      </c>
      <c r="X504" s="331">
        <f>Partner4!$L114</f>
        <v>0</v>
      </c>
      <c r="Y504" s="331">
        <f>Partner5!$L114</f>
        <v>990000000</v>
      </c>
      <c r="Z504" s="331">
        <f>Partner6!$L114</f>
        <v>0</v>
      </c>
      <c r="AA504" s="331">
        <f>Partner7!$L114</f>
        <v>0</v>
      </c>
      <c r="AB504" s="331">
        <f>Partner8!$L114</f>
        <v>0</v>
      </c>
      <c r="AC504" s="331">
        <f>Partner9!$L114</f>
        <v>0</v>
      </c>
      <c r="AD504" s="331">
        <f>Partner10!$L114</f>
        <v>0</v>
      </c>
    </row>
    <row r="505" spans="5:30" ht="12" x14ac:dyDescent="0.2">
      <c r="E505" s="301" t="str">
        <f>Strategy5</f>
        <v xml:space="preserve">Objetivo estratégico 5: Promoción de prácticas favorables a una nutrición óptima, de higiene y saneamiento básico. </v>
      </c>
      <c r="G505" s="94"/>
      <c r="H505" s="343"/>
      <c r="I505" s="344"/>
      <c r="J505" s="345"/>
      <c r="K505" s="365"/>
      <c r="L505" s="365"/>
      <c r="M505" s="365"/>
      <c r="N505" s="365"/>
      <c r="O505" s="365"/>
      <c r="P505" s="365"/>
      <c r="Q505" s="365"/>
      <c r="R505" s="365"/>
      <c r="S505" s="365"/>
      <c r="T505" s="365"/>
      <c r="U505" s="179"/>
      <c r="V505" s="179"/>
      <c r="W505" s="179"/>
      <c r="X505" s="179"/>
      <c r="Y505" s="179"/>
      <c r="Z505" s="179"/>
      <c r="AA505" s="179"/>
      <c r="AB505" s="179"/>
      <c r="AC505" s="179"/>
      <c r="AD505" s="179"/>
    </row>
    <row r="506" spans="5:30" ht="34.200000000000003" x14ac:dyDescent="0.2">
      <c r="F506" s="94" t="str">
        <f>STRAT5_IND1</f>
        <v>Se mejoran las prácticas nutricionales favorables para los niños menores de 5 años, los adolescentes, las mujeres embarazadas y lactantes, y otros grupos vulnerables.</v>
      </c>
      <c r="G506" s="94" t="str">
        <f ca="1">OFFSET(Variables_Lu!$D$10,Basic_Setup!H58,0)</f>
        <v>Nutrition-specific</v>
      </c>
      <c r="H506" s="346">
        <f>'Financial Req'!$L44</f>
        <v>4469100356.1111002</v>
      </c>
      <c r="I506" s="347">
        <f>H506-J506</f>
        <v>-117099603.06848526</v>
      </c>
      <c r="J506" s="345">
        <f>SUM(K506:AD506)</f>
        <v>4586199959.1795855</v>
      </c>
      <c r="K506" s="365">
        <f>Government1!$L44</f>
        <v>16528128.920057997</v>
      </c>
      <c r="L506" s="365">
        <f>Government2!$L44</f>
        <v>1896354.6037544999</v>
      </c>
      <c r="M506" s="365">
        <f>Government3!$L44</f>
        <v>4976399.9999999991</v>
      </c>
      <c r="N506" s="365">
        <f>Government4!$L44</f>
        <v>532699.34438999987</v>
      </c>
      <c r="O506" s="365">
        <f>Government5!$L44</f>
        <v>229174.76176799997</v>
      </c>
      <c r="P506" s="365">
        <f>Government6!$L44</f>
        <v>80541397.407242998</v>
      </c>
      <c r="Q506" s="365">
        <f>Government7!$L44</f>
        <v>10031250.150168</v>
      </c>
      <c r="R506" s="365">
        <f>Government8!$L44</f>
        <v>493153.99220399995</v>
      </c>
      <c r="S506" s="365">
        <f>Government9!$L44</f>
        <v>0</v>
      </c>
      <c r="T506" s="365">
        <f>Government10!$L44</f>
        <v>0</v>
      </c>
      <c r="U506" s="179">
        <f>Partner1!$L115</f>
        <v>2160000000</v>
      </c>
      <c r="V506" s="179">
        <f>Partner2!$L115</f>
        <v>0</v>
      </c>
      <c r="W506" s="179">
        <f>Partner3!$L115</f>
        <v>510971400</v>
      </c>
      <c r="X506" s="179">
        <f>Partner4!$L115</f>
        <v>0</v>
      </c>
      <c r="Y506" s="179">
        <f>Partner5!$L115</f>
        <v>1800000000</v>
      </c>
      <c r="Z506" s="179">
        <f>Partner6!$L115</f>
        <v>0</v>
      </c>
      <c r="AA506" s="179">
        <f>Partner7!$L115</f>
        <v>0</v>
      </c>
      <c r="AB506" s="179">
        <f>Partner8!$L115</f>
        <v>0</v>
      </c>
      <c r="AC506" s="179">
        <f>Partner9!$L115</f>
        <v>0</v>
      </c>
      <c r="AD506" s="179">
        <f>Partner10!$L115</f>
        <v>0</v>
      </c>
    </row>
    <row r="507" spans="5:30" ht="22.8" x14ac:dyDescent="0.2">
      <c r="F507" s="94" t="str">
        <f>STRAT5_IND2</f>
        <v>Se promueven dietas saludables y estilos de vida saludables para las personas.</v>
      </c>
      <c r="G507" s="94" t="str">
        <f ca="1">OFFSET(Variables_Lu!$D$10,Basic_Setup!H59,0)</f>
        <v>Nutrition-specific</v>
      </c>
      <c r="H507" s="346">
        <f>'Financial Req'!$L45</f>
        <v>4469100356.1111002</v>
      </c>
      <c r="I507" s="347">
        <f>H507-J507</f>
        <v>3489871796.9315147</v>
      </c>
      <c r="J507" s="345">
        <f>SUM(K507:AD507)</f>
        <v>979228559.17958546</v>
      </c>
      <c r="K507" s="365">
        <f>Government1!$L45</f>
        <v>16528128.920057997</v>
      </c>
      <c r="L507" s="365">
        <f>Government2!$L45</f>
        <v>1896354.6037544999</v>
      </c>
      <c r="M507" s="365">
        <f>Government3!$L45</f>
        <v>4976399.9999999991</v>
      </c>
      <c r="N507" s="365">
        <f>Government4!$L45</f>
        <v>532699.34438999987</v>
      </c>
      <c r="O507" s="365">
        <f>Government5!$L45</f>
        <v>229174.76176799997</v>
      </c>
      <c r="P507" s="365">
        <f>Government6!$L45</f>
        <v>80541397.407242998</v>
      </c>
      <c r="Q507" s="365">
        <f>Government7!$L45</f>
        <v>10031250.150168</v>
      </c>
      <c r="R507" s="365">
        <f>Government8!$L45</f>
        <v>493153.99220399995</v>
      </c>
      <c r="S507" s="365">
        <f>Government9!$L45</f>
        <v>0</v>
      </c>
      <c r="T507" s="365">
        <f>Government10!$L45</f>
        <v>0</v>
      </c>
      <c r="U507" s="179">
        <f>Partner1!$L116</f>
        <v>864000000</v>
      </c>
      <c r="V507" s="179">
        <f>Partner2!$L116</f>
        <v>0</v>
      </c>
      <c r="W507" s="179">
        <f>Partner3!$L116</f>
        <v>0</v>
      </c>
      <c r="X507" s="179">
        <f>Partner4!$L116</f>
        <v>0</v>
      </c>
      <c r="Y507" s="179">
        <f>Partner5!$L116</f>
        <v>0</v>
      </c>
      <c r="Z507" s="179">
        <f>Partner6!$L116</f>
        <v>0</v>
      </c>
      <c r="AA507" s="179">
        <f>Partner7!$L116</f>
        <v>0</v>
      </c>
      <c r="AB507" s="179">
        <f>Partner8!$L116</f>
        <v>0</v>
      </c>
      <c r="AC507" s="179">
        <f>Partner9!$L116</f>
        <v>0</v>
      </c>
      <c r="AD507" s="179">
        <f>Partner10!$L116</f>
        <v>0</v>
      </c>
    </row>
    <row r="508" spans="5:30" ht="22.8" x14ac:dyDescent="0.2">
      <c r="F508" s="94" t="str">
        <f>STRAT5_IND3</f>
        <v>Se promueven las buenas prácticas WASH a nivel comunitario y doméstico</v>
      </c>
      <c r="G508" s="94" t="str">
        <f ca="1">OFFSET(Variables_Lu!$D$10,Basic_Setup!H60,0)</f>
        <v>Nutrition-sensitive</v>
      </c>
      <c r="H508" s="346">
        <f>'Financial Req'!$L46</f>
        <v>4469100356.1111002</v>
      </c>
      <c r="I508" s="347">
        <f>H508-J508</f>
        <v>3057871796.9315147</v>
      </c>
      <c r="J508" s="345">
        <f>SUM(K508:AD508)</f>
        <v>1411228559.1795855</v>
      </c>
      <c r="K508" s="365">
        <f>Government1!$L46</f>
        <v>16528128.920057997</v>
      </c>
      <c r="L508" s="365">
        <f>Government2!$L46</f>
        <v>1896354.6037544999</v>
      </c>
      <c r="M508" s="365">
        <f>Government3!$L46</f>
        <v>4976399.9999999991</v>
      </c>
      <c r="N508" s="365">
        <f>Government4!$L46</f>
        <v>532699.34438999987</v>
      </c>
      <c r="O508" s="365">
        <f>Government5!$L46</f>
        <v>229174.76176799997</v>
      </c>
      <c r="P508" s="365">
        <f>Government6!$L46</f>
        <v>80541397.407242998</v>
      </c>
      <c r="Q508" s="365">
        <f>Government7!$L46</f>
        <v>10031250.150168</v>
      </c>
      <c r="R508" s="365">
        <f>Government8!$L46</f>
        <v>493153.99220399995</v>
      </c>
      <c r="S508" s="365">
        <f>Government9!$L46</f>
        <v>0</v>
      </c>
      <c r="T508" s="365">
        <f>Government10!$L46</f>
        <v>0</v>
      </c>
      <c r="U508" s="179">
        <f>Partner1!$L117</f>
        <v>1296000000</v>
      </c>
      <c r="V508" s="179">
        <f>Partner2!$L117</f>
        <v>0</v>
      </c>
      <c r="W508" s="179">
        <f>Partner3!$L117</f>
        <v>0</v>
      </c>
      <c r="X508" s="179">
        <f>Partner4!$L117</f>
        <v>0</v>
      </c>
      <c r="Y508" s="179">
        <f>Partner5!$L117</f>
        <v>0</v>
      </c>
      <c r="Z508" s="179">
        <f>Partner6!$L117</f>
        <v>0</v>
      </c>
      <c r="AA508" s="179">
        <f>Partner7!$L117</f>
        <v>0</v>
      </c>
      <c r="AB508" s="179">
        <f>Partner8!$L117</f>
        <v>0</v>
      </c>
      <c r="AC508" s="179">
        <f>Partner9!$L117</f>
        <v>0</v>
      </c>
      <c r="AD508" s="179">
        <f>Partner10!$L117</f>
        <v>0</v>
      </c>
    </row>
    <row r="509" spans="5:30" ht="12" x14ac:dyDescent="0.2">
      <c r="F509" s="94" t="str">
        <f>STRAT5_IND4</f>
        <v>Objetivo estratégico 5 Indicador 4</v>
      </c>
      <c r="G509" s="94" t="str">
        <f ca="1">OFFSET(Variables_Lu!$D$10,Basic_Setup!H61,0)</f>
        <v>Nutrition-specific</v>
      </c>
      <c r="H509" s="346">
        <f>'Financial Req'!$L47</f>
        <v>0</v>
      </c>
      <c r="I509" s="347">
        <f>H509-J509</f>
        <v>0</v>
      </c>
      <c r="J509" s="345">
        <f>SUM(K509:AD509)</f>
        <v>0</v>
      </c>
      <c r="K509" s="365">
        <f>Government1!$L47</f>
        <v>0</v>
      </c>
      <c r="L509" s="365">
        <f>Government2!$L47</f>
        <v>0</v>
      </c>
      <c r="M509" s="365">
        <f>Government3!$L47</f>
        <v>0</v>
      </c>
      <c r="N509" s="365">
        <f>Government4!$L47</f>
        <v>0</v>
      </c>
      <c r="O509" s="365">
        <f>Government5!$L47</f>
        <v>0</v>
      </c>
      <c r="P509" s="365">
        <f>Government6!$L47</f>
        <v>0</v>
      </c>
      <c r="Q509" s="365">
        <f>Government7!$L47</f>
        <v>0</v>
      </c>
      <c r="R509" s="365">
        <f>Government8!$L47</f>
        <v>0</v>
      </c>
      <c r="S509" s="365">
        <f>Government9!$L47</f>
        <v>0</v>
      </c>
      <c r="T509" s="365">
        <f>Government10!$L47</f>
        <v>0</v>
      </c>
      <c r="U509" s="179">
        <f>Partner1!$L118</f>
        <v>0</v>
      </c>
      <c r="V509" s="179">
        <f>Partner2!$L118</f>
        <v>0</v>
      </c>
      <c r="W509" s="179">
        <f>Partner3!$L118</f>
        <v>0</v>
      </c>
      <c r="X509" s="179">
        <f>Partner4!$L118</f>
        <v>0</v>
      </c>
      <c r="Y509" s="179">
        <f>Partner5!$L118</f>
        <v>0</v>
      </c>
      <c r="Z509" s="179">
        <f>Partner6!$L118</f>
        <v>0</v>
      </c>
      <c r="AA509" s="179">
        <f>Partner7!$L118</f>
        <v>0</v>
      </c>
      <c r="AB509" s="179">
        <f>Partner8!$L118</f>
        <v>0</v>
      </c>
      <c r="AC509" s="179">
        <f>Partner9!$L118</f>
        <v>0</v>
      </c>
      <c r="AD509" s="179">
        <f>Partner10!$L118</f>
        <v>0</v>
      </c>
    </row>
    <row r="510" spans="5:30" ht="12" x14ac:dyDescent="0.2">
      <c r="F510" s="94" t="str">
        <f>STRAT5_IND5</f>
        <v>Objetivo estratégico 5 Indicador 5</v>
      </c>
      <c r="G510" s="94" t="str">
        <f ca="1">OFFSET(Variables_Lu!$D$10,Basic_Setup!H62,0)</f>
        <v>Nutrition-specific</v>
      </c>
      <c r="H510" s="346">
        <f>'Financial Req'!$L48</f>
        <v>0</v>
      </c>
      <c r="I510" s="347">
        <f>H510-J510</f>
        <v>0</v>
      </c>
      <c r="J510" s="345">
        <f>SUM(K510:AD510)</f>
        <v>0</v>
      </c>
      <c r="K510" s="365">
        <f>Government1!$L48</f>
        <v>0</v>
      </c>
      <c r="L510" s="365">
        <f>Government2!$L48</f>
        <v>0</v>
      </c>
      <c r="M510" s="365">
        <f>Government3!$L48</f>
        <v>0</v>
      </c>
      <c r="N510" s="365">
        <f>Government4!$L48</f>
        <v>0</v>
      </c>
      <c r="O510" s="365">
        <f>Government5!$L48</f>
        <v>0</v>
      </c>
      <c r="P510" s="365">
        <f>Government6!$L48</f>
        <v>0</v>
      </c>
      <c r="Q510" s="365">
        <f>Government7!$L48</f>
        <v>0</v>
      </c>
      <c r="R510" s="365">
        <f>Government8!$L48</f>
        <v>0</v>
      </c>
      <c r="S510" s="365">
        <f>Government9!$L48</f>
        <v>0</v>
      </c>
      <c r="T510" s="365">
        <f>Government10!$L48</f>
        <v>0</v>
      </c>
      <c r="U510" s="179">
        <f>Partner1!$L119</f>
        <v>0</v>
      </c>
      <c r="V510" s="179">
        <f>Partner2!$L119</f>
        <v>0</v>
      </c>
      <c r="W510" s="179">
        <f>Partner3!$L119</f>
        <v>0</v>
      </c>
      <c r="X510" s="179">
        <f>Partner4!$L119</f>
        <v>0</v>
      </c>
      <c r="Y510" s="179">
        <f>Partner5!$L119</f>
        <v>0</v>
      </c>
      <c r="Z510" s="179">
        <f>Partner6!$L119</f>
        <v>0</v>
      </c>
      <c r="AA510" s="179">
        <f>Partner7!$L119</f>
        <v>0</v>
      </c>
      <c r="AB510" s="179">
        <f>Partner8!$L119</f>
        <v>0</v>
      </c>
      <c r="AC510" s="179">
        <f>Partner9!$L119</f>
        <v>0</v>
      </c>
      <c r="AD510" s="179">
        <f>Partner10!$L119</f>
        <v>0</v>
      </c>
    </row>
    <row r="511" spans="5:30" ht="34.200000000000003" x14ac:dyDescent="0.2">
      <c r="F511" s="332" t="str">
        <f>"Subtotal: "&amp;E195</f>
        <v xml:space="preserve">Subtotal: Objetivo estratégico 5: Promoción de prácticas favorables a una nutrición óptima, de higiene y saneamiento básico. </v>
      </c>
      <c r="G511" s="333"/>
      <c r="H511" s="348">
        <f>'Financial Req'!$L49</f>
        <v>13407301068.333302</v>
      </c>
      <c r="I511" s="349">
        <f>SUM(I506:I510)</f>
        <v>6430643990.7945442</v>
      </c>
      <c r="J511" s="350">
        <f>SUM(J506:J510)</f>
        <v>6976657077.5387564</v>
      </c>
      <c r="K511" s="366">
        <f>Government1!$L49</f>
        <v>49584386.760173991</v>
      </c>
      <c r="L511" s="366">
        <f>Government2!$L49</f>
        <v>5689063.8112634998</v>
      </c>
      <c r="M511" s="366">
        <f>Government3!$L49</f>
        <v>14929199.999999996</v>
      </c>
      <c r="N511" s="366">
        <f>Government4!$L49</f>
        <v>1598098.0331699997</v>
      </c>
      <c r="O511" s="366">
        <f>Government5!$L49</f>
        <v>687524.2853039999</v>
      </c>
      <c r="P511" s="366">
        <f>Government6!$L49</f>
        <v>241624192.22172898</v>
      </c>
      <c r="Q511" s="366">
        <f>Government7!$L49</f>
        <v>30093750.450503998</v>
      </c>
      <c r="R511" s="366">
        <f>Government8!$L49</f>
        <v>1479461.9766119998</v>
      </c>
      <c r="S511" s="366">
        <f>Government9!$L49</f>
        <v>0</v>
      </c>
      <c r="T511" s="366">
        <f>Government10!$L49</f>
        <v>0</v>
      </c>
      <c r="U511" s="331">
        <f>Partner1!$L120</f>
        <v>4320000000</v>
      </c>
      <c r="V511" s="331">
        <f>Partner2!$L120</f>
        <v>0</v>
      </c>
      <c r="W511" s="331">
        <f>Partner3!$L120</f>
        <v>510971400</v>
      </c>
      <c r="X511" s="331">
        <f>Partner4!$L120</f>
        <v>0</v>
      </c>
      <c r="Y511" s="331">
        <f>Partner5!$L120</f>
        <v>1800000000</v>
      </c>
      <c r="Z511" s="331">
        <f>Partner6!$L120</f>
        <v>0</v>
      </c>
      <c r="AA511" s="331">
        <f>Partner7!$L120</f>
        <v>0</v>
      </c>
      <c r="AB511" s="331">
        <f>Partner8!$L120</f>
        <v>0</v>
      </c>
      <c r="AC511" s="331">
        <f>Partner9!$L120</f>
        <v>0</v>
      </c>
      <c r="AD511" s="331">
        <f>Partner10!$L120</f>
        <v>0</v>
      </c>
    </row>
    <row r="512" spans="5:30" ht="12" x14ac:dyDescent="0.2">
      <c r="E512" s="301" t="str">
        <f>Strategy6</f>
        <v>Objetivo estratégico 6: [No está en uso]</v>
      </c>
      <c r="G512" s="94"/>
      <c r="H512" s="343"/>
      <c r="I512" s="344"/>
      <c r="J512" s="345"/>
      <c r="K512" s="365"/>
      <c r="L512" s="365"/>
      <c r="M512" s="365"/>
      <c r="N512" s="365"/>
      <c r="O512" s="365"/>
      <c r="P512" s="365"/>
      <c r="Q512" s="365"/>
      <c r="R512" s="365"/>
      <c r="S512" s="365"/>
      <c r="T512" s="365"/>
      <c r="U512" s="179"/>
      <c r="V512" s="179"/>
      <c r="W512" s="179"/>
      <c r="X512" s="179"/>
      <c r="Y512" s="179"/>
      <c r="Z512" s="179"/>
      <c r="AA512" s="179"/>
      <c r="AB512" s="179"/>
      <c r="AC512" s="179"/>
      <c r="AD512" s="179"/>
    </row>
    <row r="513" spans="5:30" ht="12" x14ac:dyDescent="0.2">
      <c r="F513" s="94" t="str">
        <f>STRAT6_IND1</f>
        <v>Objetivo estratégico 6 Indicador 1</v>
      </c>
      <c r="G513" s="94" t="str">
        <f ca="1">OFFSET(Variables_Lu!$D$10,Basic_Setup!H64,0)</f>
        <v>Nutrition-specific</v>
      </c>
      <c r="H513" s="346">
        <f>'Financial Req'!$L50</f>
        <v>0</v>
      </c>
      <c r="I513" s="347">
        <f>H513-J513</f>
        <v>0</v>
      </c>
      <c r="J513" s="345">
        <f>SUM(K513:AD513)</f>
        <v>0</v>
      </c>
      <c r="K513" s="365">
        <f>Government1!$L50</f>
        <v>0</v>
      </c>
      <c r="L513" s="365">
        <f>Government2!$L50</f>
        <v>0</v>
      </c>
      <c r="M513" s="365">
        <f>Government3!$L50</f>
        <v>0</v>
      </c>
      <c r="N513" s="365">
        <f>Government4!$L50</f>
        <v>0</v>
      </c>
      <c r="O513" s="365">
        <f>Government5!$L50</f>
        <v>0</v>
      </c>
      <c r="P513" s="365">
        <f>Government6!$L50</f>
        <v>0</v>
      </c>
      <c r="Q513" s="365">
        <f>Government7!$L50</f>
        <v>0</v>
      </c>
      <c r="R513" s="365">
        <f>Government8!$L50</f>
        <v>0</v>
      </c>
      <c r="S513" s="365">
        <f>Government9!$L50</f>
        <v>0</v>
      </c>
      <c r="T513" s="365">
        <f>Government10!$L50</f>
        <v>0</v>
      </c>
      <c r="U513" s="179">
        <f>Partner1!$L121</f>
        <v>0</v>
      </c>
      <c r="V513" s="179">
        <f>Partner2!$L121</f>
        <v>0</v>
      </c>
      <c r="W513" s="179">
        <f>Partner3!$L121</f>
        <v>0</v>
      </c>
      <c r="X513" s="179">
        <f>Partner4!$L121</f>
        <v>0</v>
      </c>
      <c r="Y513" s="179">
        <f>Partner5!$L121</f>
        <v>0</v>
      </c>
      <c r="Z513" s="179">
        <f>Partner6!$L121</f>
        <v>0</v>
      </c>
      <c r="AA513" s="179">
        <f>Partner7!$L121</f>
        <v>0</v>
      </c>
      <c r="AB513" s="179">
        <f>Partner8!$L121</f>
        <v>0</v>
      </c>
      <c r="AC513" s="179">
        <f>Partner9!$L121</f>
        <v>0</v>
      </c>
      <c r="AD513" s="179">
        <f>Partner10!$L121</f>
        <v>0</v>
      </c>
    </row>
    <row r="514" spans="5:30" ht="12" x14ac:dyDescent="0.2">
      <c r="F514" s="94" t="str">
        <f>STRAT6_IND2</f>
        <v>Objetivo estratégico 6 Indicador 2</v>
      </c>
      <c r="G514" s="94" t="str">
        <f ca="1">OFFSET(Variables_Lu!$D$10,Basic_Setup!H65,0)</f>
        <v>Nutrition-specific</v>
      </c>
      <c r="H514" s="346">
        <f>'Financial Req'!$L51</f>
        <v>0</v>
      </c>
      <c r="I514" s="347">
        <f>H514-J514</f>
        <v>0</v>
      </c>
      <c r="J514" s="345">
        <f>SUM(K514:AD514)</f>
        <v>0</v>
      </c>
      <c r="K514" s="365">
        <f>Government1!$L51</f>
        <v>0</v>
      </c>
      <c r="L514" s="365">
        <f>Government2!$L51</f>
        <v>0</v>
      </c>
      <c r="M514" s="365">
        <f>Government3!$L51</f>
        <v>0</v>
      </c>
      <c r="N514" s="365">
        <f>Government4!$L51</f>
        <v>0</v>
      </c>
      <c r="O514" s="365">
        <f>Government5!$L51</f>
        <v>0</v>
      </c>
      <c r="P514" s="365">
        <f>Government6!$L51</f>
        <v>0</v>
      </c>
      <c r="Q514" s="365">
        <f>Government7!$L51</f>
        <v>0</v>
      </c>
      <c r="R514" s="365">
        <f>Government8!$L51</f>
        <v>0</v>
      </c>
      <c r="S514" s="365">
        <f>Government9!$L51</f>
        <v>0</v>
      </c>
      <c r="T514" s="365">
        <f>Government10!$L51</f>
        <v>0</v>
      </c>
      <c r="U514" s="179">
        <f>Partner1!$L122</f>
        <v>0</v>
      </c>
      <c r="V514" s="179">
        <f>Partner2!$L122</f>
        <v>0</v>
      </c>
      <c r="W514" s="179">
        <f>Partner3!$L122</f>
        <v>0</v>
      </c>
      <c r="X514" s="179">
        <f>Partner4!$L122</f>
        <v>0</v>
      </c>
      <c r="Y514" s="179">
        <f>Partner5!$L122</f>
        <v>0</v>
      </c>
      <c r="Z514" s="179">
        <f>Partner6!$L122</f>
        <v>0</v>
      </c>
      <c r="AA514" s="179">
        <f>Partner7!$L122</f>
        <v>0</v>
      </c>
      <c r="AB514" s="179">
        <f>Partner8!$L122</f>
        <v>0</v>
      </c>
      <c r="AC514" s="179">
        <f>Partner9!$L122</f>
        <v>0</v>
      </c>
      <c r="AD514" s="179">
        <f>Partner10!$L122</f>
        <v>0</v>
      </c>
    </row>
    <row r="515" spans="5:30" ht="12" x14ac:dyDescent="0.2">
      <c r="F515" s="94" t="str">
        <f>STRAT6_IND3</f>
        <v>Objetivo estratégico 6 Indicador 3</v>
      </c>
      <c r="G515" s="94" t="str">
        <f ca="1">OFFSET(Variables_Lu!$D$10,Basic_Setup!H66,0)</f>
        <v>Nutrition-specific</v>
      </c>
      <c r="H515" s="346">
        <f>'Financial Req'!$L52</f>
        <v>0</v>
      </c>
      <c r="I515" s="347">
        <f>H515-J515</f>
        <v>0</v>
      </c>
      <c r="J515" s="345">
        <f>SUM(K515:AD515)</f>
        <v>0</v>
      </c>
      <c r="K515" s="365">
        <f>Government1!$L52</f>
        <v>0</v>
      </c>
      <c r="L515" s="365">
        <f>Government2!$L52</f>
        <v>0</v>
      </c>
      <c r="M515" s="365">
        <f>Government3!$L52</f>
        <v>0</v>
      </c>
      <c r="N515" s="365">
        <f>Government4!$L52</f>
        <v>0</v>
      </c>
      <c r="O515" s="365">
        <f>Government5!$L52</f>
        <v>0</v>
      </c>
      <c r="P515" s="365">
        <f>Government6!$L52</f>
        <v>0</v>
      </c>
      <c r="Q515" s="365">
        <f>Government7!$L52</f>
        <v>0</v>
      </c>
      <c r="R515" s="365">
        <f>Government8!$L52</f>
        <v>0</v>
      </c>
      <c r="S515" s="365">
        <f>Government9!$L52</f>
        <v>0</v>
      </c>
      <c r="T515" s="365">
        <f>Government10!$L52</f>
        <v>0</v>
      </c>
      <c r="U515" s="179">
        <f>Partner1!$L123</f>
        <v>0</v>
      </c>
      <c r="V515" s="179">
        <f>Partner2!$L123</f>
        <v>0</v>
      </c>
      <c r="W515" s="179">
        <f>Partner3!$L123</f>
        <v>0</v>
      </c>
      <c r="X515" s="179">
        <f>Partner4!$L123</f>
        <v>0</v>
      </c>
      <c r="Y515" s="179">
        <f>Partner5!$L123</f>
        <v>0</v>
      </c>
      <c r="Z515" s="179">
        <f>Partner6!$L123</f>
        <v>0</v>
      </c>
      <c r="AA515" s="179">
        <f>Partner7!$L123</f>
        <v>0</v>
      </c>
      <c r="AB515" s="179">
        <f>Partner8!$L123</f>
        <v>0</v>
      </c>
      <c r="AC515" s="179">
        <f>Partner9!$L123</f>
        <v>0</v>
      </c>
      <c r="AD515" s="179">
        <f>Partner10!$L123</f>
        <v>0</v>
      </c>
    </row>
    <row r="516" spans="5:30" ht="12" x14ac:dyDescent="0.2">
      <c r="F516" s="94" t="str">
        <f>STRAT6_IND4</f>
        <v>Objetivo estratégico 6 Indicador 4</v>
      </c>
      <c r="G516" s="94" t="str">
        <f ca="1">OFFSET(Variables_Lu!$D$10,Basic_Setup!H67,0)</f>
        <v>Nutrition-specific</v>
      </c>
      <c r="H516" s="346">
        <f>'Financial Req'!$L53</f>
        <v>0</v>
      </c>
      <c r="I516" s="347">
        <f>H516-J516</f>
        <v>0</v>
      </c>
      <c r="J516" s="345">
        <f>SUM(K516:AD516)</f>
        <v>0</v>
      </c>
      <c r="K516" s="365">
        <f>Government1!$L53</f>
        <v>0</v>
      </c>
      <c r="L516" s="365">
        <f>Government2!$L53</f>
        <v>0</v>
      </c>
      <c r="M516" s="365">
        <f>Government3!$L53</f>
        <v>0</v>
      </c>
      <c r="N516" s="365">
        <f>Government4!$L53</f>
        <v>0</v>
      </c>
      <c r="O516" s="365">
        <f>Government5!$L53</f>
        <v>0</v>
      </c>
      <c r="P516" s="365">
        <f>Government6!$L53</f>
        <v>0</v>
      </c>
      <c r="Q516" s="365">
        <f>Government7!$L53</f>
        <v>0</v>
      </c>
      <c r="R516" s="365">
        <f>Government8!$L53</f>
        <v>0</v>
      </c>
      <c r="S516" s="365">
        <f>Government9!$L53</f>
        <v>0</v>
      </c>
      <c r="T516" s="365">
        <f>Government10!$L53</f>
        <v>0</v>
      </c>
      <c r="U516" s="179">
        <f>Partner1!$L124</f>
        <v>0</v>
      </c>
      <c r="V516" s="179">
        <f>Partner2!$L124</f>
        <v>0</v>
      </c>
      <c r="W516" s="179">
        <f>Partner3!$L124</f>
        <v>0</v>
      </c>
      <c r="X516" s="179">
        <f>Partner4!$L124</f>
        <v>0</v>
      </c>
      <c r="Y516" s="179">
        <f>Partner5!$L124</f>
        <v>0</v>
      </c>
      <c r="Z516" s="179">
        <f>Partner6!$L124</f>
        <v>0</v>
      </c>
      <c r="AA516" s="179">
        <f>Partner7!$L124</f>
        <v>0</v>
      </c>
      <c r="AB516" s="179">
        <f>Partner8!$L124</f>
        <v>0</v>
      </c>
      <c r="AC516" s="179">
        <f>Partner9!$L124</f>
        <v>0</v>
      </c>
      <c r="AD516" s="179">
        <f>Partner10!$L124</f>
        <v>0</v>
      </c>
    </row>
    <row r="517" spans="5:30" ht="12" x14ac:dyDescent="0.2">
      <c r="F517" s="94" t="str">
        <f>STRAT6_IND5</f>
        <v>Objetivo estratégico 6 Indicador 5</v>
      </c>
      <c r="G517" s="94" t="str">
        <f ca="1">OFFSET(Variables_Lu!$D$10,Basic_Setup!H68,0)</f>
        <v>Nutrition-specific</v>
      </c>
      <c r="H517" s="346">
        <f>'Financial Req'!$L54</f>
        <v>0</v>
      </c>
      <c r="I517" s="347">
        <f>H517-J517</f>
        <v>0</v>
      </c>
      <c r="J517" s="345">
        <f>SUM(K517:AD517)</f>
        <v>0</v>
      </c>
      <c r="K517" s="365">
        <f>Government1!$L54</f>
        <v>0</v>
      </c>
      <c r="L517" s="365">
        <f>Government2!$L54</f>
        <v>0</v>
      </c>
      <c r="M517" s="365">
        <f>Government3!$L54</f>
        <v>0</v>
      </c>
      <c r="N517" s="365">
        <f>Government4!$L54</f>
        <v>0</v>
      </c>
      <c r="O517" s="365">
        <f>Government5!$L54</f>
        <v>0</v>
      </c>
      <c r="P517" s="365">
        <f>Government6!$L54</f>
        <v>0</v>
      </c>
      <c r="Q517" s="365">
        <f>Government7!$L54</f>
        <v>0</v>
      </c>
      <c r="R517" s="365">
        <f>Government8!$L54</f>
        <v>0</v>
      </c>
      <c r="S517" s="365">
        <f>Government9!$L54</f>
        <v>0</v>
      </c>
      <c r="T517" s="365">
        <f>Government10!$L54</f>
        <v>0</v>
      </c>
      <c r="U517" s="179">
        <f>Partner1!$L125</f>
        <v>0</v>
      </c>
      <c r="V517" s="179">
        <f>Partner2!$L125</f>
        <v>0</v>
      </c>
      <c r="W517" s="179">
        <f>Partner3!$L125</f>
        <v>0</v>
      </c>
      <c r="X517" s="179">
        <f>Partner4!$L125</f>
        <v>0</v>
      </c>
      <c r="Y517" s="179">
        <f>Partner5!$L125</f>
        <v>0</v>
      </c>
      <c r="Z517" s="179">
        <f>Partner6!$L125</f>
        <v>0</v>
      </c>
      <c r="AA517" s="179">
        <f>Partner7!$L125</f>
        <v>0</v>
      </c>
      <c r="AB517" s="179">
        <f>Partner8!$L125</f>
        <v>0</v>
      </c>
      <c r="AC517" s="179">
        <f>Partner9!$L125</f>
        <v>0</v>
      </c>
      <c r="AD517" s="179">
        <f>Partner10!$L125</f>
        <v>0</v>
      </c>
    </row>
    <row r="518" spans="5:30" x14ac:dyDescent="0.2">
      <c r="F518" s="332" t="str">
        <f>"Subtotal: "&amp;E202</f>
        <v>Subtotal: Objetivo estratégico 6: [No está en uso]</v>
      </c>
      <c r="G518" s="333"/>
      <c r="H518" s="348">
        <f>'Financial Req'!$L55</f>
        <v>0</v>
      </c>
      <c r="I518" s="349">
        <f>SUM(I513:I517)</f>
        <v>0</v>
      </c>
      <c r="J518" s="350">
        <f>SUM(J513:J517)</f>
        <v>0</v>
      </c>
      <c r="K518" s="366">
        <f>Government1!$L55</f>
        <v>0</v>
      </c>
      <c r="L518" s="366">
        <f>Government2!$L55</f>
        <v>0</v>
      </c>
      <c r="M518" s="366">
        <f>Government3!$L55</f>
        <v>0</v>
      </c>
      <c r="N518" s="366">
        <f>Government4!$L55</f>
        <v>0</v>
      </c>
      <c r="O518" s="366">
        <f>Government5!$L55</f>
        <v>0</v>
      </c>
      <c r="P518" s="366">
        <f>Government6!$L55</f>
        <v>0</v>
      </c>
      <c r="Q518" s="366">
        <f>Government7!$L55</f>
        <v>0</v>
      </c>
      <c r="R518" s="366">
        <f>Government8!$L55</f>
        <v>0</v>
      </c>
      <c r="S518" s="366">
        <f>Government9!$L55</f>
        <v>0</v>
      </c>
      <c r="T518" s="366">
        <f>Government10!$L55</f>
        <v>0</v>
      </c>
      <c r="U518" s="331">
        <f>Partner1!$L126</f>
        <v>0</v>
      </c>
      <c r="V518" s="331">
        <f>Partner2!$L126</f>
        <v>0</v>
      </c>
      <c r="W518" s="331">
        <f>Partner3!$L126</f>
        <v>0</v>
      </c>
      <c r="X518" s="331">
        <f>Partner4!$L126</f>
        <v>0</v>
      </c>
      <c r="Y518" s="331">
        <f>Partner5!$L126</f>
        <v>0</v>
      </c>
      <c r="Z518" s="331">
        <f>Partner6!$L126</f>
        <v>0</v>
      </c>
      <c r="AA518" s="331">
        <f>Partner7!$L126</f>
        <v>0</v>
      </c>
      <c r="AB518" s="331">
        <f>Partner8!$L126</f>
        <v>0</v>
      </c>
      <c r="AC518" s="331">
        <f>Partner9!$L126</f>
        <v>0</v>
      </c>
      <c r="AD518" s="331">
        <f>Partner10!$L126</f>
        <v>0</v>
      </c>
    </row>
    <row r="519" spans="5:30" ht="12" x14ac:dyDescent="0.2">
      <c r="E519" s="301" t="str">
        <f>Strategy7</f>
        <v>Objetivo estratégico 7: [No está en uso]</v>
      </c>
      <c r="G519" s="94"/>
      <c r="H519" s="343"/>
      <c r="I519" s="344"/>
      <c r="J519" s="345"/>
      <c r="K519" s="365"/>
      <c r="L519" s="365"/>
      <c r="M519" s="365"/>
      <c r="N519" s="365"/>
      <c r="O519" s="365"/>
      <c r="P519" s="365"/>
      <c r="Q519" s="365"/>
      <c r="R519" s="365"/>
      <c r="S519" s="365"/>
      <c r="T519" s="365"/>
      <c r="U519" s="179"/>
      <c r="V519" s="179"/>
      <c r="W519" s="179"/>
      <c r="X519" s="179"/>
      <c r="Y519" s="179"/>
      <c r="Z519" s="179"/>
      <c r="AA519" s="179"/>
      <c r="AB519" s="179"/>
      <c r="AC519" s="179"/>
      <c r="AD519" s="179"/>
    </row>
    <row r="520" spans="5:30" ht="12" x14ac:dyDescent="0.2">
      <c r="F520" s="94" t="str">
        <f>STRAT7_IND1</f>
        <v>Objetivo estratégico 7 Indicador 1</v>
      </c>
      <c r="G520" s="94" t="str">
        <f ca="1">OFFSET(Variables_Lu!$D$10,Basic_Setup!H70,0)</f>
        <v>Nutrition-specific</v>
      </c>
      <c r="H520" s="346">
        <f>'Financial Req'!$L56</f>
        <v>0</v>
      </c>
      <c r="I520" s="347">
        <f>H520-J520</f>
        <v>0</v>
      </c>
      <c r="J520" s="345">
        <f>SUM(K520:AD520)</f>
        <v>0</v>
      </c>
      <c r="K520" s="365">
        <f>Government1!$L56</f>
        <v>0</v>
      </c>
      <c r="L520" s="365">
        <f>Government2!$L56</f>
        <v>0</v>
      </c>
      <c r="M520" s="365">
        <f>Government3!$L56</f>
        <v>0</v>
      </c>
      <c r="N520" s="365">
        <f>Government4!$L56</f>
        <v>0</v>
      </c>
      <c r="O520" s="365">
        <f>Government5!$L56</f>
        <v>0</v>
      </c>
      <c r="P520" s="365">
        <f>Government6!$L56</f>
        <v>0</v>
      </c>
      <c r="Q520" s="365">
        <f>Government7!$L56</f>
        <v>0</v>
      </c>
      <c r="R520" s="365">
        <f>Government8!$L56</f>
        <v>0</v>
      </c>
      <c r="S520" s="365">
        <f>Government9!$L56</f>
        <v>0</v>
      </c>
      <c r="T520" s="365">
        <f>Government10!$L56</f>
        <v>0</v>
      </c>
      <c r="U520" s="179">
        <f>Partner1!$L127</f>
        <v>0</v>
      </c>
      <c r="V520" s="179">
        <f>Partner2!$L127</f>
        <v>0</v>
      </c>
      <c r="W520" s="179">
        <f>Partner3!$L127</f>
        <v>0</v>
      </c>
      <c r="X520" s="179">
        <f>Partner4!$L127</f>
        <v>0</v>
      </c>
      <c r="Y520" s="179">
        <f>Partner5!$L127</f>
        <v>0</v>
      </c>
      <c r="Z520" s="179">
        <f>Partner6!$L127</f>
        <v>0</v>
      </c>
      <c r="AA520" s="179">
        <f>Partner7!$L127</f>
        <v>0</v>
      </c>
      <c r="AB520" s="179">
        <f>Partner8!$L127</f>
        <v>0</v>
      </c>
      <c r="AC520" s="179">
        <f>Partner9!$L127</f>
        <v>0</v>
      </c>
      <c r="AD520" s="179">
        <f>Partner10!$L127</f>
        <v>0</v>
      </c>
    </row>
    <row r="521" spans="5:30" ht="12" x14ac:dyDescent="0.2">
      <c r="F521" s="94" t="str">
        <f>STRAT7_IND2</f>
        <v>Objetivo estratégico 7 Indicador 2</v>
      </c>
      <c r="G521" s="94" t="str">
        <f ca="1">OFFSET(Variables_Lu!$D$10,Basic_Setup!H71,0)</f>
        <v>Nutrition-specific</v>
      </c>
      <c r="H521" s="346">
        <f>'Financial Req'!$L57</f>
        <v>0</v>
      </c>
      <c r="I521" s="347">
        <f>H521-J521</f>
        <v>0</v>
      </c>
      <c r="J521" s="345">
        <f>SUM(K521:AD521)</f>
        <v>0</v>
      </c>
      <c r="K521" s="365">
        <f>Government1!$L57</f>
        <v>0</v>
      </c>
      <c r="L521" s="365">
        <f>Government2!$L57</f>
        <v>0</v>
      </c>
      <c r="M521" s="365">
        <f>Government3!$L57</f>
        <v>0</v>
      </c>
      <c r="N521" s="365">
        <f>Government4!$L57</f>
        <v>0</v>
      </c>
      <c r="O521" s="365">
        <f>Government5!$L57</f>
        <v>0</v>
      </c>
      <c r="P521" s="365">
        <f>Government6!$L57</f>
        <v>0</v>
      </c>
      <c r="Q521" s="365">
        <f>Government7!$L57</f>
        <v>0</v>
      </c>
      <c r="R521" s="365">
        <f>Government8!$L57</f>
        <v>0</v>
      </c>
      <c r="S521" s="365">
        <f>Government9!$L57</f>
        <v>0</v>
      </c>
      <c r="T521" s="365">
        <f>Government10!$L57</f>
        <v>0</v>
      </c>
      <c r="U521" s="179">
        <f>Partner1!$L128</f>
        <v>0</v>
      </c>
      <c r="V521" s="179">
        <f>Partner2!$L128</f>
        <v>0</v>
      </c>
      <c r="W521" s="179">
        <f>Partner3!$L128</f>
        <v>0</v>
      </c>
      <c r="X521" s="179">
        <f>Partner4!$L128</f>
        <v>0</v>
      </c>
      <c r="Y521" s="179">
        <f>Partner5!$L128</f>
        <v>0</v>
      </c>
      <c r="Z521" s="179">
        <f>Partner6!$L128</f>
        <v>0</v>
      </c>
      <c r="AA521" s="179">
        <f>Partner7!$L128</f>
        <v>0</v>
      </c>
      <c r="AB521" s="179">
        <f>Partner8!$L128</f>
        <v>0</v>
      </c>
      <c r="AC521" s="179">
        <f>Partner9!$L128</f>
        <v>0</v>
      </c>
      <c r="AD521" s="179">
        <f>Partner10!$L128</f>
        <v>0</v>
      </c>
    </row>
    <row r="522" spans="5:30" ht="12" x14ac:dyDescent="0.2">
      <c r="F522" s="94" t="str">
        <f>STRAT7_IND3</f>
        <v>Objetivo estratégico 7 Indicador 3</v>
      </c>
      <c r="G522" s="94" t="str">
        <f ca="1">OFFSET(Variables_Lu!$D$10,Basic_Setup!H72,0)</f>
        <v>Nutrition-specific</v>
      </c>
      <c r="H522" s="346">
        <f>'Financial Req'!$L58</f>
        <v>0</v>
      </c>
      <c r="I522" s="347">
        <f>H522-J522</f>
        <v>0</v>
      </c>
      <c r="J522" s="345">
        <f>SUM(K522:AD522)</f>
        <v>0</v>
      </c>
      <c r="K522" s="365">
        <f>Government1!$L58</f>
        <v>0</v>
      </c>
      <c r="L522" s="365">
        <f>Government2!$L58</f>
        <v>0</v>
      </c>
      <c r="M522" s="365">
        <f>Government3!$L58</f>
        <v>0</v>
      </c>
      <c r="N522" s="365">
        <f>Government4!$L58</f>
        <v>0</v>
      </c>
      <c r="O522" s="365">
        <f>Government5!$L58</f>
        <v>0</v>
      </c>
      <c r="P522" s="365">
        <f>Government6!$L58</f>
        <v>0</v>
      </c>
      <c r="Q522" s="365">
        <f>Government7!$L58</f>
        <v>0</v>
      </c>
      <c r="R522" s="365">
        <f>Government8!$L58</f>
        <v>0</v>
      </c>
      <c r="S522" s="365">
        <f>Government9!$L58</f>
        <v>0</v>
      </c>
      <c r="T522" s="365">
        <f>Government10!$L58</f>
        <v>0</v>
      </c>
      <c r="U522" s="179">
        <f>Partner1!$L129</f>
        <v>0</v>
      </c>
      <c r="V522" s="179">
        <f>Partner2!$L129</f>
        <v>0</v>
      </c>
      <c r="W522" s="179">
        <f>Partner3!$L129</f>
        <v>0</v>
      </c>
      <c r="X522" s="179">
        <f>Partner4!$L129</f>
        <v>0</v>
      </c>
      <c r="Y522" s="179">
        <f>Partner5!$L129</f>
        <v>0</v>
      </c>
      <c r="Z522" s="179">
        <f>Partner6!$L129</f>
        <v>0</v>
      </c>
      <c r="AA522" s="179">
        <f>Partner7!$L129</f>
        <v>0</v>
      </c>
      <c r="AB522" s="179">
        <f>Partner8!$L129</f>
        <v>0</v>
      </c>
      <c r="AC522" s="179">
        <f>Partner9!$L129</f>
        <v>0</v>
      </c>
      <c r="AD522" s="179">
        <f>Partner10!$L129</f>
        <v>0</v>
      </c>
    </row>
    <row r="523" spans="5:30" ht="12" x14ac:dyDescent="0.2">
      <c r="F523" s="94" t="str">
        <f>STRAT7_IND4</f>
        <v>Objetivo estratégico 7 Indicador 4</v>
      </c>
      <c r="G523" s="94" t="str">
        <f ca="1">OFFSET(Variables_Lu!$D$10,Basic_Setup!H73,0)</f>
        <v>Nutrition-specific</v>
      </c>
      <c r="H523" s="346">
        <f>'Financial Req'!$L59</f>
        <v>0</v>
      </c>
      <c r="I523" s="347">
        <f>H523-J523</f>
        <v>0</v>
      </c>
      <c r="J523" s="345">
        <f>SUM(K523:AD523)</f>
        <v>0</v>
      </c>
      <c r="K523" s="365">
        <f>Government1!$L59</f>
        <v>0</v>
      </c>
      <c r="L523" s="365">
        <f>Government2!$L59</f>
        <v>0</v>
      </c>
      <c r="M523" s="365">
        <f>Government3!$L59</f>
        <v>0</v>
      </c>
      <c r="N523" s="365">
        <f>Government4!$L59</f>
        <v>0</v>
      </c>
      <c r="O523" s="365">
        <f>Government5!$L59</f>
        <v>0</v>
      </c>
      <c r="P523" s="365">
        <f>Government6!$L59</f>
        <v>0</v>
      </c>
      <c r="Q523" s="365">
        <f>Government7!$L59</f>
        <v>0</v>
      </c>
      <c r="R523" s="365">
        <f>Government8!$L59</f>
        <v>0</v>
      </c>
      <c r="S523" s="365">
        <f>Government9!$L59</f>
        <v>0</v>
      </c>
      <c r="T523" s="365">
        <f>Government10!$L59</f>
        <v>0</v>
      </c>
      <c r="U523" s="179">
        <f>Partner1!$L130</f>
        <v>0</v>
      </c>
      <c r="V523" s="179">
        <f>Partner2!$L130</f>
        <v>0</v>
      </c>
      <c r="W523" s="179">
        <f>Partner3!$L130</f>
        <v>0</v>
      </c>
      <c r="X523" s="179">
        <f>Partner4!$L130</f>
        <v>0</v>
      </c>
      <c r="Y523" s="179">
        <f>Partner5!$L130</f>
        <v>0</v>
      </c>
      <c r="Z523" s="179">
        <f>Partner6!$L130</f>
        <v>0</v>
      </c>
      <c r="AA523" s="179">
        <f>Partner7!$L130</f>
        <v>0</v>
      </c>
      <c r="AB523" s="179">
        <f>Partner8!$L130</f>
        <v>0</v>
      </c>
      <c r="AC523" s="179">
        <f>Partner9!$L130</f>
        <v>0</v>
      </c>
      <c r="AD523" s="179">
        <f>Partner10!$L130</f>
        <v>0</v>
      </c>
    </row>
    <row r="524" spans="5:30" ht="12" x14ac:dyDescent="0.2">
      <c r="F524" s="94" t="str">
        <f>STRAT7_IND5</f>
        <v>Objetivo estratégico 7 Indicador 5</v>
      </c>
      <c r="G524" s="94" t="str">
        <f ca="1">OFFSET(Variables_Lu!$D$10,Basic_Setup!H74,0)</f>
        <v>Nutrition-specific</v>
      </c>
      <c r="H524" s="346">
        <f>'Financial Req'!$L60</f>
        <v>0</v>
      </c>
      <c r="I524" s="347">
        <f>H524-J524</f>
        <v>0</v>
      </c>
      <c r="J524" s="345">
        <f>SUM(K524:AD524)</f>
        <v>0</v>
      </c>
      <c r="K524" s="365">
        <f>Government1!$L60</f>
        <v>0</v>
      </c>
      <c r="L524" s="365">
        <f>Government2!$L60</f>
        <v>0</v>
      </c>
      <c r="M524" s="365">
        <f>Government3!$L60</f>
        <v>0</v>
      </c>
      <c r="N524" s="365">
        <f>Government4!$L60</f>
        <v>0</v>
      </c>
      <c r="O524" s="365">
        <f>Government5!$L60</f>
        <v>0</v>
      </c>
      <c r="P524" s="365">
        <f>Government6!$L60</f>
        <v>0</v>
      </c>
      <c r="Q524" s="365">
        <f>Government7!$L60</f>
        <v>0</v>
      </c>
      <c r="R524" s="365">
        <f>Government8!$L60</f>
        <v>0</v>
      </c>
      <c r="S524" s="365">
        <f>Government9!$L60</f>
        <v>0</v>
      </c>
      <c r="T524" s="365">
        <f>Government10!$L60</f>
        <v>0</v>
      </c>
      <c r="U524" s="179">
        <f>Partner1!$L131</f>
        <v>0</v>
      </c>
      <c r="V524" s="179">
        <f>Partner2!$L131</f>
        <v>0</v>
      </c>
      <c r="W524" s="179">
        <f>Partner3!$L131</f>
        <v>0</v>
      </c>
      <c r="X524" s="179">
        <f>Partner4!$L131</f>
        <v>0</v>
      </c>
      <c r="Y524" s="179">
        <f>Partner5!$L131</f>
        <v>0</v>
      </c>
      <c r="Z524" s="179">
        <f>Partner6!$L131</f>
        <v>0</v>
      </c>
      <c r="AA524" s="179">
        <f>Partner7!$L131</f>
        <v>0</v>
      </c>
      <c r="AB524" s="179">
        <f>Partner8!$L131</f>
        <v>0</v>
      </c>
      <c r="AC524" s="179">
        <f>Partner9!$L131</f>
        <v>0</v>
      </c>
      <c r="AD524" s="179">
        <f>Partner10!$L131</f>
        <v>0</v>
      </c>
    </row>
    <row r="525" spans="5:30" x14ac:dyDescent="0.2">
      <c r="F525" s="332" t="str">
        <f>"Subtotal: "&amp;E209</f>
        <v>Subtotal: Objetivo estratégico 7: [No está en uso]</v>
      </c>
      <c r="G525" s="333"/>
      <c r="H525" s="348">
        <f>'Financial Req'!$L61</f>
        <v>0</v>
      </c>
      <c r="I525" s="349">
        <f>SUM(I520:I524)</f>
        <v>0</v>
      </c>
      <c r="J525" s="350">
        <f>SUM(J520:J524)</f>
        <v>0</v>
      </c>
      <c r="K525" s="366">
        <f>Government1!$L61</f>
        <v>0</v>
      </c>
      <c r="L525" s="366">
        <f>Government2!$L61</f>
        <v>0</v>
      </c>
      <c r="M525" s="366">
        <f>Government3!$L61</f>
        <v>0</v>
      </c>
      <c r="N525" s="366">
        <f>Government4!$L61</f>
        <v>0</v>
      </c>
      <c r="O525" s="366">
        <f>Government5!$L61</f>
        <v>0</v>
      </c>
      <c r="P525" s="366">
        <f>Government6!$L61</f>
        <v>0</v>
      </c>
      <c r="Q525" s="366">
        <f>Government7!$L61</f>
        <v>0</v>
      </c>
      <c r="R525" s="366">
        <f>Government8!$L61</f>
        <v>0</v>
      </c>
      <c r="S525" s="366">
        <f>Government9!$L61</f>
        <v>0</v>
      </c>
      <c r="T525" s="366">
        <f>Government10!$L61</f>
        <v>0</v>
      </c>
      <c r="U525" s="331">
        <f>Partner1!$L132</f>
        <v>0</v>
      </c>
      <c r="V525" s="331">
        <f>Partner2!$L132</f>
        <v>0</v>
      </c>
      <c r="W525" s="331">
        <f>Partner3!$L132</f>
        <v>0</v>
      </c>
      <c r="X525" s="331">
        <f>Partner4!$L132</f>
        <v>0</v>
      </c>
      <c r="Y525" s="331">
        <f>Partner5!$L132</f>
        <v>0</v>
      </c>
      <c r="Z525" s="331">
        <f>Partner6!$L132</f>
        <v>0</v>
      </c>
      <c r="AA525" s="331">
        <f>Partner7!$L132</f>
        <v>0</v>
      </c>
      <c r="AB525" s="331">
        <f>Partner8!$L132</f>
        <v>0</v>
      </c>
      <c r="AC525" s="331">
        <f>Partner9!$L132</f>
        <v>0</v>
      </c>
      <c r="AD525" s="331">
        <f>Partner10!$L132</f>
        <v>0</v>
      </c>
    </row>
    <row r="526" spans="5:30" ht="12" x14ac:dyDescent="0.2">
      <c r="E526" s="301" t="str">
        <f>Strategy8</f>
        <v>Objetivo estratégico 8: [No está en uso]</v>
      </c>
      <c r="G526" s="94"/>
      <c r="H526" s="343"/>
      <c r="I526" s="344"/>
      <c r="J526" s="345"/>
      <c r="K526" s="365"/>
      <c r="L526" s="365"/>
      <c r="M526" s="365"/>
      <c r="N526" s="365"/>
      <c r="O526" s="365"/>
      <c r="P526" s="365"/>
      <c r="Q526" s="365"/>
      <c r="R526" s="365"/>
      <c r="S526" s="365"/>
      <c r="T526" s="365"/>
      <c r="U526" s="179"/>
      <c r="V526" s="179"/>
      <c r="W526" s="179"/>
      <c r="X526" s="179"/>
      <c r="Y526" s="179"/>
      <c r="Z526" s="179"/>
      <c r="AA526" s="179"/>
      <c r="AB526" s="179"/>
      <c r="AC526" s="179"/>
      <c r="AD526" s="179"/>
    </row>
    <row r="527" spans="5:30" ht="12" x14ac:dyDescent="0.2">
      <c r="F527" s="94" t="str">
        <f>STRAT8_IND1</f>
        <v>Objetivo estratégico 8 Indicador 1</v>
      </c>
      <c r="G527" s="94" t="str">
        <f ca="1">OFFSET(Variables_Lu!$D$10,Basic_Setup!H76,0)</f>
        <v>Nutrition-specific</v>
      </c>
      <c r="H527" s="346">
        <f>'Financial Req'!$L62</f>
        <v>0</v>
      </c>
      <c r="I527" s="347">
        <f>H527-J527</f>
        <v>0</v>
      </c>
      <c r="J527" s="345">
        <f>SUM(K527:AD527)</f>
        <v>0</v>
      </c>
      <c r="K527" s="365">
        <f>Government1!$L62</f>
        <v>0</v>
      </c>
      <c r="L527" s="365">
        <f>Government2!$L62</f>
        <v>0</v>
      </c>
      <c r="M527" s="365">
        <f>Government3!$L62</f>
        <v>0</v>
      </c>
      <c r="N527" s="365">
        <f>Government4!$L62</f>
        <v>0</v>
      </c>
      <c r="O527" s="365">
        <f>Government5!$L62</f>
        <v>0</v>
      </c>
      <c r="P527" s="365">
        <f>Government6!$L62</f>
        <v>0</v>
      </c>
      <c r="Q527" s="365">
        <f>Government7!$L62</f>
        <v>0</v>
      </c>
      <c r="R527" s="365">
        <f>Government8!$L62</f>
        <v>0</v>
      </c>
      <c r="S527" s="365">
        <f>Government9!$L62</f>
        <v>0</v>
      </c>
      <c r="T527" s="365">
        <f>Government10!$L62</f>
        <v>0</v>
      </c>
      <c r="U527" s="179">
        <f>Partner1!$L133</f>
        <v>0</v>
      </c>
      <c r="V527" s="179">
        <f>Partner2!$L133</f>
        <v>0</v>
      </c>
      <c r="W527" s="179">
        <f>Partner3!$L133</f>
        <v>0</v>
      </c>
      <c r="X527" s="179">
        <f>Partner4!$L133</f>
        <v>0</v>
      </c>
      <c r="Y527" s="179">
        <f>Partner5!$L133</f>
        <v>0</v>
      </c>
      <c r="Z527" s="179">
        <f>Partner6!$L133</f>
        <v>0</v>
      </c>
      <c r="AA527" s="179">
        <f>Partner7!$L133</f>
        <v>0</v>
      </c>
      <c r="AB527" s="179">
        <f>Partner8!$L133</f>
        <v>0</v>
      </c>
      <c r="AC527" s="179">
        <f>Partner9!$L133</f>
        <v>0</v>
      </c>
      <c r="AD527" s="179">
        <f>Partner10!$L133</f>
        <v>0</v>
      </c>
    </row>
    <row r="528" spans="5:30" ht="12" x14ac:dyDescent="0.2">
      <c r="F528" s="94" t="str">
        <f>STRAT8_IND2</f>
        <v>Objetivo estratégico 8 Indicador 2</v>
      </c>
      <c r="G528" s="94" t="str">
        <f ca="1">OFFSET(Variables_Lu!$D$10,Basic_Setup!H77,0)</f>
        <v>Nutrition-specific</v>
      </c>
      <c r="H528" s="346">
        <f>'Financial Req'!$L63</f>
        <v>0</v>
      </c>
      <c r="I528" s="347">
        <f>H528-J528</f>
        <v>0</v>
      </c>
      <c r="J528" s="345">
        <f>SUM(K528:AD528)</f>
        <v>0</v>
      </c>
      <c r="K528" s="365">
        <f>Government1!$L63</f>
        <v>0</v>
      </c>
      <c r="L528" s="365">
        <f>Government2!$L63</f>
        <v>0</v>
      </c>
      <c r="M528" s="365">
        <f>Government3!$L63</f>
        <v>0</v>
      </c>
      <c r="N528" s="365">
        <f>Government4!$L63</f>
        <v>0</v>
      </c>
      <c r="O528" s="365">
        <f>Government5!$L63</f>
        <v>0</v>
      </c>
      <c r="P528" s="365">
        <f>Government6!$L63</f>
        <v>0</v>
      </c>
      <c r="Q528" s="365">
        <f>Government7!$L63</f>
        <v>0</v>
      </c>
      <c r="R528" s="365">
        <f>Government8!$L63</f>
        <v>0</v>
      </c>
      <c r="S528" s="365">
        <f>Government9!$L63</f>
        <v>0</v>
      </c>
      <c r="T528" s="365">
        <f>Government10!$L63</f>
        <v>0</v>
      </c>
      <c r="U528" s="179">
        <f>Partner1!$L134</f>
        <v>0</v>
      </c>
      <c r="V528" s="179">
        <f>Partner2!$L134</f>
        <v>0</v>
      </c>
      <c r="W528" s="179">
        <f>Partner3!$L134</f>
        <v>0</v>
      </c>
      <c r="X528" s="179">
        <f>Partner4!$L134</f>
        <v>0</v>
      </c>
      <c r="Y528" s="179">
        <f>Partner5!$L134</f>
        <v>0</v>
      </c>
      <c r="Z528" s="179">
        <f>Partner6!$L134</f>
        <v>0</v>
      </c>
      <c r="AA528" s="179">
        <f>Partner7!$L134</f>
        <v>0</v>
      </c>
      <c r="AB528" s="179">
        <f>Partner8!$L134</f>
        <v>0</v>
      </c>
      <c r="AC528" s="179">
        <f>Partner9!$L134</f>
        <v>0</v>
      </c>
      <c r="AD528" s="179">
        <f>Partner10!$L134</f>
        <v>0</v>
      </c>
    </row>
    <row r="529" spans="5:30" ht="12" x14ac:dyDescent="0.2">
      <c r="F529" s="94" t="str">
        <f>STRAT8_IND3</f>
        <v>Objetivo estratégico 8 Indicador 3</v>
      </c>
      <c r="G529" s="94" t="str">
        <f ca="1">OFFSET(Variables_Lu!$D$10,Basic_Setup!H78,0)</f>
        <v>Nutrition-specific</v>
      </c>
      <c r="H529" s="346">
        <f>'Financial Req'!$L64</f>
        <v>0</v>
      </c>
      <c r="I529" s="347">
        <f>H529-J529</f>
        <v>0</v>
      </c>
      <c r="J529" s="345">
        <f>SUM(K529:AD529)</f>
        <v>0</v>
      </c>
      <c r="K529" s="365">
        <f>Government1!$L64</f>
        <v>0</v>
      </c>
      <c r="L529" s="365">
        <f>Government2!$L64</f>
        <v>0</v>
      </c>
      <c r="M529" s="365">
        <f>Government3!$L64</f>
        <v>0</v>
      </c>
      <c r="N529" s="365">
        <f>Government4!$L64</f>
        <v>0</v>
      </c>
      <c r="O529" s="365">
        <f>Government5!$L64</f>
        <v>0</v>
      </c>
      <c r="P529" s="365">
        <f>Government6!$L64</f>
        <v>0</v>
      </c>
      <c r="Q529" s="365">
        <f>Government7!$L64</f>
        <v>0</v>
      </c>
      <c r="R529" s="365">
        <f>Government8!$L64</f>
        <v>0</v>
      </c>
      <c r="S529" s="365">
        <f>Government9!$L64</f>
        <v>0</v>
      </c>
      <c r="T529" s="365">
        <f>Government10!$L64</f>
        <v>0</v>
      </c>
      <c r="U529" s="179">
        <f>Partner1!$L135</f>
        <v>0</v>
      </c>
      <c r="V529" s="179">
        <f>Partner2!$L135</f>
        <v>0</v>
      </c>
      <c r="W529" s="179">
        <f>Partner3!$L135</f>
        <v>0</v>
      </c>
      <c r="X529" s="179">
        <f>Partner4!$L135</f>
        <v>0</v>
      </c>
      <c r="Y529" s="179">
        <f>Partner5!$L135</f>
        <v>0</v>
      </c>
      <c r="Z529" s="179">
        <f>Partner6!$L135</f>
        <v>0</v>
      </c>
      <c r="AA529" s="179">
        <f>Partner7!$L135</f>
        <v>0</v>
      </c>
      <c r="AB529" s="179">
        <f>Partner8!$L135</f>
        <v>0</v>
      </c>
      <c r="AC529" s="179">
        <f>Partner9!$L135</f>
        <v>0</v>
      </c>
      <c r="AD529" s="179">
        <f>Partner10!$L135</f>
        <v>0</v>
      </c>
    </row>
    <row r="530" spans="5:30" ht="12" x14ac:dyDescent="0.2">
      <c r="F530" s="94" t="str">
        <f>STRAT8_IND4</f>
        <v>Objetivo estratégico 8 Indicador 4</v>
      </c>
      <c r="G530" s="94" t="str">
        <f ca="1">OFFSET(Variables_Lu!$D$10,Basic_Setup!H79,0)</f>
        <v>Nutrition-specific</v>
      </c>
      <c r="H530" s="346">
        <f>'Financial Req'!$L65</f>
        <v>0</v>
      </c>
      <c r="I530" s="347">
        <f>H530-J530</f>
        <v>0</v>
      </c>
      <c r="J530" s="345">
        <f>SUM(K530:AD530)</f>
        <v>0</v>
      </c>
      <c r="K530" s="365">
        <f>Government1!$L65</f>
        <v>0</v>
      </c>
      <c r="L530" s="365">
        <f>Government2!$L65</f>
        <v>0</v>
      </c>
      <c r="M530" s="365">
        <f>Government3!$L65</f>
        <v>0</v>
      </c>
      <c r="N530" s="365">
        <f>Government4!$L65</f>
        <v>0</v>
      </c>
      <c r="O530" s="365">
        <f>Government5!$L65</f>
        <v>0</v>
      </c>
      <c r="P530" s="365">
        <f>Government6!$L65</f>
        <v>0</v>
      </c>
      <c r="Q530" s="365">
        <f>Government7!$L65</f>
        <v>0</v>
      </c>
      <c r="R530" s="365">
        <f>Government8!$L65</f>
        <v>0</v>
      </c>
      <c r="S530" s="365">
        <f>Government9!$L65</f>
        <v>0</v>
      </c>
      <c r="T530" s="365">
        <f>Government10!$L65</f>
        <v>0</v>
      </c>
      <c r="U530" s="179">
        <f>Partner1!$L136</f>
        <v>0</v>
      </c>
      <c r="V530" s="179">
        <f>Partner2!$L136</f>
        <v>0</v>
      </c>
      <c r="W530" s="179">
        <f>Partner3!$L136</f>
        <v>0</v>
      </c>
      <c r="X530" s="179">
        <f>Partner4!$L136</f>
        <v>0</v>
      </c>
      <c r="Y530" s="179">
        <f>Partner5!$L136</f>
        <v>0</v>
      </c>
      <c r="Z530" s="179">
        <f>Partner6!$L136</f>
        <v>0</v>
      </c>
      <c r="AA530" s="179">
        <f>Partner7!$L136</f>
        <v>0</v>
      </c>
      <c r="AB530" s="179">
        <f>Partner8!$L136</f>
        <v>0</v>
      </c>
      <c r="AC530" s="179">
        <f>Partner9!$L136</f>
        <v>0</v>
      </c>
      <c r="AD530" s="179">
        <f>Partner10!$L136</f>
        <v>0</v>
      </c>
    </row>
    <row r="531" spans="5:30" ht="12" x14ac:dyDescent="0.2">
      <c r="F531" s="94" t="str">
        <f>STRAT8_IND5</f>
        <v>Objetivo estratégico 8 Indicador 5</v>
      </c>
      <c r="G531" s="94" t="str">
        <f ca="1">OFFSET(Variables_Lu!$D$10,Basic_Setup!H80,0)</f>
        <v>Nutrition-specific</v>
      </c>
      <c r="H531" s="346">
        <f>'Financial Req'!$L66</f>
        <v>0</v>
      </c>
      <c r="I531" s="347">
        <f>H531-J531</f>
        <v>0</v>
      </c>
      <c r="J531" s="345">
        <f>SUM(K531:AD531)</f>
        <v>0</v>
      </c>
      <c r="K531" s="365">
        <f>Government1!$L66</f>
        <v>0</v>
      </c>
      <c r="L531" s="365">
        <f>Government2!$L66</f>
        <v>0</v>
      </c>
      <c r="M531" s="365">
        <f>Government3!$L66</f>
        <v>0</v>
      </c>
      <c r="N531" s="365">
        <f>Government4!$L66</f>
        <v>0</v>
      </c>
      <c r="O531" s="365">
        <f>Government5!$L66</f>
        <v>0</v>
      </c>
      <c r="P531" s="365">
        <f>Government6!$L66</f>
        <v>0</v>
      </c>
      <c r="Q531" s="365">
        <f>Government7!$L66</f>
        <v>0</v>
      </c>
      <c r="R531" s="365">
        <f>Government8!$L66</f>
        <v>0</v>
      </c>
      <c r="S531" s="365">
        <f>Government9!$L66</f>
        <v>0</v>
      </c>
      <c r="T531" s="365">
        <f>Government10!$L66</f>
        <v>0</v>
      </c>
      <c r="U531" s="179">
        <f>Partner1!$L137</f>
        <v>0</v>
      </c>
      <c r="V531" s="179">
        <f>Partner2!$L137</f>
        <v>0</v>
      </c>
      <c r="W531" s="179">
        <f>Partner3!$L137</f>
        <v>0</v>
      </c>
      <c r="X531" s="179">
        <f>Partner4!$L137</f>
        <v>0</v>
      </c>
      <c r="Y531" s="179">
        <f>Partner5!$L137</f>
        <v>0</v>
      </c>
      <c r="Z531" s="179">
        <f>Partner6!$L137</f>
        <v>0</v>
      </c>
      <c r="AA531" s="179">
        <f>Partner7!$L137</f>
        <v>0</v>
      </c>
      <c r="AB531" s="179">
        <f>Partner8!$L137</f>
        <v>0</v>
      </c>
      <c r="AC531" s="179">
        <f>Partner9!$L137</f>
        <v>0</v>
      </c>
      <c r="AD531" s="179">
        <f>Partner10!$L137</f>
        <v>0</v>
      </c>
    </row>
    <row r="532" spans="5:30" x14ac:dyDescent="0.2">
      <c r="F532" s="332" t="str">
        <f>"Subtotal: "&amp;E216</f>
        <v>Subtotal: Objetivo estratégico 8: [No está en uso]</v>
      </c>
      <c r="G532" s="333"/>
      <c r="H532" s="348">
        <f>'Financial Req'!$L67</f>
        <v>0</v>
      </c>
      <c r="I532" s="349">
        <f>SUM(I527:I531)</f>
        <v>0</v>
      </c>
      <c r="J532" s="350">
        <f>SUM(J527:J531)</f>
        <v>0</v>
      </c>
      <c r="K532" s="366">
        <f>Government1!$L67</f>
        <v>0</v>
      </c>
      <c r="L532" s="366">
        <f>Government2!$L67</f>
        <v>0</v>
      </c>
      <c r="M532" s="366">
        <f>Government3!$L67</f>
        <v>0</v>
      </c>
      <c r="N532" s="366">
        <f>Government4!$L67</f>
        <v>0</v>
      </c>
      <c r="O532" s="366">
        <f>Government5!$L67</f>
        <v>0</v>
      </c>
      <c r="P532" s="366">
        <f>Government6!$L67</f>
        <v>0</v>
      </c>
      <c r="Q532" s="366">
        <f>Government7!$L67</f>
        <v>0</v>
      </c>
      <c r="R532" s="366">
        <f>Government8!$L67</f>
        <v>0</v>
      </c>
      <c r="S532" s="366">
        <f>Government9!$L67</f>
        <v>0</v>
      </c>
      <c r="T532" s="366">
        <f>Government10!$L67</f>
        <v>0</v>
      </c>
      <c r="U532" s="331">
        <f>Partner1!$L138</f>
        <v>0</v>
      </c>
      <c r="V532" s="331">
        <f>Partner2!$L138</f>
        <v>0</v>
      </c>
      <c r="W532" s="331">
        <f>Partner3!$L138</f>
        <v>0</v>
      </c>
      <c r="X532" s="331">
        <f>Partner4!$L138</f>
        <v>0</v>
      </c>
      <c r="Y532" s="331">
        <f>Partner5!$L138</f>
        <v>0</v>
      </c>
      <c r="Z532" s="331">
        <f>Partner6!$L138</f>
        <v>0</v>
      </c>
      <c r="AA532" s="331">
        <f>Partner7!$L138</f>
        <v>0</v>
      </c>
      <c r="AB532" s="331">
        <f>Partner8!$L138</f>
        <v>0</v>
      </c>
      <c r="AC532" s="331">
        <f>Partner9!$L138</f>
        <v>0</v>
      </c>
      <c r="AD532" s="331">
        <f>Partner10!$L138</f>
        <v>0</v>
      </c>
    </row>
    <row r="533" spans="5:30" ht="12" x14ac:dyDescent="0.2">
      <c r="E533" s="301" t="str">
        <f>Strategy9</f>
        <v>Objetivo estratégico 9: [No está en uso]</v>
      </c>
      <c r="G533" s="94"/>
      <c r="H533" s="343"/>
      <c r="I533" s="344"/>
      <c r="J533" s="345"/>
      <c r="K533" s="365"/>
      <c r="L533" s="365"/>
      <c r="M533" s="365"/>
      <c r="N533" s="365"/>
      <c r="O533" s="365"/>
      <c r="P533" s="365"/>
      <c r="Q533" s="365"/>
      <c r="R533" s="365"/>
      <c r="S533" s="365"/>
      <c r="T533" s="365"/>
      <c r="U533" s="179"/>
      <c r="V533" s="179"/>
      <c r="W533" s="179"/>
      <c r="X533" s="179"/>
      <c r="Y533" s="179"/>
      <c r="Z533" s="179"/>
      <c r="AA533" s="179"/>
      <c r="AB533" s="179"/>
      <c r="AC533" s="179"/>
      <c r="AD533" s="179"/>
    </row>
    <row r="534" spans="5:30" ht="12" x14ac:dyDescent="0.2">
      <c r="F534" s="94" t="str">
        <f>STRAT9_IND1</f>
        <v>Objetivo estratégico 9 Indicador 1</v>
      </c>
      <c r="G534" s="94" t="str">
        <f ca="1">OFFSET(Variables_Lu!$D$10,Basic_Setup!H82,0)</f>
        <v>Nutrition-specific</v>
      </c>
      <c r="H534" s="346">
        <f>'Financial Req'!$L68</f>
        <v>0</v>
      </c>
      <c r="I534" s="347">
        <f>H534-J534</f>
        <v>0</v>
      </c>
      <c r="J534" s="345">
        <f>SUM(K534:AD534)</f>
        <v>0</v>
      </c>
      <c r="K534" s="365">
        <f>Government1!$L68</f>
        <v>0</v>
      </c>
      <c r="L534" s="365">
        <f>Government2!$L68</f>
        <v>0</v>
      </c>
      <c r="M534" s="365">
        <f>Government3!$L68</f>
        <v>0</v>
      </c>
      <c r="N534" s="365">
        <f>Government4!$L68</f>
        <v>0</v>
      </c>
      <c r="O534" s="365">
        <f>Government5!$L68</f>
        <v>0</v>
      </c>
      <c r="P534" s="365">
        <f>Government6!$L68</f>
        <v>0</v>
      </c>
      <c r="Q534" s="365">
        <f>Government7!$L68</f>
        <v>0</v>
      </c>
      <c r="R534" s="365">
        <f>Government8!$L68</f>
        <v>0</v>
      </c>
      <c r="S534" s="365">
        <f>Government9!$L68</f>
        <v>0</v>
      </c>
      <c r="T534" s="365">
        <f>Government10!$L68</f>
        <v>0</v>
      </c>
      <c r="U534" s="179">
        <f>Partner1!$L139</f>
        <v>0</v>
      </c>
      <c r="V534" s="179">
        <f>Partner2!$L139</f>
        <v>0</v>
      </c>
      <c r="W534" s="179">
        <f>Partner3!$L139</f>
        <v>0</v>
      </c>
      <c r="X534" s="179">
        <f>Partner4!$L139</f>
        <v>0</v>
      </c>
      <c r="Y534" s="179">
        <f>Partner5!$L139</f>
        <v>0</v>
      </c>
      <c r="Z534" s="179">
        <f>Partner6!$L139</f>
        <v>0</v>
      </c>
      <c r="AA534" s="179">
        <f>Partner7!$L139</f>
        <v>0</v>
      </c>
      <c r="AB534" s="179">
        <f>Partner8!$L139</f>
        <v>0</v>
      </c>
      <c r="AC534" s="179">
        <f>Partner9!$L139</f>
        <v>0</v>
      </c>
      <c r="AD534" s="179">
        <f>Partner10!$L139</f>
        <v>0</v>
      </c>
    </row>
    <row r="535" spans="5:30" ht="12" x14ac:dyDescent="0.2">
      <c r="F535" s="94" t="str">
        <f>STRAT9_IND2</f>
        <v>Objetivo estratégico 9 Indicador 2</v>
      </c>
      <c r="G535" s="94" t="str">
        <f ca="1">OFFSET(Variables_Lu!$D$10,Basic_Setup!H83,0)</f>
        <v>Nutrition-specific</v>
      </c>
      <c r="H535" s="346">
        <f>'Financial Req'!$L69</f>
        <v>0</v>
      </c>
      <c r="I535" s="347">
        <f>H535-J535</f>
        <v>0</v>
      </c>
      <c r="J535" s="345">
        <f>SUM(K535:AD535)</f>
        <v>0</v>
      </c>
      <c r="K535" s="365">
        <f>Government1!$L69</f>
        <v>0</v>
      </c>
      <c r="L535" s="365">
        <f>Government2!$L69</f>
        <v>0</v>
      </c>
      <c r="M535" s="365">
        <f>Government3!$L69</f>
        <v>0</v>
      </c>
      <c r="N535" s="365">
        <f>Government4!$L69</f>
        <v>0</v>
      </c>
      <c r="O535" s="365">
        <f>Government5!$L69</f>
        <v>0</v>
      </c>
      <c r="P535" s="365">
        <f>Government6!$L69</f>
        <v>0</v>
      </c>
      <c r="Q535" s="365">
        <f>Government7!$L69</f>
        <v>0</v>
      </c>
      <c r="R535" s="365">
        <f>Government8!$L69</f>
        <v>0</v>
      </c>
      <c r="S535" s="365">
        <f>Government9!$L69</f>
        <v>0</v>
      </c>
      <c r="T535" s="365">
        <f>Government10!$L69</f>
        <v>0</v>
      </c>
      <c r="U535" s="179">
        <f>Partner1!$L140</f>
        <v>0</v>
      </c>
      <c r="V535" s="179">
        <f>Partner2!$L140</f>
        <v>0</v>
      </c>
      <c r="W535" s="179">
        <f>Partner3!$L140</f>
        <v>0</v>
      </c>
      <c r="X535" s="179">
        <f>Partner4!$L140</f>
        <v>0</v>
      </c>
      <c r="Y535" s="179">
        <f>Partner5!$L140</f>
        <v>0</v>
      </c>
      <c r="Z535" s="179">
        <f>Partner6!$L140</f>
        <v>0</v>
      </c>
      <c r="AA535" s="179">
        <f>Partner7!$L140</f>
        <v>0</v>
      </c>
      <c r="AB535" s="179">
        <f>Partner8!$L140</f>
        <v>0</v>
      </c>
      <c r="AC535" s="179">
        <f>Partner9!$L140</f>
        <v>0</v>
      </c>
      <c r="AD535" s="179">
        <f>Partner10!$L140</f>
        <v>0</v>
      </c>
    </row>
    <row r="536" spans="5:30" ht="12" x14ac:dyDescent="0.2">
      <c r="F536" s="94" t="str">
        <f>STRAT9_IND3</f>
        <v>Objetivo estratégico 9 Indicador 3</v>
      </c>
      <c r="G536" s="94" t="str">
        <f ca="1">OFFSET(Variables_Lu!$D$10,Basic_Setup!H84,0)</f>
        <v>Nutrition-specific</v>
      </c>
      <c r="H536" s="346">
        <f>'Financial Req'!$L70</f>
        <v>0</v>
      </c>
      <c r="I536" s="347">
        <f>H536-J536</f>
        <v>0</v>
      </c>
      <c r="J536" s="345">
        <f>SUM(K536:AD536)</f>
        <v>0</v>
      </c>
      <c r="K536" s="365">
        <f>Government1!$L70</f>
        <v>0</v>
      </c>
      <c r="L536" s="365">
        <f>Government2!$L70</f>
        <v>0</v>
      </c>
      <c r="M536" s="365">
        <f>Government3!$L70</f>
        <v>0</v>
      </c>
      <c r="N536" s="365">
        <f>Government4!$L70</f>
        <v>0</v>
      </c>
      <c r="O536" s="365">
        <f>Government5!$L70</f>
        <v>0</v>
      </c>
      <c r="P536" s="365">
        <f>Government6!$L70</f>
        <v>0</v>
      </c>
      <c r="Q536" s="365">
        <f>Government7!$L70</f>
        <v>0</v>
      </c>
      <c r="R536" s="365">
        <f>Government8!$L70</f>
        <v>0</v>
      </c>
      <c r="S536" s="365">
        <f>Government9!$L70</f>
        <v>0</v>
      </c>
      <c r="T536" s="365">
        <f>Government10!$L70</f>
        <v>0</v>
      </c>
      <c r="U536" s="179">
        <f>Partner1!$L141</f>
        <v>0</v>
      </c>
      <c r="V536" s="179">
        <f>Partner2!$L141</f>
        <v>0</v>
      </c>
      <c r="W536" s="179">
        <f>Partner3!$L141</f>
        <v>0</v>
      </c>
      <c r="X536" s="179">
        <f>Partner4!$L141</f>
        <v>0</v>
      </c>
      <c r="Y536" s="179">
        <f>Partner5!$L141</f>
        <v>0</v>
      </c>
      <c r="Z536" s="179">
        <f>Partner6!$L141</f>
        <v>0</v>
      </c>
      <c r="AA536" s="179">
        <f>Partner7!$L141</f>
        <v>0</v>
      </c>
      <c r="AB536" s="179">
        <f>Partner8!$L141</f>
        <v>0</v>
      </c>
      <c r="AC536" s="179">
        <f>Partner9!$L141</f>
        <v>0</v>
      </c>
      <c r="AD536" s="179">
        <f>Partner10!$L141</f>
        <v>0</v>
      </c>
    </row>
    <row r="537" spans="5:30" ht="12" x14ac:dyDescent="0.2">
      <c r="F537" s="94" t="str">
        <f>STRAT9_IND4</f>
        <v>Objetivo estratégico 9 Indicador 4</v>
      </c>
      <c r="G537" s="94" t="str">
        <f ca="1">OFFSET(Variables_Lu!$D$10,Basic_Setup!H85,0)</f>
        <v>Nutrition-specific</v>
      </c>
      <c r="H537" s="346">
        <f>'Financial Req'!$L71</f>
        <v>0</v>
      </c>
      <c r="I537" s="347">
        <f>H537-J537</f>
        <v>0</v>
      </c>
      <c r="J537" s="345">
        <f>SUM(K537:AD537)</f>
        <v>0</v>
      </c>
      <c r="K537" s="365">
        <f>Government1!$L71</f>
        <v>0</v>
      </c>
      <c r="L537" s="365">
        <f>Government2!$L71</f>
        <v>0</v>
      </c>
      <c r="M537" s="365">
        <f>Government3!$L71</f>
        <v>0</v>
      </c>
      <c r="N537" s="365">
        <f>Government4!$L71</f>
        <v>0</v>
      </c>
      <c r="O537" s="365">
        <f>Government5!$L71</f>
        <v>0</v>
      </c>
      <c r="P537" s="365">
        <f>Government6!$L71</f>
        <v>0</v>
      </c>
      <c r="Q537" s="365">
        <f>Government7!$L71</f>
        <v>0</v>
      </c>
      <c r="R537" s="365">
        <f>Government8!$L71</f>
        <v>0</v>
      </c>
      <c r="S537" s="365">
        <f>Government9!$L71</f>
        <v>0</v>
      </c>
      <c r="T537" s="365">
        <f>Government10!$L71</f>
        <v>0</v>
      </c>
      <c r="U537" s="179">
        <f>Partner1!$L142</f>
        <v>0</v>
      </c>
      <c r="V537" s="179">
        <f>Partner2!$L142</f>
        <v>0</v>
      </c>
      <c r="W537" s="179">
        <f>Partner3!$L142</f>
        <v>0</v>
      </c>
      <c r="X537" s="179">
        <f>Partner4!$L142</f>
        <v>0</v>
      </c>
      <c r="Y537" s="179">
        <f>Partner5!$L142</f>
        <v>0</v>
      </c>
      <c r="Z537" s="179">
        <f>Partner6!$L142</f>
        <v>0</v>
      </c>
      <c r="AA537" s="179">
        <f>Partner7!$L142</f>
        <v>0</v>
      </c>
      <c r="AB537" s="179">
        <f>Partner8!$L142</f>
        <v>0</v>
      </c>
      <c r="AC537" s="179">
        <f>Partner9!$L142</f>
        <v>0</v>
      </c>
      <c r="AD537" s="179">
        <f>Partner10!$L142</f>
        <v>0</v>
      </c>
    </row>
    <row r="538" spans="5:30" ht="12" x14ac:dyDescent="0.2">
      <c r="F538" s="94" t="str">
        <f>STRAT9_IND5</f>
        <v>Objetivo estratégico 9 Indicador 5</v>
      </c>
      <c r="G538" s="94" t="str">
        <f ca="1">OFFSET(Variables_Lu!$D$10,Basic_Setup!H86,0)</f>
        <v>Nutrition-specific</v>
      </c>
      <c r="H538" s="346">
        <f>'Financial Req'!$L72</f>
        <v>0</v>
      </c>
      <c r="I538" s="347">
        <f>H538-J538</f>
        <v>0</v>
      </c>
      <c r="J538" s="345">
        <f>SUM(K538:AD538)</f>
        <v>0</v>
      </c>
      <c r="K538" s="365">
        <f>Government1!$L72</f>
        <v>0</v>
      </c>
      <c r="L538" s="365">
        <f>Government2!$L72</f>
        <v>0</v>
      </c>
      <c r="M538" s="365">
        <f>Government3!$L72</f>
        <v>0</v>
      </c>
      <c r="N538" s="365">
        <f>Government4!$L72</f>
        <v>0</v>
      </c>
      <c r="O538" s="365">
        <f>Government5!$L72</f>
        <v>0</v>
      </c>
      <c r="P538" s="365">
        <f>Government6!$L72</f>
        <v>0</v>
      </c>
      <c r="Q538" s="365">
        <f>Government7!$L72</f>
        <v>0</v>
      </c>
      <c r="R538" s="365">
        <f>Government8!$L72</f>
        <v>0</v>
      </c>
      <c r="S538" s="365">
        <f>Government9!$L72</f>
        <v>0</v>
      </c>
      <c r="T538" s="365">
        <f>Government10!$L72</f>
        <v>0</v>
      </c>
      <c r="U538" s="179">
        <f>Partner1!$L143</f>
        <v>0</v>
      </c>
      <c r="V538" s="179">
        <f>Partner2!$L143</f>
        <v>0</v>
      </c>
      <c r="W538" s="179">
        <f>Partner3!$L143</f>
        <v>0</v>
      </c>
      <c r="X538" s="179">
        <f>Partner4!$L143</f>
        <v>0</v>
      </c>
      <c r="Y538" s="179">
        <f>Partner5!$L143</f>
        <v>0</v>
      </c>
      <c r="Z538" s="179">
        <f>Partner6!$L143</f>
        <v>0</v>
      </c>
      <c r="AA538" s="179">
        <f>Partner7!$L143</f>
        <v>0</v>
      </c>
      <c r="AB538" s="179">
        <f>Partner8!$L143</f>
        <v>0</v>
      </c>
      <c r="AC538" s="179">
        <f>Partner9!$L143</f>
        <v>0</v>
      </c>
      <c r="AD538" s="179">
        <f>Partner10!$L143</f>
        <v>0</v>
      </c>
    </row>
    <row r="539" spans="5:30" x14ac:dyDescent="0.2">
      <c r="F539" s="332" t="str">
        <f>"Subtotal: "&amp;E223</f>
        <v>Subtotal: Objetivo estratégico 9: [No está en uso]</v>
      </c>
      <c r="G539" s="333"/>
      <c r="H539" s="348">
        <f>'Financial Req'!$L73</f>
        <v>0</v>
      </c>
      <c r="I539" s="349">
        <f>SUM(I534:I538)</f>
        <v>0</v>
      </c>
      <c r="J539" s="350">
        <f>SUM(J534:J538)</f>
        <v>0</v>
      </c>
      <c r="K539" s="366">
        <f>Government1!$L73</f>
        <v>0</v>
      </c>
      <c r="L539" s="366">
        <f>Government2!$L73</f>
        <v>0</v>
      </c>
      <c r="M539" s="366">
        <f>Government3!$L73</f>
        <v>0</v>
      </c>
      <c r="N539" s="366">
        <f>Government4!$L73</f>
        <v>0</v>
      </c>
      <c r="O539" s="366">
        <f>Government5!$L73</f>
        <v>0</v>
      </c>
      <c r="P539" s="366">
        <f>Government6!$L73</f>
        <v>0</v>
      </c>
      <c r="Q539" s="366">
        <f>Government7!$L73</f>
        <v>0</v>
      </c>
      <c r="R539" s="366">
        <f>Government8!$L73</f>
        <v>0</v>
      </c>
      <c r="S539" s="366">
        <f>Government9!$L73</f>
        <v>0</v>
      </c>
      <c r="T539" s="366">
        <f>Government10!$L73</f>
        <v>0</v>
      </c>
      <c r="U539" s="331">
        <f>Partner1!$L144</f>
        <v>0</v>
      </c>
      <c r="V539" s="331">
        <f>Partner2!$L144</f>
        <v>0</v>
      </c>
      <c r="W539" s="331">
        <f>Partner3!$L144</f>
        <v>0</v>
      </c>
      <c r="X539" s="331">
        <f>Partner4!$L144</f>
        <v>0</v>
      </c>
      <c r="Y539" s="331">
        <f>Partner5!$L144</f>
        <v>0</v>
      </c>
      <c r="Z539" s="331">
        <f>Partner6!$L144</f>
        <v>0</v>
      </c>
      <c r="AA539" s="331">
        <f>Partner7!$L144</f>
        <v>0</v>
      </c>
      <c r="AB539" s="331">
        <f>Partner8!$L144</f>
        <v>0</v>
      </c>
      <c r="AC539" s="331">
        <f>Partner9!$L144</f>
        <v>0</v>
      </c>
      <c r="AD539" s="331">
        <f>Partner10!$L144</f>
        <v>0</v>
      </c>
    </row>
    <row r="540" spans="5:30" ht="12" x14ac:dyDescent="0.2">
      <c r="E540" s="301" t="str">
        <f>Strategy10</f>
        <v>Objetivo estratégico 10: [No está en uso]</v>
      </c>
      <c r="G540" s="94"/>
      <c r="H540" s="343"/>
      <c r="I540" s="344"/>
      <c r="J540" s="345"/>
      <c r="K540" s="365"/>
      <c r="L540" s="365"/>
      <c r="M540" s="365"/>
      <c r="N540" s="365"/>
      <c r="O540" s="365"/>
      <c r="P540" s="365"/>
      <c r="Q540" s="365"/>
      <c r="R540" s="365"/>
      <c r="S540" s="365"/>
      <c r="T540" s="365"/>
      <c r="U540" s="179"/>
      <c r="V540" s="179"/>
      <c r="W540" s="179"/>
      <c r="X540" s="179"/>
      <c r="Y540" s="179"/>
      <c r="Z540" s="179"/>
      <c r="AA540" s="179"/>
      <c r="AB540" s="179"/>
      <c r="AC540" s="179"/>
      <c r="AD540" s="179"/>
    </row>
    <row r="541" spans="5:30" ht="12" x14ac:dyDescent="0.2">
      <c r="F541" s="94" t="str">
        <f>STRAT10_IND1</f>
        <v>Objetivo estratégico 10 Indicador 1</v>
      </c>
      <c r="G541" s="94" t="str">
        <f ca="1">OFFSET(Variables_Lu!$D$10,Basic_Setup!H88,0)</f>
        <v>Nutrition-specific</v>
      </c>
      <c r="H541" s="346">
        <f>'Financial Req'!$L74</f>
        <v>0</v>
      </c>
      <c r="I541" s="347">
        <f>H541-J541</f>
        <v>0</v>
      </c>
      <c r="J541" s="345">
        <f>SUM(K541:AD541)</f>
        <v>0</v>
      </c>
      <c r="K541" s="365">
        <f>Government1!$L74</f>
        <v>0</v>
      </c>
      <c r="L541" s="365">
        <f>Government2!$L74</f>
        <v>0</v>
      </c>
      <c r="M541" s="365">
        <f>Government3!$L74</f>
        <v>0</v>
      </c>
      <c r="N541" s="365">
        <f>Government4!$L74</f>
        <v>0</v>
      </c>
      <c r="O541" s="365">
        <f>Government5!$L74</f>
        <v>0</v>
      </c>
      <c r="P541" s="365">
        <f>Government6!$L74</f>
        <v>0</v>
      </c>
      <c r="Q541" s="365">
        <f>Government7!$L74</f>
        <v>0</v>
      </c>
      <c r="R541" s="365">
        <f>Government8!$L74</f>
        <v>0</v>
      </c>
      <c r="S541" s="365">
        <f>Government9!$L74</f>
        <v>0</v>
      </c>
      <c r="T541" s="365">
        <f>Government10!$L74</f>
        <v>0</v>
      </c>
      <c r="U541" s="179">
        <f>Partner1!$L145</f>
        <v>0</v>
      </c>
      <c r="V541" s="179">
        <f>Partner2!$L145</f>
        <v>0</v>
      </c>
      <c r="W541" s="179">
        <f>Partner3!$L145</f>
        <v>0</v>
      </c>
      <c r="X541" s="179">
        <f>Partner4!$L145</f>
        <v>0</v>
      </c>
      <c r="Y541" s="179">
        <f>Partner5!$L145</f>
        <v>0</v>
      </c>
      <c r="Z541" s="179">
        <f>Partner6!$L145</f>
        <v>0</v>
      </c>
      <c r="AA541" s="179">
        <f>Partner7!$L145</f>
        <v>0</v>
      </c>
      <c r="AB541" s="179">
        <f>Partner8!$L145</f>
        <v>0</v>
      </c>
      <c r="AC541" s="179">
        <f>Partner9!$L145</f>
        <v>0</v>
      </c>
      <c r="AD541" s="179">
        <f>Partner10!$L145</f>
        <v>0</v>
      </c>
    </row>
    <row r="542" spans="5:30" ht="12" x14ac:dyDescent="0.2">
      <c r="F542" s="94" t="str">
        <f>STRAT10_IND2</f>
        <v>Objetivo estratégico 10 Indicador 2</v>
      </c>
      <c r="G542" s="94" t="str">
        <f ca="1">OFFSET(Variables_Lu!$D$10,Basic_Setup!H89,0)</f>
        <v>Nutrition-specific</v>
      </c>
      <c r="H542" s="346">
        <f>'Financial Req'!$L75</f>
        <v>0</v>
      </c>
      <c r="I542" s="347">
        <f>H542-J542</f>
        <v>0</v>
      </c>
      <c r="J542" s="345">
        <f>SUM(K542:AD542)</f>
        <v>0</v>
      </c>
      <c r="K542" s="365">
        <f>Government1!$L75</f>
        <v>0</v>
      </c>
      <c r="L542" s="365">
        <f>Government2!$L75</f>
        <v>0</v>
      </c>
      <c r="M542" s="365">
        <f>Government3!$L75</f>
        <v>0</v>
      </c>
      <c r="N542" s="365">
        <f>Government4!$L75</f>
        <v>0</v>
      </c>
      <c r="O542" s="365">
        <f>Government5!$L75</f>
        <v>0</v>
      </c>
      <c r="P542" s="365">
        <f>Government6!$L75</f>
        <v>0</v>
      </c>
      <c r="Q542" s="365">
        <f>Government7!$L75</f>
        <v>0</v>
      </c>
      <c r="R542" s="365">
        <f>Government8!$L75</f>
        <v>0</v>
      </c>
      <c r="S542" s="365">
        <f>Government9!$L75</f>
        <v>0</v>
      </c>
      <c r="T542" s="365">
        <f>Government10!$L75</f>
        <v>0</v>
      </c>
      <c r="U542" s="179">
        <f>Partner1!$L146</f>
        <v>0</v>
      </c>
      <c r="V542" s="179">
        <f>Partner2!$L146</f>
        <v>0</v>
      </c>
      <c r="W542" s="179">
        <f>Partner3!$L146</f>
        <v>0</v>
      </c>
      <c r="X542" s="179">
        <f>Partner4!$L146</f>
        <v>0</v>
      </c>
      <c r="Y542" s="179">
        <f>Partner5!$L146</f>
        <v>0</v>
      </c>
      <c r="Z542" s="179">
        <f>Partner6!$L146</f>
        <v>0</v>
      </c>
      <c r="AA542" s="179">
        <f>Partner7!$L146</f>
        <v>0</v>
      </c>
      <c r="AB542" s="179">
        <f>Partner8!$L146</f>
        <v>0</v>
      </c>
      <c r="AC542" s="179">
        <f>Partner9!$L146</f>
        <v>0</v>
      </c>
      <c r="AD542" s="179">
        <f>Partner10!$L146</f>
        <v>0</v>
      </c>
    </row>
    <row r="543" spans="5:30" ht="12" x14ac:dyDescent="0.2">
      <c r="F543" s="94" t="str">
        <f>STRAT10_IND3</f>
        <v>Objetivo estratégico 10 Indicador 3</v>
      </c>
      <c r="G543" s="94" t="str">
        <f ca="1">OFFSET(Variables_Lu!$D$10,Basic_Setup!H90,0)</f>
        <v>Nutrition-specific</v>
      </c>
      <c r="H543" s="346">
        <f>'Financial Req'!$L76</f>
        <v>0</v>
      </c>
      <c r="I543" s="347">
        <f>H543-J543</f>
        <v>0</v>
      </c>
      <c r="J543" s="345">
        <f>SUM(K543:AD543)</f>
        <v>0</v>
      </c>
      <c r="K543" s="365">
        <f>Government1!$L76</f>
        <v>0</v>
      </c>
      <c r="L543" s="365">
        <f>Government2!$L76</f>
        <v>0</v>
      </c>
      <c r="M543" s="365">
        <f>Government3!$L76</f>
        <v>0</v>
      </c>
      <c r="N543" s="365">
        <f>Government4!$L76</f>
        <v>0</v>
      </c>
      <c r="O543" s="365">
        <f>Government5!$L76</f>
        <v>0</v>
      </c>
      <c r="P543" s="365">
        <f>Government6!$L76</f>
        <v>0</v>
      </c>
      <c r="Q543" s="365">
        <f>Government7!$L76</f>
        <v>0</v>
      </c>
      <c r="R543" s="365">
        <f>Government8!$L76</f>
        <v>0</v>
      </c>
      <c r="S543" s="365">
        <f>Government9!$L76</f>
        <v>0</v>
      </c>
      <c r="T543" s="365">
        <f>Government10!$L76</f>
        <v>0</v>
      </c>
      <c r="U543" s="179">
        <f>Partner1!$L147</f>
        <v>0</v>
      </c>
      <c r="V543" s="179">
        <f>Partner2!$L147</f>
        <v>0</v>
      </c>
      <c r="W543" s="179">
        <f>Partner3!$L147</f>
        <v>0</v>
      </c>
      <c r="X543" s="179">
        <f>Partner4!$L147</f>
        <v>0</v>
      </c>
      <c r="Y543" s="179">
        <f>Partner5!$L147</f>
        <v>0</v>
      </c>
      <c r="Z543" s="179">
        <f>Partner6!$L147</f>
        <v>0</v>
      </c>
      <c r="AA543" s="179">
        <f>Partner7!$L147</f>
        <v>0</v>
      </c>
      <c r="AB543" s="179">
        <f>Partner8!$L147</f>
        <v>0</v>
      </c>
      <c r="AC543" s="179">
        <f>Partner9!$L147</f>
        <v>0</v>
      </c>
      <c r="AD543" s="179">
        <f>Partner10!$L147</f>
        <v>0</v>
      </c>
    </row>
    <row r="544" spans="5:30" ht="12" x14ac:dyDescent="0.2">
      <c r="F544" s="94" t="str">
        <f>STRAT10_IND4</f>
        <v>Objetivo estratégico 10 Indicador 4</v>
      </c>
      <c r="G544" s="94" t="str">
        <f ca="1">OFFSET(Variables_Lu!$D$10,Basic_Setup!H91,0)</f>
        <v>Nutrition-specific</v>
      </c>
      <c r="H544" s="346">
        <f>'Financial Req'!$L77</f>
        <v>0</v>
      </c>
      <c r="I544" s="347">
        <f>H544-J544</f>
        <v>0</v>
      </c>
      <c r="J544" s="345">
        <f>SUM(K544:AD544)</f>
        <v>0</v>
      </c>
      <c r="K544" s="365">
        <f>Government1!$L77</f>
        <v>0</v>
      </c>
      <c r="L544" s="365">
        <f>Government2!$L77</f>
        <v>0</v>
      </c>
      <c r="M544" s="365">
        <f>Government3!$L77</f>
        <v>0</v>
      </c>
      <c r="N544" s="365">
        <f>Government4!$L77</f>
        <v>0</v>
      </c>
      <c r="O544" s="365">
        <f>Government5!$L77</f>
        <v>0</v>
      </c>
      <c r="P544" s="365">
        <f>Government6!$L77</f>
        <v>0</v>
      </c>
      <c r="Q544" s="365">
        <f>Government7!$L77</f>
        <v>0</v>
      </c>
      <c r="R544" s="365">
        <f>Government8!$L77</f>
        <v>0</v>
      </c>
      <c r="S544" s="365">
        <f>Government9!$L77</f>
        <v>0</v>
      </c>
      <c r="T544" s="365">
        <f>Government10!$L77</f>
        <v>0</v>
      </c>
      <c r="U544" s="179">
        <f>Partner1!$L148</f>
        <v>0</v>
      </c>
      <c r="V544" s="179">
        <f>Partner2!$L148</f>
        <v>0</v>
      </c>
      <c r="W544" s="179">
        <f>Partner3!$L148</f>
        <v>0</v>
      </c>
      <c r="X544" s="179">
        <f>Partner4!$L148</f>
        <v>0</v>
      </c>
      <c r="Y544" s="179">
        <f>Partner5!$L148</f>
        <v>0</v>
      </c>
      <c r="Z544" s="179">
        <f>Partner6!$L148</f>
        <v>0</v>
      </c>
      <c r="AA544" s="179">
        <f>Partner7!$L148</f>
        <v>0</v>
      </c>
      <c r="AB544" s="179">
        <f>Partner8!$L148</f>
        <v>0</v>
      </c>
      <c r="AC544" s="179">
        <f>Partner9!$L148</f>
        <v>0</v>
      </c>
      <c r="AD544" s="179">
        <f>Partner10!$L148</f>
        <v>0</v>
      </c>
    </row>
    <row r="545" spans="5:30" ht="12" x14ac:dyDescent="0.2">
      <c r="F545" s="94" t="str">
        <f>STRAT10_IND5</f>
        <v>Objetivo estratégico 10 Indicador 5</v>
      </c>
      <c r="G545" s="94" t="str">
        <f ca="1">OFFSET(Variables_Lu!$D$10,Basic_Setup!H92,0)</f>
        <v>Nutrition-specific</v>
      </c>
      <c r="H545" s="346">
        <f>'Financial Req'!$L78</f>
        <v>0</v>
      </c>
      <c r="I545" s="347">
        <f>H545-J545</f>
        <v>0</v>
      </c>
      <c r="J545" s="345">
        <f>SUM(K545:AD545)</f>
        <v>0</v>
      </c>
      <c r="K545" s="365">
        <f>Government1!$L78</f>
        <v>0</v>
      </c>
      <c r="L545" s="365">
        <f>Government2!$L78</f>
        <v>0</v>
      </c>
      <c r="M545" s="365">
        <f>Government3!$L78</f>
        <v>0</v>
      </c>
      <c r="N545" s="365">
        <f>Government4!$L78</f>
        <v>0</v>
      </c>
      <c r="O545" s="365">
        <f>Government5!$L78</f>
        <v>0</v>
      </c>
      <c r="P545" s="365">
        <f>Government6!$L78</f>
        <v>0</v>
      </c>
      <c r="Q545" s="365">
        <f>Government7!$L78</f>
        <v>0</v>
      </c>
      <c r="R545" s="365">
        <f>Government8!$L78</f>
        <v>0</v>
      </c>
      <c r="S545" s="365">
        <f>Government9!$L78</f>
        <v>0</v>
      </c>
      <c r="T545" s="365">
        <f>Government10!$L78</f>
        <v>0</v>
      </c>
      <c r="U545" s="179">
        <f>Partner1!$L149</f>
        <v>0</v>
      </c>
      <c r="V545" s="179">
        <f>Partner2!$L149</f>
        <v>0</v>
      </c>
      <c r="W545" s="179">
        <f>Partner3!$L149</f>
        <v>0</v>
      </c>
      <c r="X545" s="179">
        <f>Partner4!$L149</f>
        <v>0</v>
      </c>
      <c r="Y545" s="179">
        <f>Partner5!$L149</f>
        <v>0</v>
      </c>
      <c r="Z545" s="179">
        <f>Partner6!$L149</f>
        <v>0</v>
      </c>
      <c r="AA545" s="179">
        <f>Partner7!$L149</f>
        <v>0</v>
      </c>
      <c r="AB545" s="179">
        <f>Partner8!$L149</f>
        <v>0</v>
      </c>
      <c r="AC545" s="179">
        <f>Partner9!$L149</f>
        <v>0</v>
      </c>
      <c r="AD545" s="179">
        <f>Partner10!$L149</f>
        <v>0</v>
      </c>
    </row>
    <row r="546" spans="5:30" x14ac:dyDescent="0.2">
      <c r="F546" s="332" t="str">
        <f>"Subtotal: "&amp;E230</f>
        <v>Subtotal: Objetivo estratégico 10: [No está en uso]</v>
      </c>
      <c r="G546" s="333"/>
      <c r="H546" s="348">
        <f>'Financial Req'!$L79</f>
        <v>0</v>
      </c>
      <c r="I546" s="349">
        <f>SUM(I541:I545)</f>
        <v>0</v>
      </c>
      <c r="J546" s="350">
        <f>SUM(J541:J545)</f>
        <v>0</v>
      </c>
      <c r="K546" s="366">
        <f>Government1!$L79</f>
        <v>0</v>
      </c>
      <c r="L546" s="366">
        <f>Government2!$L79</f>
        <v>0</v>
      </c>
      <c r="M546" s="366">
        <f>Government3!$L79</f>
        <v>0</v>
      </c>
      <c r="N546" s="366">
        <f>Government4!$L79</f>
        <v>0</v>
      </c>
      <c r="O546" s="366">
        <f>Government5!$L79</f>
        <v>0</v>
      </c>
      <c r="P546" s="366">
        <f>Government6!$L79</f>
        <v>0</v>
      </c>
      <c r="Q546" s="366">
        <f>Government7!$L79</f>
        <v>0</v>
      </c>
      <c r="R546" s="366">
        <f>Government8!$L79</f>
        <v>0</v>
      </c>
      <c r="S546" s="366">
        <f>Government9!$L79</f>
        <v>0</v>
      </c>
      <c r="T546" s="366">
        <f>Government10!$L79</f>
        <v>0</v>
      </c>
      <c r="U546" s="331">
        <f>Partner1!$L150</f>
        <v>0</v>
      </c>
      <c r="V546" s="331">
        <f>Partner2!$L150</f>
        <v>0</v>
      </c>
      <c r="W546" s="331">
        <f>Partner3!$L150</f>
        <v>0</v>
      </c>
      <c r="X546" s="331">
        <f>Partner4!$L150</f>
        <v>0</v>
      </c>
      <c r="Y546" s="331">
        <f>Partner5!$L150</f>
        <v>0</v>
      </c>
      <c r="Z546" s="331">
        <f>Partner6!$L150</f>
        <v>0</v>
      </c>
      <c r="AA546" s="331">
        <f>Partner7!$L150</f>
        <v>0</v>
      </c>
      <c r="AB546" s="331">
        <f>Partner8!$L150</f>
        <v>0</v>
      </c>
      <c r="AC546" s="331">
        <f>Partner9!$L150</f>
        <v>0</v>
      </c>
      <c r="AD546" s="331">
        <f>Partner10!$L150</f>
        <v>0</v>
      </c>
    </row>
    <row r="547" spans="5:30" ht="12" x14ac:dyDescent="0.2">
      <c r="F547" s="142" t="str">
        <f>"Total "&amp;" ("&amp;E163&amp;")"</f>
        <v>Total  (GOZ)</v>
      </c>
      <c r="G547" s="142"/>
      <c r="H547" s="352">
        <f>SUM(H483,H490,H497,H504,H511,H518,H525,H532,H539,H546)</f>
        <v>163356056589.58591</v>
      </c>
      <c r="I547" s="362">
        <f>SUM(I483,I490,I497,I504,I511,I518,I525,I532,I539,I546)</f>
        <v>67438276746.589645</v>
      </c>
      <c r="J547" s="362">
        <f>SUM(J483,J490,J497,J504,J511,J518,J525,J532,J539,J546)</f>
        <v>95917779842.996246</v>
      </c>
      <c r="K547" s="367">
        <f t="shared" ref="K547:AD547" si="330">SUM(K483,K490,K497,K504,K511,K518,K525,K532,K539,K546)</f>
        <v>4274516100.0149999</v>
      </c>
      <c r="L547" s="367">
        <f t="shared" si="330"/>
        <v>490436535.45375007</v>
      </c>
      <c r="M547" s="367">
        <f t="shared" si="330"/>
        <v>1287000000</v>
      </c>
      <c r="N547" s="367">
        <f t="shared" si="330"/>
        <v>137767071.82499999</v>
      </c>
      <c r="O547" s="367">
        <f t="shared" si="330"/>
        <v>59269334.940000005</v>
      </c>
      <c r="P547" s="367">
        <f t="shared" si="330"/>
        <v>20829671743.252499</v>
      </c>
      <c r="Q547" s="367">
        <f t="shared" si="330"/>
        <v>2594288831.9400001</v>
      </c>
      <c r="R547" s="367">
        <f t="shared" si="330"/>
        <v>127539825.57000001</v>
      </c>
      <c r="S547" s="367">
        <f t="shared" si="330"/>
        <v>0</v>
      </c>
      <c r="T547" s="367">
        <f t="shared" si="330"/>
        <v>0</v>
      </c>
      <c r="U547" s="90">
        <f t="shared" si="330"/>
        <v>13694400000</v>
      </c>
      <c r="V547" s="90">
        <f t="shared" si="330"/>
        <v>63000000</v>
      </c>
      <c r="W547" s="90">
        <f t="shared" si="330"/>
        <v>44836700400</v>
      </c>
      <c r="X547" s="90">
        <f t="shared" si="330"/>
        <v>638190000</v>
      </c>
      <c r="Y547" s="90">
        <f t="shared" si="330"/>
        <v>6885000000</v>
      </c>
      <c r="Z547" s="90">
        <f t="shared" si="330"/>
        <v>0</v>
      </c>
      <c r="AA547" s="90">
        <f t="shared" si="330"/>
        <v>0</v>
      </c>
      <c r="AB547" s="90">
        <f t="shared" si="330"/>
        <v>0</v>
      </c>
      <c r="AC547" s="90">
        <f t="shared" si="330"/>
        <v>0</v>
      </c>
      <c r="AD547" s="90">
        <f t="shared" si="330"/>
        <v>0</v>
      </c>
    </row>
    <row r="550" spans="5:30" ht="17.399999999999999" x14ac:dyDescent="0.2">
      <c r="E550" s="305" t="str">
        <f>CURR_INT_ABBR</f>
        <v>USD</v>
      </c>
    </row>
    <row r="552" spans="5:30" ht="84" x14ac:dyDescent="0.2">
      <c r="E552" s="303" t="s">
        <v>140</v>
      </c>
      <c r="F552" s="10"/>
      <c r="G552" s="302" t="s">
        <v>482</v>
      </c>
      <c r="H552" s="340" t="s">
        <v>143</v>
      </c>
      <c r="I552" s="341" t="s">
        <v>565</v>
      </c>
      <c r="J552" s="342" t="s">
        <v>141</v>
      </c>
      <c r="K552" s="339" t="str">
        <f>Government1</f>
        <v>Ministerio de Agricultura y Ganadería</v>
      </c>
      <c r="L552" s="339" t="str">
        <f>Government2</f>
        <v>Ministerio de Energía y Minas</v>
      </c>
      <c r="M552" s="339" t="str">
        <f>Government3</f>
        <v>Ministerio de Educación Nacional, de Educación Superior e Investigación Científica</v>
      </c>
      <c r="N552" s="339" t="str">
        <f>Government4</f>
        <v>Ministerio de Medioambiente</v>
      </c>
      <c r="O552" s="339" t="str">
        <f>Government5</f>
        <v>Ministerio de Servicio Público</v>
      </c>
      <c r="P552" s="339" t="str">
        <f>Government6</f>
        <v>Ministerio de Salud Pública y Lucha contra el SIDA</v>
      </c>
      <c r="Q552" s="339" t="str">
        <f>Government7</f>
        <v xml:space="preserve">Ministerio de Derechos Humanos, Asuntos Sociales y Género </v>
      </c>
      <c r="R552" s="339" t="str">
        <f>Government8</f>
        <v>Ministerio de Desarrollo Municipal</v>
      </c>
      <c r="S552" s="339" t="str">
        <f>Government9</f>
        <v>[No está en uso]</v>
      </c>
      <c r="T552" s="339" t="str">
        <f>Government10</f>
        <v>[No está en uso]</v>
      </c>
      <c r="U552" s="97" t="str">
        <f>Partner1</f>
        <v>UNICEF</v>
      </c>
      <c r="V552" s="97" t="str">
        <f>Partner2</f>
        <v>Organización Mundial de la Salud</v>
      </c>
      <c r="W552" s="97" t="str">
        <f>Partner3</f>
        <v>Banco Mundial</v>
      </c>
      <c r="X552" s="97" t="str">
        <f>Partner4</f>
        <v>Organización de las Naciones Unidas para la Alimentación y la Agricultura</v>
      </c>
      <c r="Y552" s="97" t="str">
        <f>Partner5</f>
        <v>Programa Mundial de Alimentos</v>
      </c>
      <c r="Z552" s="97" t="str">
        <f>Partner6</f>
        <v>[No está en uso]</v>
      </c>
      <c r="AA552" s="97" t="str">
        <f>Partner7</f>
        <v>[No está en uso]</v>
      </c>
      <c r="AB552" s="97" t="str">
        <f>Partner8</f>
        <v>[No está en uso]</v>
      </c>
      <c r="AC552" s="97" t="str">
        <f>Partner9</f>
        <v>[No está en uso]</v>
      </c>
      <c r="AD552" s="97" t="str">
        <f>Partner10</f>
        <v>[No está en uso]</v>
      </c>
    </row>
    <row r="553" spans="5:30" x14ac:dyDescent="0.2">
      <c r="H553" s="372"/>
      <c r="I553" s="372"/>
      <c r="J553" s="372"/>
    </row>
    <row r="554" spans="5:30" ht="12" x14ac:dyDescent="0.2">
      <c r="E554" s="301" t="str">
        <f>Strategy1</f>
        <v>Objetivo estratégico 1: Fortalecer la gobernanza de la nutrición</v>
      </c>
      <c r="G554" s="94"/>
      <c r="H554" s="363"/>
      <c r="I554" s="364"/>
      <c r="J554" s="356"/>
      <c r="K554" s="369"/>
      <c r="L554" s="369"/>
      <c r="M554" s="369"/>
      <c r="N554" s="369"/>
      <c r="O554" s="369"/>
      <c r="P554" s="369"/>
      <c r="Q554" s="369"/>
      <c r="R554" s="369"/>
      <c r="S554" s="369"/>
      <c r="T554" s="369"/>
      <c r="U554" s="96"/>
      <c r="V554" s="96"/>
      <c r="W554" s="96"/>
      <c r="X554" s="96"/>
      <c r="Y554" s="96"/>
      <c r="Z554" s="96"/>
      <c r="AA554" s="96"/>
      <c r="AB554" s="96"/>
      <c r="AC554" s="96"/>
      <c r="AD554" s="96"/>
    </row>
    <row r="555" spans="5:30" ht="12" x14ac:dyDescent="0.2">
      <c r="E555" s="301"/>
      <c r="F555" s="94" t="str">
        <f>STRAT1_IND1</f>
        <v>Se refuerza la coordinación multisectorial en materia de nutrición</v>
      </c>
      <c r="G555" s="94" t="str">
        <f ca="1">OFFSET(Variables_Lu!$D$10,Basic_Setup!H34,0)</f>
        <v>Governance</v>
      </c>
      <c r="H555" s="354">
        <f t="shared" ref="H555:AD555" si="331">H478/EXCHANGE_RATE</f>
        <v>320433.38418055553</v>
      </c>
      <c r="I555" s="355">
        <f t="shared" si="331"/>
        <v>-134861.94680677698</v>
      </c>
      <c r="J555" s="356">
        <f t="shared" si="331"/>
        <v>455295.33098733251</v>
      </c>
      <c r="K555" s="369">
        <f t="shared" si="331"/>
        <v>949.89246666999998</v>
      </c>
      <c r="L555" s="369">
        <f t="shared" si="331"/>
        <v>108.98589676750001</v>
      </c>
      <c r="M555" s="369">
        <f t="shared" si="331"/>
        <v>286</v>
      </c>
      <c r="N555" s="369">
        <f t="shared" si="331"/>
        <v>30.614904850000002</v>
      </c>
      <c r="O555" s="369">
        <f t="shared" si="331"/>
        <v>13.17096332</v>
      </c>
      <c r="P555" s="369">
        <f t="shared" si="331"/>
        <v>4628.8159429449997</v>
      </c>
      <c r="Q555" s="369">
        <f t="shared" si="331"/>
        <v>576.50862932000007</v>
      </c>
      <c r="R555" s="369">
        <f t="shared" si="331"/>
        <v>28.342183459999998</v>
      </c>
      <c r="S555" s="369">
        <f t="shared" si="331"/>
        <v>0</v>
      </c>
      <c r="T555" s="369">
        <f t="shared" si="331"/>
        <v>0</v>
      </c>
      <c r="U555" s="96">
        <f t="shared" si="331"/>
        <v>4800</v>
      </c>
      <c r="V555" s="96">
        <f t="shared" si="331"/>
        <v>10000</v>
      </c>
      <c r="W555" s="96">
        <f t="shared" si="331"/>
        <v>283873</v>
      </c>
      <c r="X555" s="96">
        <f t="shared" si="331"/>
        <v>0</v>
      </c>
      <c r="Y555" s="96">
        <f t="shared" si="331"/>
        <v>150000</v>
      </c>
      <c r="Z555" s="96">
        <f t="shared" si="331"/>
        <v>0</v>
      </c>
      <c r="AA555" s="96">
        <f t="shared" si="331"/>
        <v>0</v>
      </c>
      <c r="AB555" s="96">
        <f t="shared" si="331"/>
        <v>0</v>
      </c>
      <c r="AC555" s="96">
        <f t="shared" si="331"/>
        <v>0</v>
      </c>
      <c r="AD555" s="96">
        <f t="shared" si="331"/>
        <v>0</v>
      </c>
    </row>
    <row r="556" spans="5:30" ht="22.8" x14ac:dyDescent="0.2">
      <c r="E556" s="301"/>
      <c r="F556" s="94" t="str">
        <f>STRAT1_IND2</f>
        <v>Está en funcionamiento el sistema multisectorial de información sobre nutrición para la adopción de decisiones eficaces.</v>
      </c>
      <c r="G556" s="94" t="str">
        <f ca="1">OFFSET(Variables_Lu!$D$10,Basic_Setup!H35,0)</f>
        <v>Governance</v>
      </c>
      <c r="H556" s="354">
        <f t="shared" ref="H556:AD556" si="332">H479/EXCHANGE_RATE</f>
        <v>320433.38418055553</v>
      </c>
      <c r="I556" s="355">
        <f t="shared" si="332"/>
        <v>313011.05319322302</v>
      </c>
      <c r="J556" s="356">
        <f t="shared" si="332"/>
        <v>7422.3309873325006</v>
      </c>
      <c r="K556" s="369">
        <f t="shared" si="332"/>
        <v>949.89246666999998</v>
      </c>
      <c r="L556" s="369">
        <f t="shared" si="332"/>
        <v>108.98589676750001</v>
      </c>
      <c r="M556" s="369">
        <f t="shared" si="332"/>
        <v>286</v>
      </c>
      <c r="N556" s="369">
        <f t="shared" si="332"/>
        <v>30.614904850000002</v>
      </c>
      <c r="O556" s="369">
        <f t="shared" si="332"/>
        <v>13.17096332</v>
      </c>
      <c r="P556" s="369">
        <f t="shared" si="332"/>
        <v>4628.8159429449997</v>
      </c>
      <c r="Q556" s="369">
        <f t="shared" si="332"/>
        <v>576.50862932000007</v>
      </c>
      <c r="R556" s="369">
        <f t="shared" si="332"/>
        <v>28.342183459999998</v>
      </c>
      <c r="S556" s="369">
        <f t="shared" si="332"/>
        <v>0</v>
      </c>
      <c r="T556" s="369">
        <f t="shared" si="332"/>
        <v>0</v>
      </c>
      <c r="U556" s="96">
        <f t="shared" si="332"/>
        <v>800</v>
      </c>
      <c r="V556" s="96">
        <f t="shared" si="332"/>
        <v>0</v>
      </c>
      <c r="W556" s="96">
        <f t="shared" si="332"/>
        <v>0</v>
      </c>
      <c r="X556" s="96">
        <f t="shared" si="332"/>
        <v>0</v>
      </c>
      <c r="Y556" s="96">
        <f t="shared" si="332"/>
        <v>0</v>
      </c>
      <c r="Z556" s="96">
        <f t="shared" si="332"/>
        <v>0</v>
      </c>
      <c r="AA556" s="96">
        <f t="shared" si="332"/>
        <v>0</v>
      </c>
      <c r="AB556" s="96">
        <f t="shared" si="332"/>
        <v>0</v>
      </c>
      <c r="AC556" s="96">
        <f t="shared" si="332"/>
        <v>0</v>
      </c>
      <c r="AD556" s="96">
        <f t="shared" si="332"/>
        <v>0</v>
      </c>
    </row>
    <row r="557" spans="5:30" ht="22.8" x14ac:dyDescent="0.2">
      <c r="E557" s="301"/>
      <c r="F557" s="94" t="str">
        <f>STRAT1_IND3</f>
        <v>La investigación en nutrición se utiliza para aclarar que la toma de decisiones se mejora y se refuerza.</v>
      </c>
      <c r="G557" s="94" t="str">
        <f ca="1">OFFSET(Variables_Lu!$D$10,Basic_Setup!H36,0)</f>
        <v>Governance</v>
      </c>
      <c r="H557" s="354">
        <f t="shared" ref="H557:AD557" si="333">H480/EXCHANGE_RATE</f>
        <v>320433.38418055553</v>
      </c>
      <c r="I557" s="355">
        <f t="shared" si="333"/>
        <v>312211.05319322302</v>
      </c>
      <c r="J557" s="356">
        <f t="shared" si="333"/>
        <v>8222.3309873324997</v>
      </c>
      <c r="K557" s="369">
        <f t="shared" si="333"/>
        <v>949.89246666999998</v>
      </c>
      <c r="L557" s="369">
        <f t="shared" si="333"/>
        <v>108.98589676750001</v>
      </c>
      <c r="M557" s="369">
        <f t="shared" si="333"/>
        <v>286</v>
      </c>
      <c r="N557" s="369">
        <f t="shared" si="333"/>
        <v>30.614904850000002</v>
      </c>
      <c r="O557" s="369">
        <f t="shared" si="333"/>
        <v>13.17096332</v>
      </c>
      <c r="P557" s="369">
        <f t="shared" si="333"/>
        <v>4628.8159429449997</v>
      </c>
      <c r="Q557" s="369">
        <f t="shared" si="333"/>
        <v>576.50862932000007</v>
      </c>
      <c r="R557" s="369">
        <f t="shared" si="333"/>
        <v>28.342183459999998</v>
      </c>
      <c r="S557" s="369">
        <f t="shared" si="333"/>
        <v>0</v>
      </c>
      <c r="T557" s="369">
        <f t="shared" si="333"/>
        <v>0</v>
      </c>
      <c r="U557" s="96">
        <f t="shared" si="333"/>
        <v>1600</v>
      </c>
      <c r="V557" s="96">
        <f t="shared" si="333"/>
        <v>0</v>
      </c>
      <c r="W557" s="96">
        <f t="shared" si="333"/>
        <v>0</v>
      </c>
      <c r="X557" s="96">
        <f t="shared" si="333"/>
        <v>0</v>
      </c>
      <c r="Y557" s="96">
        <f t="shared" si="333"/>
        <v>0</v>
      </c>
      <c r="Z557" s="96">
        <f t="shared" si="333"/>
        <v>0</v>
      </c>
      <c r="AA557" s="96">
        <f t="shared" si="333"/>
        <v>0</v>
      </c>
      <c r="AB557" s="96">
        <f t="shared" si="333"/>
        <v>0</v>
      </c>
      <c r="AC557" s="96">
        <f t="shared" si="333"/>
        <v>0</v>
      </c>
      <c r="AD557" s="96">
        <f t="shared" si="333"/>
        <v>0</v>
      </c>
    </row>
    <row r="558" spans="5:30" ht="22.8" x14ac:dyDescent="0.2">
      <c r="E558" s="301"/>
      <c r="F558" s="94" t="str">
        <f>STRAT1_IND4</f>
        <v>El marco legislativo y reglamentario de la nutrición se ha fortalecido y está en funcionamiento.</v>
      </c>
      <c r="G558" s="94" t="str">
        <f ca="1">OFFSET(Variables_Lu!$D$10,Basic_Setup!H37,0)</f>
        <v>Governance</v>
      </c>
      <c r="H558" s="354">
        <f t="shared" ref="H558:AD558" si="334">H481/EXCHANGE_RATE</f>
        <v>320433.38418055553</v>
      </c>
      <c r="I558" s="355">
        <f t="shared" si="334"/>
        <v>313011.05319322302</v>
      </c>
      <c r="J558" s="356">
        <f t="shared" si="334"/>
        <v>7422.3309873325006</v>
      </c>
      <c r="K558" s="369">
        <f t="shared" si="334"/>
        <v>949.89246666999998</v>
      </c>
      <c r="L558" s="369">
        <f t="shared" si="334"/>
        <v>108.98589676750001</v>
      </c>
      <c r="M558" s="369">
        <f t="shared" si="334"/>
        <v>286</v>
      </c>
      <c r="N558" s="369">
        <f t="shared" si="334"/>
        <v>30.614904850000002</v>
      </c>
      <c r="O558" s="369">
        <f t="shared" si="334"/>
        <v>13.17096332</v>
      </c>
      <c r="P558" s="369">
        <f t="shared" si="334"/>
        <v>4628.8159429449997</v>
      </c>
      <c r="Q558" s="369">
        <f t="shared" si="334"/>
        <v>576.50862932000007</v>
      </c>
      <c r="R558" s="369">
        <f t="shared" si="334"/>
        <v>28.342183459999998</v>
      </c>
      <c r="S558" s="369">
        <f t="shared" si="334"/>
        <v>0</v>
      </c>
      <c r="T558" s="369">
        <f t="shared" si="334"/>
        <v>0</v>
      </c>
      <c r="U558" s="96">
        <f t="shared" si="334"/>
        <v>800</v>
      </c>
      <c r="V558" s="96">
        <f t="shared" si="334"/>
        <v>0</v>
      </c>
      <c r="W558" s="96">
        <f t="shared" si="334"/>
        <v>0</v>
      </c>
      <c r="X558" s="96">
        <f t="shared" si="334"/>
        <v>0</v>
      </c>
      <c r="Y558" s="96">
        <f t="shared" si="334"/>
        <v>0</v>
      </c>
      <c r="Z558" s="96">
        <f t="shared" si="334"/>
        <v>0</v>
      </c>
      <c r="AA558" s="96">
        <f t="shared" si="334"/>
        <v>0</v>
      </c>
      <c r="AB558" s="96">
        <f t="shared" si="334"/>
        <v>0</v>
      </c>
      <c r="AC558" s="96">
        <f t="shared" si="334"/>
        <v>0</v>
      </c>
      <c r="AD558" s="96">
        <f t="shared" si="334"/>
        <v>0</v>
      </c>
    </row>
    <row r="559" spans="5:30" ht="12" x14ac:dyDescent="0.2">
      <c r="E559" s="301"/>
      <c r="F559" s="94" t="str">
        <f>STRAT1_IND5</f>
        <v>Objetivo estratégico 1 Indicador 5</v>
      </c>
      <c r="G559" s="94" t="str">
        <f ca="1">OFFSET(Variables_Lu!$D$10,Basic_Setup!H38,0)</f>
        <v>Governance</v>
      </c>
      <c r="H559" s="354">
        <f t="shared" ref="H559:AD559" si="335">H482/EXCHANGE_RATE</f>
        <v>0</v>
      </c>
      <c r="I559" s="355">
        <f t="shared" si="335"/>
        <v>0</v>
      </c>
      <c r="J559" s="356">
        <f t="shared" si="335"/>
        <v>0</v>
      </c>
      <c r="K559" s="369">
        <f t="shared" si="335"/>
        <v>0</v>
      </c>
      <c r="L559" s="369">
        <f t="shared" si="335"/>
        <v>0</v>
      </c>
      <c r="M559" s="369">
        <f t="shared" si="335"/>
        <v>0</v>
      </c>
      <c r="N559" s="369">
        <f t="shared" si="335"/>
        <v>0</v>
      </c>
      <c r="O559" s="369">
        <f t="shared" si="335"/>
        <v>0</v>
      </c>
      <c r="P559" s="369">
        <f t="shared" si="335"/>
        <v>0</v>
      </c>
      <c r="Q559" s="369">
        <f t="shared" si="335"/>
        <v>0</v>
      </c>
      <c r="R559" s="369">
        <f t="shared" si="335"/>
        <v>0</v>
      </c>
      <c r="S559" s="369">
        <f t="shared" si="335"/>
        <v>0</v>
      </c>
      <c r="T559" s="369">
        <f t="shared" si="335"/>
        <v>0</v>
      </c>
      <c r="U559" s="96">
        <f t="shared" si="335"/>
        <v>0</v>
      </c>
      <c r="V559" s="96">
        <f t="shared" si="335"/>
        <v>0</v>
      </c>
      <c r="W559" s="96">
        <f t="shared" si="335"/>
        <v>0</v>
      </c>
      <c r="X559" s="96">
        <f t="shared" si="335"/>
        <v>0</v>
      </c>
      <c r="Y559" s="96">
        <f t="shared" si="335"/>
        <v>0</v>
      </c>
      <c r="Z559" s="96">
        <f t="shared" si="335"/>
        <v>0</v>
      </c>
      <c r="AA559" s="96">
        <f t="shared" si="335"/>
        <v>0</v>
      </c>
      <c r="AB559" s="96">
        <f t="shared" si="335"/>
        <v>0</v>
      </c>
      <c r="AC559" s="96">
        <f t="shared" si="335"/>
        <v>0</v>
      </c>
      <c r="AD559" s="96">
        <f t="shared" si="335"/>
        <v>0</v>
      </c>
    </row>
    <row r="560" spans="5:30" ht="24" x14ac:dyDescent="0.2">
      <c r="E560" s="301"/>
      <c r="F560" s="338" t="str">
        <f>"Subtotal: "&amp;E244</f>
        <v>Subtotal: Objetivo estratégico 1: Fortalecer la gobernanza de la nutrición</v>
      </c>
      <c r="G560" s="333"/>
      <c r="H560" s="357">
        <f t="shared" ref="H560:AD560" si="336">H483/EXCHANGE_RATE</f>
        <v>1281733.5367222221</v>
      </c>
      <c r="I560" s="358">
        <f t="shared" si="336"/>
        <v>803371.21277289209</v>
      </c>
      <c r="J560" s="358">
        <f t="shared" si="336"/>
        <v>478362.32394933014</v>
      </c>
      <c r="K560" s="370">
        <f t="shared" si="336"/>
        <v>3799.5698666799999</v>
      </c>
      <c r="L560" s="370">
        <f t="shared" si="336"/>
        <v>435.94358707000004</v>
      </c>
      <c r="M560" s="370">
        <f t="shared" si="336"/>
        <v>1144</v>
      </c>
      <c r="N560" s="370">
        <f t="shared" si="336"/>
        <v>122.45961940000001</v>
      </c>
      <c r="O560" s="370">
        <f t="shared" si="336"/>
        <v>52.683853280000001</v>
      </c>
      <c r="P560" s="370">
        <f t="shared" si="336"/>
        <v>18515.263771779999</v>
      </c>
      <c r="Q560" s="370">
        <f t="shared" si="336"/>
        <v>2306.0345172800003</v>
      </c>
      <c r="R560" s="370">
        <f t="shared" si="336"/>
        <v>113.36873383999999</v>
      </c>
      <c r="S560" s="370">
        <f t="shared" si="336"/>
        <v>0</v>
      </c>
      <c r="T560" s="370">
        <f t="shared" si="336"/>
        <v>0</v>
      </c>
      <c r="U560" s="337">
        <f t="shared" si="336"/>
        <v>8000</v>
      </c>
      <c r="V560" s="337">
        <f t="shared" si="336"/>
        <v>10000</v>
      </c>
      <c r="W560" s="337">
        <f t="shared" si="336"/>
        <v>283873</v>
      </c>
      <c r="X560" s="337">
        <f t="shared" si="336"/>
        <v>0</v>
      </c>
      <c r="Y560" s="337">
        <f t="shared" si="336"/>
        <v>150000</v>
      </c>
      <c r="Z560" s="337">
        <f t="shared" si="336"/>
        <v>0</v>
      </c>
      <c r="AA560" s="337">
        <f t="shared" si="336"/>
        <v>0</v>
      </c>
      <c r="AB560" s="337">
        <f t="shared" si="336"/>
        <v>0</v>
      </c>
      <c r="AC560" s="337">
        <f t="shared" si="336"/>
        <v>0</v>
      </c>
      <c r="AD560" s="337">
        <f t="shared" si="336"/>
        <v>0</v>
      </c>
    </row>
    <row r="561" spans="5:30" ht="12" x14ac:dyDescent="0.2">
      <c r="E561" s="301" t="str">
        <f>Strategy2</f>
        <v>Objetivo estratégico 2: Fortalecer el acceso al tratamiento y a los servicios de salud y nutrición de calidad, así como al tratamiento de todas las formas de malnutrición</v>
      </c>
      <c r="G561" s="94"/>
      <c r="H561" s="363"/>
      <c r="I561" s="364"/>
      <c r="J561" s="356"/>
      <c r="K561" s="369"/>
      <c r="L561" s="369"/>
      <c r="M561" s="369"/>
      <c r="N561" s="369"/>
      <c r="O561" s="369"/>
      <c r="P561" s="369"/>
      <c r="Q561" s="369"/>
      <c r="R561" s="369"/>
      <c r="S561" s="369"/>
      <c r="T561" s="369"/>
      <c r="U561" s="96"/>
      <c r="V561" s="96"/>
      <c r="W561" s="96"/>
      <c r="X561" s="96"/>
      <c r="Y561" s="96"/>
      <c r="Z561" s="96"/>
      <c r="AA561" s="96"/>
      <c r="AB561" s="96"/>
      <c r="AC561" s="96"/>
      <c r="AD561" s="96"/>
    </row>
    <row r="562" spans="5:30" ht="34.200000000000003" x14ac:dyDescent="0.2">
      <c r="E562" s="301"/>
      <c r="F562" s="94" t="str">
        <f>STRAT2_IND1</f>
        <v>Se fortalece el acceso y la utilización sostenible de los servicios de salud y nutrición para los niños menores de 5 años, los adolescentes, las mujeres embarazadas y lactantes, y los demás grupos vulnerables</v>
      </c>
      <c r="G562" s="94" t="str">
        <f ca="1">OFFSET(Variables_Lu!$D$10,Basic_Setup!H40,0)</f>
        <v>Nutrition-specific</v>
      </c>
      <c r="H562" s="354">
        <f t="shared" ref="H562:AD562" si="337">H485/EXCHANGE_RATE</f>
        <v>4376216.6187667036</v>
      </c>
      <c r="I562" s="355">
        <f t="shared" si="337"/>
        <v>-489215.06264630792</v>
      </c>
      <c r="J562" s="356">
        <f t="shared" si="337"/>
        <v>4865431.6814130116</v>
      </c>
      <c r="K562" s="369">
        <f t="shared" si="337"/>
        <v>50265.143027954167</v>
      </c>
      <c r="L562" s="369">
        <f t="shared" si="337"/>
        <v>5767.1703706135422</v>
      </c>
      <c r="M562" s="369">
        <f t="shared" si="337"/>
        <v>15134.166666666666</v>
      </c>
      <c r="N562" s="369">
        <f t="shared" si="337"/>
        <v>1620.0387149791666</v>
      </c>
      <c r="O562" s="369">
        <f t="shared" si="337"/>
        <v>696.96347568333329</v>
      </c>
      <c r="P562" s="369">
        <f t="shared" si="337"/>
        <v>244941.51031417289</v>
      </c>
      <c r="Q562" s="369">
        <f t="shared" si="337"/>
        <v>30506.914968183333</v>
      </c>
      <c r="R562" s="369">
        <f t="shared" si="337"/>
        <v>1499.7738747583332</v>
      </c>
      <c r="S562" s="369">
        <f t="shared" si="337"/>
        <v>0</v>
      </c>
      <c r="T562" s="369">
        <f t="shared" si="337"/>
        <v>0</v>
      </c>
      <c r="U562" s="96">
        <f t="shared" si="337"/>
        <v>3000000</v>
      </c>
      <c r="V562" s="96">
        <f t="shared" si="337"/>
        <v>15000</v>
      </c>
      <c r="W562" s="96">
        <f t="shared" si="337"/>
        <v>0</v>
      </c>
      <c r="X562" s="96">
        <f t="shared" si="337"/>
        <v>0</v>
      </c>
      <c r="Y562" s="96">
        <f t="shared" si="337"/>
        <v>1500000</v>
      </c>
      <c r="Z562" s="96">
        <f t="shared" si="337"/>
        <v>0</v>
      </c>
      <c r="AA562" s="96">
        <f t="shared" si="337"/>
        <v>0</v>
      </c>
      <c r="AB562" s="96">
        <f t="shared" si="337"/>
        <v>0</v>
      </c>
      <c r="AC562" s="96">
        <f t="shared" si="337"/>
        <v>0</v>
      </c>
      <c r="AD562" s="96">
        <f t="shared" si="337"/>
        <v>0</v>
      </c>
    </row>
    <row r="563" spans="5:30" ht="45.6" x14ac:dyDescent="0.2">
      <c r="E563" s="301"/>
      <c r="F563" s="94" t="str">
        <f>STRAT2_IND2</f>
        <v xml:space="preserve">Se reduce la prevalencia de enfermedades relacionadas con la prevalencia de la malnutrición (paludismo, diarrea, neumonía, parásitos intestinales, VIH, TNM) en lactantes, adolescentes y mujeres en edad reproductiva. </v>
      </c>
      <c r="G563" s="94" t="str">
        <f ca="1">OFFSET(Variables_Lu!$D$10,Basic_Setup!H41,0)</f>
        <v>Nutrition-sensitive</v>
      </c>
      <c r="H563" s="354">
        <f t="shared" ref="H563:AD563" si="338">H486/EXCHANGE_RATE</f>
        <v>4376216.6187667036</v>
      </c>
      <c r="I563" s="355">
        <f t="shared" si="338"/>
        <v>692730.43735369202</v>
      </c>
      <c r="J563" s="356">
        <f t="shared" si="338"/>
        <v>3683486.1814130116</v>
      </c>
      <c r="K563" s="369">
        <f t="shared" si="338"/>
        <v>50265.143027954167</v>
      </c>
      <c r="L563" s="369">
        <f t="shared" si="338"/>
        <v>5767.1703706135422</v>
      </c>
      <c r="M563" s="369">
        <f t="shared" si="338"/>
        <v>15134.166666666666</v>
      </c>
      <c r="N563" s="369">
        <f t="shared" si="338"/>
        <v>1620.0387149791666</v>
      </c>
      <c r="O563" s="369">
        <f t="shared" si="338"/>
        <v>696.96347568333329</v>
      </c>
      <c r="P563" s="369">
        <f t="shared" si="338"/>
        <v>244941.51031417289</v>
      </c>
      <c r="Q563" s="369">
        <f t="shared" si="338"/>
        <v>30506.914968183333</v>
      </c>
      <c r="R563" s="369">
        <f t="shared" si="338"/>
        <v>1499.7738747583332</v>
      </c>
      <c r="S563" s="369">
        <f t="shared" si="338"/>
        <v>0</v>
      </c>
      <c r="T563" s="369">
        <f t="shared" si="338"/>
        <v>0</v>
      </c>
      <c r="U563" s="96">
        <f t="shared" si="338"/>
        <v>500000</v>
      </c>
      <c r="V563" s="96">
        <f t="shared" si="338"/>
        <v>10000</v>
      </c>
      <c r="W563" s="96">
        <f t="shared" si="338"/>
        <v>2823054.5</v>
      </c>
      <c r="X563" s="96">
        <f t="shared" si="338"/>
        <v>0</v>
      </c>
      <c r="Y563" s="96">
        <f t="shared" si="338"/>
        <v>0</v>
      </c>
      <c r="Z563" s="96">
        <f t="shared" si="338"/>
        <v>0</v>
      </c>
      <c r="AA563" s="96">
        <f t="shared" si="338"/>
        <v>0</v>
      </c>
      <c r="AB563" s="96">
        <f t="shared" si="338"/>
        <v>0</v>
      </c>
      <c r="AC563" s="96">
        <f t="shared" si="338"/>
        <v>0</v>
      </c>
      <c r="AD563" s="96">
        <f t="shared" si="338"/>
        <v>0</v>
      </c>
    </row>
    <row r="564" spans="5:30" ht="12" x14ac:dyDescent="0.2">
      <c r="E564" s="301"/>
      <c r="F564" s="94" t="str">
        <f>STRAT2_IND3</f>
        <v>Se refuerzan las intervenciones comunitarias en materia de nutrición.</v>
      </c>
      <c r="G564" s="94" t="str">
        <f ca="1">OFFSET(Variables_Lu!$D$10,Basic_Setup!H42,0)</f>
        <v>Nutrition-specific</v>
      </c>
      <c r="H564" s="354">
        <f t="shared" ref="H564:AD564" si="339">H487/EXCHANGE_RATE</f>
        <v>4376216.6187667036</v>
      </c>
      <c r="I564" s="355">
        <f t="shared" si="339"/>
        <v>2725784.937353692</v>
      </c>
      <c r="J564" s="356">
        <f t="shared" si="339"/>
        <v>1650431.6814130116</v>
      </c>
      <c r="K564" s="369">
        <f t="shared" si="339"/>
        <v>50265.143027954167</v>
      </c>
      <c r="L564" s="369">
        <f t="shared" si="339"/>
        <v>5767.1703706135422</v>
      </c>
      <c r="M564" s="369">
        <f t="shared" si="339"/>
        <v>15134.166666666666</v>
      </c>
      <c r="N564" s="369">
        <f t="shared" si="339"/>
        <v>1620.0387149791666</v>
      </c>
      <c r="O564" s="369">
        <f t="shared" si="339"/>
        <v>696.96347568333329</v>
      </c>
      <c r="P564" s="369">
        <f t="shared" si="339"/>
        <v>244941.51031417289</v>
      </c>
      <c r="Q564" s="369">
        <f t="shared" si="339"/>
        <v>30506.914968183333</v>
      </c>
      <c r="R564" s="369">
        <f t="shared" si="339"/>
        <v>1499.7738747583332</v>
      </c>
      <c r="S564" s="369">
        <f t="shared" si="339"/>
        <v>0</v>
      </c>
      <c r="T564" s="369">
        <f t="shared" si="339"/>
        <v>0</v>
      </c>
      <c r="U564" s="96">
        <f t="shared" si="339"/>
        <v>1300000</v>
      </c>
      <c r="V564" s="96">
        <f t="shared" si="339"/>
        <v>0</v>
      </c>
      <c r="W564" s="96">
        <f t="shared" si="339"/>
        <v>0</v>
      </c>
      <c r="X564" s="96">
        <f t="shared" si="339"/>
        <v>0</v>
      </c>
      <c r="Y564" s="96">
        <f t="shared" si="339"/>
        <v>0</v>
      </c>
      <c r="Z564" s="96">
        <f t="shared" si="339"/>
        <v>0</v>
      </c>
      <c r="AA564" s="96">
        <f t="shared" si="339"/>
        <v>0</v>
      </c>
      <c r="AB564" s="96">
        <f t="shared" si="339"/>
        <v>0</v>
      </c>
      <c r="AC564" s="96">
        <f t="shared" si="339"/>
        <v>0</v>
      </c>
      <c r="AD564" s="96">
        <f t="shared" si="339"/>
        <v>0</v>
      </c>
    </row>
    <row r="565" spans="5:30" ht="12" x14ac:dyDescent="0.2">
      <c r="E565" s="301"/>
      <c r="F565" s="94" t="str">
        <f>STRAT2_IND4</f>
        <v>Objetivo estratégico 2 Indicador 4</v>
      </c>
      <c r="G565" s="94" t="str">
        <f ca="1">OFFSET(Variables_Lu!$D$10,Basic_Setup!H43,0)</f>
        <v>Nutrition-specific</v>
      </c>
      <c r="H565" s="354">
        <f t="shared" ref="H565:AD565" si="340">H488/EXCHANGE_RATE</f>
        <v>0</v>
      </c>
      <c r="I565" s="355">
        <f t="shared" si="340"/>
        <v>0</v>
      </c>
      <c r="J565" s="356">
        <f t="shared" si="340"/>
        <v>0</v>
      </c>
      <c r="K565" s="369">
        <f t="shared" si="340"/>
        <v>0</v>
      </c>
      <c r="L565" s="369">
        <f t="shared" si="340"/>
        <v>0</v>
      </c>
      <c r="M565" s="369">
        <f t="shared" si="340"/>
        <v>0</v>
      </c>
      <c r="N565" s="369">
        <f t="shared" si="340"/>
        <v>0</v>
      </c>
      <c r="O565" s="369">
        <f t="shared" si="340"/>
        <v>0</v>
      </c>
      <c r="P565" s="369">
        <f t="shared" si="340"/>
        <v>0</v>
      </c>
      <c r="Q565" s="369">
        <f t="shared" si="340"/>
        <v>0</v>
      </c>
      <c r="R565" s="369">
        <f t="shared" si="340"/>
        <v>0</v>
      </c>
      <c r="S565" s="369">
        <f t="shared" si="340"/>
        <v>0</v>
      </c>
      <c r="T565" s="369">
        <f t="shared" si="340"/>
        <v>0</v>
      </c>
      <c r="U565" s="96">
        <f t="shared" si="340"/>
        <v>0</v>
      </c>
      <c r="V565" s="96">
        <f t="shared" si="340"/>
        <v>0</v>
      </c>
      <c r="W565" s="96">
        <f t="shared" si="340"/>
        <v>0</v>
      </c>
      <c r="X565" s="96">
        <f t="shared" si="340"/>
        <v>0</v>
      </c>
      <c r="Y565" s="96">
        <f t="shared" si="340"/>
        <v>0</v>
      </c>
      <c r="Z565" s="96">
        <f t="shared" si="340"/>
        <v>0</v>
      </c>
      <c r="AA565" s="96">
        <f t="shared" si="340"/>
        <v>0</v>
      </c>
      <c r="AB565" s="96">
        <f t="shared" si="340"/>
        <v>0</v>
      </c>
      <c r="AC565" s="96">
        <f t="shared" si="340"/>
        <v>0</v>
      </c>
      <c r="AD565" s="96">
        <f t="shared" si="340"/>
        <v>0</v>
      </c>
    </row>
    <row r="566" spans="5:30" ht="12" x14ac:dyDescent="0.2">
      <c r="E566" s="301"/>
      <c r="F566" s="94" t="str">
        <f>STRAT2_IND5</f>
        <v>Objetivo estratégico 2 Indicador 5</v>
      </c>
      <c r="G566" s="94" t="str">
        <f ca="1">OFFSET(Variables_Lu!$D$10,Basic_Setup!H44,0)</f>
        <v>Nutrition-specific</v>
      </c>
      <c r="H566" s="354">
        <f t="shared" ref="H566:AD566" si="341">H489/EXCHANGE_RATE</f>
        <v>0</v>
      </c>
      <c r="I566" s="355">
        <f t="shared" si="341"/>
        <v>0</v>
      </c>
      <c r="J566" s="356">
        <f t="shared" si="341"/>
        <v>0</v>
      </c>
      <c r="K566" s="369">
        <f t="shared" si="341"/>
        <v>0</v>
      </c>
      <c r="L566" s="369">
        <f t="shared" si="341"/>
        <v>0</v>
      </c>
      <c r="M566" s="369">
        <f t="shared" si="341"/>
        <v>0</v>
      </c>
      <c r="N566" s="369">
        <f t="shared" si="341"/>
        <v>0</v>
      </c>
      <c r="O566" s="369">
        <f t="shared" si="341"/>
        <v>0</v>
      </c>
      <c r="P566" s="369">
        <f t="shared" si="341"/>
        <v>0</v>
      </c>
      <c r="Q566" s="369">
        <f t="shared" si="341"/>
        <v>0</v>
      </c>
      <c r="R566" s="369">
        <f t="shared" si="341"/>
        <v>0</v>
      </c>
      <c r="S566" s="369">
        <f t="shared" si="341"/>
        <v>0</v>
      </c>
      <c r="T566" s="369">
        <f t="shared" si="341"/>
        <v>0</v>
      </c>
      <c r="U566" s="96">
        <f t="shared" si="341"/>
        <v>0</v>
      </c>
      <c r="V566" s="96">
        <f t="shared" si="341"/>
        <v>0</v>
      </c>
      <c r="W566" s="96">
        <f t="shared" si="341"/>
        <v>0</v>
      </c>
      <c r="X566" s="96">
        <f t="shared" si="341"/>
        <v>0</v>
      </c>
      <c r="Y566" s="96">
        <f t="shared" si="341"/>
        <v>0</v>
      </c>
      <c r="Z566" s="96">
        <f t="shared" si="341"/>
        <v>0</v>
      </c>
      <c r="AA566" s="96">
        <f t="shared" si="341"/>
        <v>0</v>
      </c>
      <c r="AB566" s="96">
        <f t="shared" si="341"/>
        <v>0</v>
      </c>
      <c r="AC566" s="96">
        <f t="shared" si="341"/>
        <v>0</v>
      </c>
      <c r="AD566" s="96">
        <f t="shared" si="341"/>
        <v>0</v>
      </c>
    </row>
    <row r="567" spans="5:30" ht="30.75" customHeight="1" x14ac:dyDescent="0.2">
      <c r="E567" s="301"/>
      <c r="F567" s="338" t="str">
        <f>"Subtotal: "&amp;E251</f>
        <v>Subtotal: Objetivo estratégico 2: Fortalecer el acceso al tratamiento y a los servicios de salud y nutrición de calidad, así como al tratamiento de todas las formas de malnutrición</v>
      </c>
      <c r="G567" s="333"/>
      <c r="H567" s="357">
        <f t="shared" ref="H567:AD567" si="342">H490/EXCHANGE_RATE</f>
        <v>13128649.85630011</v>
      </c>
      <c r="I567" s="358">
        <f t="shared" si="342"/>
        <v>2929300.3120610761</v>
      </c>
      <c r="J567" s="358">
        <f t="shared" si="342"/>
        <v>10199349.544239035</v>
      </c>
      <c r="K567" s="370">
        <f t="shared" si="342"/>
        <v>150795.42908386252</v>
      </c>
      <c r="L567" s="370">
        <f t="shared" si="342"/>
        <v>17301.511111840628</v>
      </c>
      <c r="M567" s="370">
        <f t="shared" si="342"/>
        <v>45402.5</v>
      </c>
      <c r="N567" s="370">
        <f t="shared" si="342"/>
        <v>4860.1161449374995</v>
      </c>
      <c r="O567" s="370">
        <f t="shared" si="342"/>
        <v>2090.8904270499997</v>
      </c>
      <c r="P567" s="370">
        <f t="shared" si="342"/>
        <v>734824.53094251873</v>
      </c>
      <c r="Q567" s="370">
        <f t="shared" si="342"/>
        <v>91520.744904549996</v>
      </c>
      <c r="R567" s="370">
        <f t="shared" si="342"/>
        <v>4499.3216242749995</v>
      </c>
      <c r="S567" s="370">
        <f t="shared" si="342"/>
        <v>0</v>
      </c>
      <c r="T567" s="370">
        <f t="shared" si="342"/>
        <v>0</v>
      </c>
      <c r="U567" s="337">
        <f t="shared" si="342"/>
        <v>4800000</v>
      </c>
      <c r="V567" s="337">
        <f t="shared" si="342"/>
        <v>25000</v>
      </c>
      <c r="W567" s="337">
        <f t="shared" si="342"/>
        <v>2823054.5</v>
      </c>
      <c r="X567" s="337">
        <f t="shared" si="342"/>
        <v>0</v>
      </c>
      <c r="Y567" s="337">
        <f t="shared" si="342"/>
        <v>1500000</v>
      </c>
      <c r="Z567" s="337">
        <f t="shared" si="342"/>
        <v>0</v>
      </c>
      <c r="AA567" s="337">
        <f t="shared" si="342"/>
        <v>0</v>
      </c>
      <c r="AB567" s="337">
        <f t="shared" si="342"/>
        <v>0</v>
      </c>
      <c r="AC567" s="337">
        <f t="shared" si="342"/>
        <v>0</v>
      </c>
      <c r="AD567" s="337">
        <f t="shared" si="342"/>
        <v>0</v>
      </c>
    </row>
    <row r="568" spans="5:30" ht="12" x14ac:dyDescent="0.2">
      <c r="E568" s="301" t="str">
        <f>Strategy3</f>
        <v>Objetivo estratégico 3: Aumentar la disponibilidad y el acceso a alimentos nutritivos de alto valor, seguros y diversificados</v>
      </c>
      <c r="G568" s="94"/>
      <c r="H568" s="363"/>
      <c r="I568" s="364"/>
      <c r="J568" s="356"/>
      <c r="K568" s="369"/>
      <c r="L568" s="369"/>
      <c r="M568" s="369"/>
      <c r="N568" s="369"/>
      <c r="O568" s="369"/>
      <c r="P568" s="369"/>
      <c r="Q568" s="369"/>
      <c r="R568" s="369"/>
      <c r="S568" s="369"/>
      <c r="T568" s="369"/>
      <c r="U568" s="96"/>
      <c r="V568" s="96"/>
      <c r="W568" s="96"/>
      <c r="X568" s="96"/>
      <c r="Y568" s="96"/>
      <c r="Z568" s="96"/>
      <c r="AA568" s="96"/>
      <c r="AB568" s="96"/>
      <c r="AC568" s="96"/>
      <c r="AD568" s="96"/>
    </row>
    <row r="569" spans="5:30" ht="22.8" x14ac:dyDescent="0.2">
      <c r="F569" s="94" t="str">
        <f>STRAT3_IND1</f>
        <v xml:space="preserve">Aumenta la disponibilidad y el acceso a alimentos de alto valor nutritivo en los hogares. </v>
      </c>
      <c r="G569" s="94" t="str">
        <f ca="1">OFFSET(Variables_Lu!$D$10,Basic_Setup!H46,0)</f>
        <v>Nutrition-specific</v>
      </c>
      <c r="H569" s="354">
        <f t="shared" ref="H569:AD569" si="343">H492/EXCHANGE_RATE</f>
        <v>23679931.392150111</v>
      </c>
      <c r="I569" s="355">
        <f t="shared" si="343"/>
        <v>521057.77682679921</v>
      </c>
      <c r="J569" s="356">
        <f t="shared" si="343"/>
        <v>23158873.615323313</v>
      </c>
      <c r="K569" s="369">
        <f t="shared" si="343"/>
        <v>594395.21101875254</v>
      </c>
      <c r="L569" s="369">
        <f t="shared" si="343"/>
        <v>68197.924902263141</v>
      </c>
      <c r="M569" s="369">
        <f t="shared" si="343"/>
        <v>178964.5</v>
      </c>
      <c r="N569" s="369">
        <f t="shared" si="343"/>
        <v>19157.276709887501</v>
      </c>
      <c r="O569" s="369">
        <f t="shared" si="343"/>
        <v>8241.7302974899994</v>
      </c>
      <c r="P569" s="369">
        <f t="shared" si="343"/>
        <v>2896481.5762978336</v>
      </c>
      <c r="Q569" s="369">
        <f t="shared" si="343"/>
        <v>360750.27479699004</v>
      </c>
      <c r="R569" s="369">
        <f t="shared" si="343"/>
        <v>17735.121300095001</v>
      </c>
      <c r="S569" s="369">
        <f t="shared" si="343"/>
        <v>0</v>
      </c>
      <c r="T569" s="369">
        <f t="shared" si="343"/>
        <v>0</v>
      </c>
      <c r="U569" s="96">
        <f t="shared" si="343"/>
        <v>0</v>
      </c>
      <c r="V569" s="96">
        <f t="shared" si="343"/>
        <v>0</v>
      </c>
      <c r="W569" s="96">
        <f t="shared" si="343"/>
        <v>18035400</v>
      </c>
      <c r="X569" s="96">
        <f t="shared" si="343"/>
        <v>354550</v>
      </c>
      <c r="Y569" s="96">
        <f t="shared" si="343"/>
        <v>625000</v>
      </c>
      <c r="Z569" s="96">
        <f t="shared" si="343"/>
        <v>0</v>
      </c>
      <c r="AA569" s="96">
        <f t="shared" si="343"/>
        <v>0</v>
      </c>
      <c r="AB569" s="96">
        <f t="shared" si="343"/>
        <v>0</v>
      </c>
      <c r="AC569" s="96">
        <f t="shared" si="343"/>
        <v>0</v>
      </c>
      <c r="AD569" s="96">
        <f t="shared" si="343"/>
        <v>0</v>
      </c>
    </row>
    <row r="570" spans="5:30" ht="12" x14ac:dyDescent="0.2">
      <c r="E570" s="301"/>
      <c r="F570" s="94" t="str">
        <f>STRAT3_IND2</f>
        <v xml:space="preserve"> La seguridad alimentaria está garantizada para toda la nación.</v>
      </c>
      <c r="G570" s="94" t="str">
        <f ca="1">OFFSET(Variables_Lu!$D$10,Basic_Setup!H47,0)</f>
        <v>Nutrition-sensitive</v>
      </c>
      <c r="H570" s="354">
        <f t="shared" ref="H570:AD570" si="344">H493/EXCHANGE_RATE</f>
        <v>23679931.392150111</v>
      </c>
      <c r="I570" s="355">
        <f t="shared" si="344"/>
        <v>19536007.776826799</v>
      </c>
      <c r="J570" s="356">
        <f t="shared" si="344"/>
        <v>4143923.6153233121</v>
      </c>
      <c r="K570" s="369">
        <f t="shared" si="344"/>
        <v>594395.21101875254</v>
      </c>
      <c r="L570" s="369">
        <f t="shared" si="344"/>
        <v>68197.924902263141</v>
      </c>
      <c r="M570" s="369">
        <f t="shared" si="344"/>
        <v>178964.5</v>
      </c>
      <c r="N570" s="369">
        <f t="shared" si="344"/>
        <v>19157.276709887501</v>
      </c>
      <c r="O570" s="369">
        <f t="shared" si="344"/>
        <v>8241.7302974899994</v>
      </c>
      <c r="P570" s="369">
        <f t="shared" si="344"/>
        <v>2896481.5762978336</v>
      </c>
      <c r="Q570" s="369">
        <f t="shared" si="344"/>
        <v>360750.27479699004</v>
      </c>
      <c r="R570" s="369">
        <f t="shared" si="344"/>
        <v>17735.121300095001</v>
      </c>
      <c r="S570" s="369">
        <f t="shared" si="344"/>
        <v>0</v>
      </c>
      <c r="T570" s="369">
        <f t="shared" si="344"/>
        <v>0</v>
      </c>
      <c r="U570" s="96">
        <f t="shared" si="344"/>
        <v>0</v>
      </c>
      <c r="V570" s="96">
        <f t="shared" si="344"/>
        <v>0</v>
      </c>
      <c r="W570" s="96">
        <f t="shared" si="344"/>
        <v>0</v>
      </c>
      <c r="X570" s="96">
        <f t="shared" si="344"/>
        <v>0</v>
      </c>
      <c r="Y570" s="96">
        <f t="shared" si="344"/>
        <v>0</v>
      </c>
      <c r="Z570" s="96">
        <f t="shared" si="344"/>
        <v>0</v>
      </c>
      <c r="AA570" s="96">
        <f t="shared" si="344"/>
        <v>0</v>
      </c>
      <c r="AB570" s="96">
        <f t="shared" si="344"/>
        <v>0</v>
      </c>
      <c r="AC570" s="96">
        <f t="shared" si="344"/>
        <v>0</v>
      </c>
      <c r="AD570" s="96">
        <f t="shared" si="344"/>
        <v>0</v>
      </c>
    </row>
    <row r="571" spans="5:30" ht="12" x14ac:dyDescent="0.2">
      <c r="E571" s="301"/>
      <c r="F571" s="94" t="str">
        <f>STRAT3_IND3</f>
        <v>Objetivo estratégico 3 Indicador 3</v>
      </c>
      <c r="G571" s="94" t="str">
        <f ca="1">OFFSET(Variables_Lu!$D$10,Basic_Setup!H48,0)</f>
        <v>Nutrition-specific</v>
      </c>
      <c r="H571" s="354">
        <f t="shared" ref="H571:AD571" si="345">H494/EXCHANGE_RATE</f>
        <v>0</v>
      </c>
      <c r="I571" s="355">
        <f t="shared" si="345"/>
        <v>0</v>
      </c>
      <c r="J571" s="356">
        <f t="shared" si="345"/>
        <v>0</v>
      </c>
      <c r="K571" s="369">
        <f t="shared" si="345"/>
        <v>0</v>
      </c>
      <c r="L571" s="369">
        <f t="shared" si="345"/>
        <v>0</v>
      </c>
      <c r="M571" s="369">
        <f t="shared" si="345"/>
        <v>0</v>
      </c>
      <c r="N571" s="369">
        <f t="shared" si="345"/>
        <v>0</v>
      </c>
      <c r="O571" s="369">
        <f t="shared" si="345"/>
        <v>0</v>
      </c>
      <c r="P571" s="369">
        <f t="shared" si="345"/>
        <v>0</v>
      </c>
      <c r="Q571" s="369">
        <f t="shared" si="345"/>
        <v>0</v>
      </c>
      <c r="R571" s="369">
        <f t="shared" si="345"/>
        <v>0</v>
      </c>
      <c r="S571" s="369">
        <f t="shared" si="345"/>
        <v>0</v>
      </c>
      <c r="T571" s="369">
        <f t="shared" si="345"/>
        <v>0</v>
      </c>
      <c r="U571" s="96">
        <f t="shared" si="345"/>
        <v>0</v>
      </c>
      <c r="V571" s="96">
        <f t="shared" si="345"/>
        <v>0</v>
      </c>
      <c r="W571" s="96">
        <f t="shared" si="345"/>
        <v>0</v>
      </c>
      <c r="X571" s="96">
        <f t="shared" si="345"/>
        <v>0</v>
      </c>
      <c r="Y571" s="96">
        <f t="shared" si="345"/>
        <v>0</v>
      </c>
      <c r="Z571" s="96">
        <f t="shared" si="345"/>
        <v>0</v>
      </c>
      <c r="AA571" s="96">
        <f t="shared" si="345"/>
        <v>0</v>
      </c>
      <c r="AB571" s="96">
        <f t="shared" si="345"/>
        <v>0</v>
      </c>
      <c r="AC571" s="96">
        <f t="shared" si="345"/>
        <v>0</v>
      </c>
      <c r="AD571" s="96">
        <f t="shared" si="345"/>
        <v>0</v>
      </c>
    </row>
    <row r="572" spans="5:30" ht="12" x14ac:dyDescent="0.2">
      <c r="E572" s="301"/>
      <c r="F572" s="94" t="str">
        <f>STRAT3_IND4</f>
        <v>Objetivo estratégico 3 Indicador 4</v>
      </c>
      <c r="G572" s="94" t="str">
        <f ca="1">OFFSET(Variables_Lu!$D$10,Basic_Setup!H49,0)</f>
        <v>Nutrition-specific</v>
      </c>
      <c r="H572" s="354">
        <f t="shared" ref="H572:AD572" si="346">H495/EXCHANGE_RATE</f>
        <v>0</v>
      </c>
      <c r="I572" s="355">
        <f t="shared" si="346"/>
        <v>0</v>
      </c>
      <c r="J572" s="356">
        <f t="shared" si="346"/>
        <v>0</v>
      </c>
      <c r="K572" s="369">
        <f t="shared" si="346"/>
        <v>0</v>
      </c>
      <c r="L572" s="369">
        <f t="shared" si="346"/>
        <v>0</v>
      </c>
      <c r="M572" s="369">
        <f t="shared" si="346"/>
        <v>0</v>
      </c>
      <c r="N572" s="369">
        <f t="shared" si="346"/>
        <v>0</v>
      </c>
      <c r="O572" s="369">
        <f t="shared" si="346"/>
        <v>0</v>
      </c>
      <c r="P572" s="369">
        <f t="shared" si="346"/>
        <v>0</v>
      </c>
      <c r="Q572" s="369">
        <f t="shared" si="346"/>
        <v>0</v>
      </c>
      <c r="R572" s="369">
        <f t="shared" si="346"/>
        <v>0</v>
      </c>
      <c r="S572" s="369">
        <f t="shared" si="346"/>
        <v>0</v>
      </c>
      <c r="T572" s="369">
        <f t="shared" si="346"/>
        <v>0</v>
      </c>
      <c r="U572" s="96">
        <f t="shared" si="346"/>
        <v>0</v>
      </c>
      <c r="V572" s="96">
        <f t="shared" si="346"/>
        <v>0</v>
      </c>
      <c r="W572" s="96">
        <f t="shared" si="346"/>
        <v>0</v>
      </c>
      <c r="X572" s="96">
        <f t="shared" si="346"/>
        <v>0</v>
      </c>
      <c r="Y572" s="96">
        <f t="shared" si="346"/>
        <v>0</v>
      </c>
      <c r="Z572" s="96">
        <f t="shared" si="346"/>
        <v>0</v>
      </c>
      <c r="AA572" s="96">
        <f t="shared" si="346"/>
        <v>0</v>
      </c>
      <c r="AB572" s="96">
        <f t="shared" si="346"/>
        <v>0</v>
      </c>
      <c r="AC572" s="96">
        <f t="shared" si="346"/>
        <v>0</v>
      </c>
      <c r="AD572" s="96">
        <f t="shared" si="346"/>
        <v>0</v>
      </c>
    </row>
    <row r="573" spans="5:30" ht="12" x14ac:dyDescent="0.2">
      <c r="E573" s="301"/>
      <c r="F573" s="94" t="str">
        <f>STRAT3_IND5</f>
        <v>Objetivo estratégico 3 Indicador 5</v>
      </c>
      <c r="G573" s="94" t="str">
        <f ca="1">OFFSET(Variables_Lu!$D$10,Basic_Setup!H50,0)</f>
        <v>Nutrition-specific</v>
      </c>
      <c r="H573" s="354">
        <f t="shared" ref="H573:AD573" si="347">H496/EXCHANGE_RATE</f>
        <v>0</v>
      </c>
      <c r="I573" s="355">
        <f t="shared" si="347"/>
        <v>0</v>
      </c>
      <c r="J573" s="356">
        <f t="shared" si="347"/>
        <v>0</v>
      </c>
      <c r="K573" s="369">
        <f t="shared" si="347"/>
        <v>0</v>
      </c>
      <c r="L573" s="369">
        <f t="shared" si="347"/>
        <v>0</v>
      </c>
      <c r="M573" s="369">
        <f t="shared" si="347"/>
        <v>0</v>
      </c>
      <c r="N573" s="369">
        <f t="shared" si="347"/>
        <v>0</v>
      </c>
      <c r="O573" s="369">
        <f t="shared" si="347"/>
        <v>0</v>
      </c>
      <c r="P573" s="369">
        <f t="shared" si="347"/>
        <v>0</v>
      </c>
      <c r="Q573" s="369">
        <f t="shared" si="347"/>
        <v>0</v>
      </c>
      <c r="R573" s="369">
        <f t="shared" si="347"/>
        <v>0</v>
      </c>
      <c r="S573" s="369">
        <f t="shared" si="347"/>
        <v>0</v>
      </c>
      <c r="T573" s="369">
        <f t="shared" si="347"/>
        <v>0</v>
      </c>
      <c r="U573" s="96">
        <f t="shared" si="347"/>
        <v>0</v>
      </c>
      <c r="V573" s="96">
        <f t="shared" si="347"/>
        <v>0</v>
      </c>
      <c r="W573" s="96">
        <f t="shared" si="347"/>
        <v>0</v>
      </c>
      <c r="X573" s="96">
        <f t="shared" si="347"/>
        <v>0</v>
      </c>
      <c r="Y573" s="96">
        <f t="shared" si="347"/>
        <v>0</v>
      </c>
      <c r="Z573" s="96">
        <f t="shared" si="347"/>
        <v>0</v>
      </c>
      <c r="AA573" s="96">
        <f t="shared" si="347"/>
        <v>0</v>
      </c>
      <c r="AB573" s="96">
        <f t="shared" si="347"/>
        <v>0</v>
      </c>
      <c r="AC573" s="96">
        <f t="shared" si="347"/>
        <v>0</v>
      </c>
      <c r="AD573" s="96">
        <f t="shared" si="347"/>
        <v>0</v>
      </c>
    </row>
    <row r="574" spans="5:30" ht="36" x14ac:dyDescent="0.2">
      <c r="E574" s="301"/>
      <c r="F574" s="338" t="str">
        <f>"Subtotal: "&amp;E258</f>
        <v>Subtotal: Objetivo estratégico 3: Aumentar la disponibilidad y el acceso a alimentos nutritivos de alto valor, seguros y diversificados</v>
      </c>
      <c r="G574" s="333"/>
      <c r="H574" s="357">
        <f t="shared" ref="H574:AD574" si="348">H497/EXCHANGE_RATE</f>
        <v>47359862.784300223</v>
      </c>
      <c r="I574" s="358">
        <f t="shared" si="348"/>
        <v>20057065.553653598</v>
      </c>
      <c r="J574" s="358">
        <f t="shared" si="348"/>
        <v>27302797.230646625</v>
      </c>
      <c r="K574" s="370">
        <f t="shared" si="348"/>
        <v>1188790.4220375051</v>
      </c>
      <c r="L574" s="370">
        <f t="shared" si="348"/>
        <v>136395.84980452628</v>
      </c>
      <c r="M574" s="370">
        <f t="shared" si="348"/>
        <v>357929</v>
      </c>
      <c r="N574" s="370">
        <f t="shared" si="348"/>
        <v>38314.553419775002</v>
      </c>
      <c r="O574" s="370">
        <f t="shared" si="348"/>
        <v>16483.460594979999</v>
      </c>
      <c r="P574" s="370">
        <f t="shared" si="348"/>
        <v>5792963.1525956672</v>
      </c>
      <c r="Q574" s="370">
        <f t="shared" si="348"/>
        <v>721500.54959398007</v>
      </c>
      <c r="R574" s="370">
        <f t="shared" si="348"/>
        <v>35470.242600190002</v>
      </c>
      <c r="S574" s="370">
        <f t="shared" si="348"/>
        <v>0</v>
      </c>
      <c r="T574" s="370">
        <f t="shared" si="348"/>
        <v>0</v>
      </c>
      <c r="U574" s="337">
        <f t="shared" si="348"/>
        <v>0</v>
      </c>
      <c r="V574" s="337">
        <f t="shared" si="348"/>
        <v>0</v>
      </c>
      <c r="W574" s="337">
        <f t="shared" si="348"/>
        <v>18035400</v>
      </c>
      <c r="X574" s="337">
        <f t="shared" si="348"/>
        <v>354550</v>
      </c>
      <c r="Y574" s="337">
        <f t="shared" si="348"/>
        <v>625000</v>
      </c>
      <c r="Z574" s="337">
        <f t="shared" si="348"/>
        <v>0</v>
      </c>
      <c r="AA574" s="337">
        <f t="shared" si="348"/>
        <v>0</v>
      </c>
      <c r="AB574" s="337">
        <f t="shared" si="348"/>
        <v>0</v>
      </c>
      <c r="AC574" s="337">
        <f t="shared" si="348"/>
        <v>0</v>
      </c>
      <c r="AD574" s="337">
        <f t="shared" si="348"/>
        <v>0</v>
      </c>
    </row>
    <row r="575" spans="5:30" ht="12" x14ac:dyDescent="0.2">
      <c r="E575" s="301" t="str">
        <f>Strategy4</f>
        <v>Objetivo estratégico 4: Fortalecer la protección social, la resiliencia de la respuesta a las emergencias y los desastres naturales.</v>
      </c>
      <c r="G575" s="94"/>
      <c r="H575" s="363"/>
      <c r="I575" s="364"/>
      <c r="J575" s="356"/>
      <c r="K575" s="369"/>
      <c r="L575" s="369"/>
      <c r="M575" s="369"/>
      <c r="N575" s="369"/>
      <c r="O575" s="369"/>
      <c r="P575" s="369"/>
      <c r="Q575" s="369"/>
      <c r="R575" s="369"/>
      <c r="S575" s="369"/>
      <c r="T575" s="369"/>
      <c r="U575" s="96"/>
      <c r="V575" s="96"/>
      <c r="W575" s="96"/>
      <c r="X575" s="96"/>
      <c r="Y575" s="96"/>
      <c r="Z575" s="96"/>
      <c r="AA575" s="96"/>
      <c r="AB575" s="96"/>
      <c r="AC575" s="96"/>
      <c r="AD575" s="96"/>
    </row>
    <row r="576" spans="5:30" ht="22.8" x14ac:dyDescent="0.2">
      <c r="F576" s="94" t="str">
        <f>STRAT4_IND1</f>
        <v xml:space="preserve">Se garantiza la protección social de los niños menores de 5 años, los adolescentes, FE/FA y otros grupos vulnerables. </v>
      </c>
      <c r="G576" s="94" t="str">
        <f ca="1">OFFSET(Variables_Lu!$D$10,Basic_Setup!H52,0)</f>
        <v>Nutrition-sensitive</v>
      </c>
      <c r="H576" s="354">
        <f t="shared" ref="H576:AD576" si="349">H499/EXCHANGE_RATE</f>
        <v>7178206.000383703</v>
      </c>
      <c r="I576" s="355">
        <f t="shared" si="349"/>
        <v>822412.41009583045</v>
      </c>
      <c r="J576" s="356">
        <f t="shared" si="349"/>
        <v>6355793.5902878726</v>
      </c>
      <c r="K576" s="369">
        <f t="shared" si="349"/>
        <v>334599.62138450751</v>
      </c>
      <c r="L576" s="369">
        <f t="shared" si="349"/>
        <v>38390.282136351881</v>
      </c>
      <c r="M576" s="369">
        <f t="shared" si="349"/>
        <v>100743.5</v>
      </c>
      <c r="N576" s="369">
        <f t="shared" si="349"/>
        <v>10784.100233412499</v>
      </c>
      <c r="O576" s="369">
        <f t="shared" si="349"/>
        <v>4639.4718294700006</v>
      </c>
      <c r="P576" s="369">
        <f t="shared" si="349"/>
        <v>1630500.4159023762</v>
      </c>
      <c r="Q576" s="369">
        <f t="shared" si="349"/>
        <v>203075.16467797002</v>
      </c>
      <c r="R576" s="369">
        <f t="shared" si="349"/>
        <v>9983.5341237850007</v>
      </c>
      <c r="S576" s="369">
        <f t="shared" si="349"/>
        <v>0</v>
      </c>
      <c r="T576" s="369">
        <f t="shared" si="349"/>
        <v>0</v>
      </c>
      <c r="U576" s="96">
        <f t="shared" si="349"/>
        <v>40000</v>
      </c>
      <c r="V576" s="96">
        <f t="shared" si="349"/>
        <v>0</v>
      </c>
      <c r="W576" s="96">
        <f t="shared" si="349"/>
        <v>3483077.5</v>
      </c>
      <c r="X576" s="96">
        <f t="shared" si="349"/>
        <v>0</v>
      </c>
      <c r="Y576" s="96">
        <f t="shared" si="349"/>
        <v>500000</v>
      </c>
      <c r="Z576" s="96">
        <f t="shared" si="349"/>
        <v>0</v>
      </c>
      <c r="AA576" s="96">
        <f t="shared" si="349"/>
        <v>0</v>
      </c>
      <c r="AB576" s="96">
        <f t="shared" si="349"/>
        <v>0</v>
      </c>
      <c r="AC576" s="96">
        <f t="shared" si="349"/>
        <v>0</v>
      </c>
      <c r="AD576" s="96">
        <f t="shared" si="349"/>
        <v>0</v>
      </c>
    </row>
    <row r="577" spans="5:30" ht="34.200000000000003" x14ac:dyDescent="0.2">
      <c r="E577" s="301"/>
      <c r="F577" s="94" t="str">
        <f>STRAT4_IND2</f>
        <v xml:space="preserve">Se fortalece la capacidad de resiliencia y el estado nutricional de las poblaciones vulnerables, incluidos los niños de las zonas desfavorecidas.  </v>
      </c>
      <c r="G577" s="94" t="str">
        <f ca="1">OFFSET(Variables_Lu!$D$10,Basic_Setup!H53,0)</f>
        <v>Nutrition-specific</v>
      </c>
      <c r="H577" s="354">
        <f t="shared" ref="H577:AD577" si="350">H500/EXCHANGE_RATE</f>
        <v>7178206.000383703</v>
      </c>
      <c r="I577" s="355">
        <f t="shared" si="350"/>
        <v>4755489.9100958304</v>
      </c>
      <c r="J577" s="356">
        <f t="shared" si="350"/>
        <v>2422716.0902878731</v>
      </c>
      <c r="K577" s="369">
        <f t="shared" si="350"/>
        <v>334599.62138450751</v>
      </c>
      <c r="L577" s="369">
        <f t="shared" si="350"/>
        <v>38390.282136351881</v>
      </c>
      <c r="M577" s="369">
        <f t="shared" si="350"/>
        <v>100743.5</v>
      </c>
      <c r="N577" s="369">
        <f t="shared" si="350"/>
        <v>10784.100233412499</v>
      </c>
      <c r="O577" s="369">
        <f t="shared" si="350"/>
        <v>4639.4718294700006</v>
      </c>
      <c r="P577" s="369">
        <f t="shared" si="350"/>
        <v>1630500.4159023762</v>
      </c>
      <c r="Q577" s="369">
        <f t="shared" si="350"/>
        <v>203075.16467797002</v>
      </c>
      <c r="R577" s="369">
        <f t="shared" si="350"/>
        <v>9983.5341237850007</v>
      </c>
      <c r="S577" s="369">
        <f t="shared" si="350"/>
        <v>0</v>
      </c>
      <c r="T577" s="369">
        <f t="shared" si="350"/>
        <v>0</v>
      </c>
      <c r="U577" s="96">
        <f t="shared" si="350"/>
        <v>40000</v>
      </c>
      <c r="V577" s="96">
        <f t="shared" si="350"/>
        <v>0</v>
      </c>
      <c r="W577" s="96">
        <f t="shared" si="350"/>
        <v>0</v>
      </c>
      <c r="X577" s="96">
        <f t="shared" si="350"/>
        <v>0</v>
      </c>
      <c r="Y577" s="96">
        <f t="shared" si="350"/>
        <v>50000</v>
      </c>
      <c r="Z577" s="96">
        <f t="shared" si="350"/>
        <v>0</v>
      </c>
      <c r="AA577" s="96">
        <f t="shared" si="350"/>
        <v>0</v>
      </c>
      <c r="AB577" s="96">
        <f t="shared" si="350"/>
        <v>0</v>
      </c>
      <c r="AC577" s="96">
        <f t="shared" si="350"/>
        <v>0</v>
      </c>
      <c r="AD577" s="96">
        <f t="shared" si="350"/>
        <v>0</v>
      </c>
    </row>
    <row r="578" spans="5:30" ht="22.8" x14ac:dyDescent="0.2">
      <c r="E578" s="301"/>
      <c r="F578" s="94" t="str">
        <f>STRAT4_IND3</f>
        <v xml:space="preserve"> Se introducen eficazmente intervenciones para emergencias y catástrofes naturales integrales de la nutrición.</v>
      </c>
      <c r="G578" s="94" t="str">
        <f ca="1">OFFSET(Variables_Lu!$D$10,Basic_Setup!H54,0)</f>
        <v>Nutrition-specific</v>
      </c>
      <c r="H578" s="354">
        <f t="shared" ref="H578:AD578" si="351">H501/EXCHANGE_RATE</f>
        <v>7178206.000383703</v>
      </c>
      <c r="I578" s="355">
        <f t="shared" si="351"/>
        <v>4525489.9100958304</v>
      </c>
      <c r="J578" s="356">
        <f t="shared" si="351"/>
        <v>2652716.0902878731</v>
      </c>
      <c r="K578" s="369">
        <f t="shared" si="351"/>
        <v>334599.62138450751</v>
      </c>
      <c r="L578" s="369">
        <f t="shared" si="351"/>
        <v>38390.282136351881</v>
      </c>
      <c r="M578" s="369">
        <f t="shared" si="351"/>
        <v>100743.5</v>
      </c>
      <c r="N578" s="369">
        <f t="shared" si="351"/>
        <v>10784.100233412499</v>
      </c>
      <c r="O578" s="369">
        <f t="shared" si="351"/>
        <v>4639.4718294700006</v>
      </c>
      <c r="P578" s="369">
        <f t="shared" si="351"/>
        <v>1630500.4159023762</v>
      </c>
      <c r="Q578" s="369">
        <f t="shared" si="351"/>
        <v>203075.16467797002</v>
      </c>
      <c r="R578" s="369">
        <f t="shared" si="351"/>
        <v>9983.5341237850007</v>
      </c>
      <c r="S578" s="369">
        <f t="shared" si="351"/>
        <v>0</v>
      </c>
      <c r="T578" s="369">
        <f t="shared" si="351"/>
        <v>0</v>
      </c>
      <c r="U578" s="96">
        <f t="shared" si="351"/>
        <v>320000</v>
      </c>
      <c r="V578" s="96">
        <f t="shared" si="351"/>
        <v>0</v>
      </c>
      <c r="W578" s="96">
        <f t="shared" si="351"/>
        <v>0</v>
      </c>
      <c r="X578" s="96">
        <f t="shared" si="351"/>
        <v>0</v>
      </c>
      <c r="Y578" s="96">
        <f t="shared" si="351"/>
        <v>0</v>
      </c>
      <c r="Z578" s="96">
        <f t="shared" si="351"/>
        <v>0</v>
      </c>
      <c r="AA578" s="96">
        <f t="shared" si="351"/>
        <v>0</v>
      </c>
      <c r="AB578" s="96">
        <f t="shared" si="351"/>
        <v>0</v>
      </c>
      <c r="AC578" s="96">
        <f t="shared" si="351"/>
        <v>0</v>
      </c>
      <c r="AD578" s="96">
        <f t="shared" si="351"/>
        <v>0</v>
      </c>
    </row>
    <row r="579" spans="5:30" ht="12" x14ac:dyDescent="0.2">
      <c r="E579" s="301"/>
      <c r="F579" s="94" t="str">
        <f>STRAT4_IND4</f>
        <v>Objetivo estratégico 4 Indicador 4</v>
      </c>
      <c r="G579" s="94" t="str">
        <f ca="1">OFFSET(Variables_Lu!$D$10,Basic_Setup!H55,0)</f>
        <v>Nutrition-specific</v>
      </c>
      <c r="H579" s="354">
        <f t="shared" ref="H579:AD579" si="352">H502/EXCHANGE_RATE</f>
        <v>0</v>
      </c>
      <c r="I579" s="355">
        <f t="shared" si="352"/>
        <v>0</v>
      </c>
      <c r="J579" s="356">
        <f t="shared" si="352"/>
        <v>0</v>
      </c>
      <c r="K579" s="369">
        <f t="shared" si="352"/>
        <v>0</v>
      </c>
      <c r="L579" s="369">
        <f t="shared" si="352"/>
        <v>0</v>
      </c>
      <c r="M579" s="369">
        <f t="shared" si="352"/>
        <v>0</v>
      </c>
      <c r="N579" s="369">
        <f t="shared" si="352"/>
        <v>0</v>
      </c>
      <c r="O579" s="369">
        <f t="shared" si="352"/>
        <v>0</v>
      </c>
      <c r="P579" s="369">
        <f t="shared" si="352"/>
        <v>0</v>
      </c>
      <c r="Q579" s="369">
        <f t="shared" si="352"/>
        <v>0</v>
      </c>
      <c r="R579" s="369">
        <f t="shared" si="352"/>
        <v>0</v>
      </c>
      <c r="S579" s="369">
        <f t="shared" si="352"/>
        <v>0</v>
      </c>
      <c r="T579" s="369">
        <f t="shared" si="352"/>
        <v>0</v>
      </c>
      <c r="U579" s="96">
        <f t="shared" si="352"/>
        <v>0</v>
      </c>
      <c r="V579" s="96">
        <f t="shared" si="352"/>
        <v>0</v>
      </c>
      <c r="W579" s="96">
        <f t="shared" si="352"/>
        <v>0</v>
      </c>
      <c r="X579" s="96">
        <f t="shared" si="352"/>
        <v>0</v>
      </c>
      <c r="Y579" s="96">
        <f t="shared" si="352"/>
        <v>0</v>
      </c>
      <c r="Z579" s="96">
        <f t="shared" si="352"/>
        <v>0</v>
      </c>
      <c r="AA579" s="96">
        <f t="shared" si="352"/>
        <v>0</v>
      </c>
      <c r="AB579" s="96">
        <f t="shared" si="352"/>
        <v>0</v>
      </c>
      <c r="AC579" s="96">
        <f t="shared" si="352"/>
        <v>0</v>
      </c>
      <c r="AD579" s="96">
        <f t="shared" si="352"/>
        <v>0</v>
      </c>
    </row>
    <row r="580" spans="5:30" ht="12" x14ac:dyDescent="0.2">
      <c r="E580" s="301"/>
      <c r="F580" s="94" t="str">
        <f>STRAT4_IND5</f>
        <v>Objetivo estratégico 4 Indicador 5</v>
      </c>
      <c r="G580" s="94" t="str">
        <f ca="1">OFFSET(Variables_Lu!$D$10,Basic_Setup!H56,0)</f>
        <v>Nutrition-specific</v>
      </c>
      <c r="H580" s="354">
        <f t="shared" ref="H580:AD580" si="353">H503/EXCHANGE_RATE</f>
        <v>0</v>
      </c>
      <c r="I580" s="355">
        <f t="shared" si="353"/>
        <v>0</v>
      </c>
      <c r="J580" s="356">
        <f t="shared" si="353"/>
        <v>0</v>
      </c>
      <c r="K580" s="369">
        <f t="shared" si="353"/>
        <v>0</v>
      </c>
      <c r="L580" s="369">
        <f t="shared" si="353"/>
        <v>0</v>
      </c>
      <c r="M580" s="369">
        <f t="shared" si="353"/>
        <v>0</v>
      </c>
      <c r="N580" s="369">
        <f t="shared" si="353"/>
        <v>0</v>
      </c>
      <c r="O580" s="369">
        <f t="shared" si="353"/>
        <v>0</v>
      </c>
      <c r="P580" s="369">
        <f t="shared" si="353"/>
        <v>0</v>
      </c>
      <c r="Q580" s="369">
        <f t="shared" si="353"/>
        <v>0</v>
      </c>
      <c r="R580" s="369">
        <f t="shared" si="353"/>
        <v>0</v>
      </c>
      <c r="S580" s="369">
        <f t="shared" si="353"/>
        <v>0</v>
      </c>
      <c r="T580" s="369">
        <f t="shared" si="353"/>
        <v>0</v>
      </c>
      <c r="U580" s="96">
        <f t="shared" si="353"/>
        <v>0</v>
      </c>
      <c r="V580" s="96">
        <f t="shared" si="353"/>
        <v>0</v>
      </c>
      <c r="W580" s="96">
        <f t="shared" si="353"/>
        <v>0</v>
      </c>
      <c r="X580" s="96">
        <f t="shared" si="353"/>
        <v>0</v>
      </c>
      <c r="Y580" s="96">
        <f t="shared" si="353"/>
        <v>0</v>
      </c>
      <c r="Z580" s="96">
        <f t="shared" si="353"/>
        <v>0</v>
      </c>
      <c r="AA580" s="96">
        <f t="shared" si="353"/>
        <v>0</v>
      </c>
      <c r="AB580" s="96">
        <f t="shared" si="353"/>
        <v>0</v>
      </c>
      <c r="AC580" s="96">
        <f t="shared" si="353"/>
        <v>0</v>
      </c>
      <c r="AD580" s="96">
        <f t="shared" si="353"/>
        <v>0</v>
      </c>
    </row>
    <row r="581" spans="5:30" ht="36" x14ac:dyDescent="0.2">
      <c r="E581" s="301"/>
      <c r="F581" s="338" t="str">
        <f>"Subtotal: "&amp;E265</f>
        <v>Subtotal: Objetivo estratégico 4: Fortalecer la protección social, la resiliencia de la respuesta a las emergencias y los desastres naturales.</v>
      </c>
      <c r="G581" s="333"/>
      <c r="H581" s="357">
        <f t="shared" ref="H581:AD581" si="354">H504/EXCHANGE_RATE</f>
        <v>21534618.001151111</v>
      </c>
      <c r="I581" s="358">
        <f t="shared" si="354"/>
        <v>10103392.230287492</v>
      </c>
      <c r="J581" s="358">
        <f t="shared" si="354"/>
        <v>11431225.770863619</v>
      </c>
      <c r="K581" s="370">
        <f t="shared" si="354"/>
        <v>1003798.8641535224</v>
      </c>
      <c r="L581" s="370">
        <f t="shared" si="354"/>
        <v>115170.84640905564</v>
      </c>
      <c r="M581" s="370">
        <f t="shared" si="354"/>
        <v>302230.5</v>
      </c>
      <c r="N581" s="370">
        <f t="shared" si="354"/>
        <v>32352.300700237494</v>
      </c>
      <c r="O581" s="370">
        <f t="shared" si="354"/>
        <v>13918.415488410001</v>
      </c>
      <c r="P581" s="370">
        <f t="shared" si="354"/>
        <v>4891501.2477071285</v>
      </c>
      <c r="Q581" s="370">
        <f t="shared" si="354"/>
        <v>609225.49403390998</v>
      </c>
      <c r="R581" s="370">
        <f t="shared" si="354"/>
        <v>29950.602371355006</v>
      </c>
      <c r="S581" s="370">
        <f t="shared" si="354"/>
        <v>0</v>
      </c>
      <c r="T581" s="370">
        <f t="shared" si="354"/>
        <v>0</v>
      </c>
      <c r="U581" s="337">
        <f t="shared" si="354"/>
        <v>400000</v>
      </c>
      <c r="V581" s="337">
        <f t="shared" si="354"/>
        <v>0</v>
      </c>
      <c r="W581" s="337">
        <f t="shared" si="354"/>
        <v>3483077.5</v>
      </c>
      <c r="X581" s="337">
        <f t="shared" si="354"/>
        <v>0</v>
      </c>
      <c r="Y581" s="337">
        <f t="shared" si="354"/>
        <v>550000</v>
      </c>
      <c r="Z581" s="337">
        <f t="shared" si="354"/>
        <v>0</v>
      </c>
      <c r="AA581" s="337">
        <f t="shared" si="354"/>
        <v>0</v>
      </c>
      <c r="AB581" s="337">
        <f t="shared" si="354"/>
        <v>0</v>
      </c>
      <c r="AC581" s="337">
        <f t="shared" si="354"/>
        <v>0</v>
      </c>
      <c r="AD581" s="337">
        <f t="shared" si="354"/>
        <v>0</v>
      </c>
    </row>
    <row r="582" spans="5:30" ht="12" x14ac:dyDescent="0.2">
      <c r="E582" s="301" t="str">
        <f>Strategy5</f>
        <v xml:space="preserve">Objetivo estratégico 5: Promoción de prácticas favorables a una nutrición óptima, de higiene y saneamiento básico. </v>
      </c>
      <c r="G582" s="94"/>
      <c r="H582" s="363"/>
      <c r="I582" s="364"/>
      <c r="J582" s="356"/>
      <c r="K582" s="369"/>
      <c r="L582" s="369"/>
      <c r="M582" s="369"/>
      <c r="N582" s="369"/>
      <c r="O582" s="369"/>
      <c r="P582" s="369"/>
      <c r="Q582" s="369"/>
      <c r="R582" s="369"/>
      <c r="S582" s="369"/>
      <c r="T582" s="369"/>
      <c r="U582" s="96"/>
      <c r="V582" s="96"/>
      <c r="W582" s="96"/>
      <c r="X582" s="96"/>
      <c r="Y582" s="96"/>
      <c r="Z582" s="96"/>
      <c r="AA582" s="96"/>
      <c r="AB582" s="96"/>
      <c r="AC582" s="96"/>
      <c r="AD582" s="96"/>
    </row>
    <row r="583" spans="5:30" ht="34.200000000000003" x14ac:dyDescent="0.2">
      <c r="F583" s="94" t="str">
        <f>STRAT5_IND1</f>
        <v>Se mejoran las prácticas nutricionales favorables para los niños menores de 5 años, los adolescentes, las mujeres embarazadas y lactantes, y otros grupos vulnerables.</v>
      </c>
      <c r="G583" s="94" t="str">
        <f ca="1">OFFSET(Variables_Lu!$D$10,Basic_Setup!H58,0)</f>
        <v>Nutrition-specific</v>
      </c>
      <c r="H583" s="354">
        <f t="shared" ref="H583:AD583" si="355">H506/EXCHANGE_RATE</f>
        <v>2482833.5311728334</v>
      </c>
      <c r="I583" s="355">
        <f t="shared" si="355"/>
        <v>-65055.335038047364</v>
      </c>
      <c r="J583" s="356">
        <f t="shared" si="355"/>
        <v>2547888.8662108807</v>
      </c>
      <c r="K583" s="369">
        <f t="shared" si="355"/>
        <v>9182.2938444766642</v>
      </c>
      <c r="L583" s="369">
        <f t="shared" si="355"/>
        <v>1053.5303354191667</v>
      </c>
      <c r="M583" s="369">
        <f t="shared" si="355"/>
        <v>2764.6666666666661</v>
      </c>
      <c r="N583" s="369">
        <f t="shared" si="355"/>
        <v>295.94408021666658</v>
      </c>
      <c r="O583" s="369">
        <f t="shared" si="355"/>
        <v>127.31931209333331</v>
      </c>
      <c r="P583" s="369">
        <f t="shared" si="355"/>
        <v>44745.220781801669</v>
      </c>
      <c r="Q583" s="369">
        <f t="shared" si="355"/>
        <v>5572.9167500933336</v>
      </c>
      <c r="R583" s="369">
        <f t="shared" si="355"/>
        <v>273.97444011333329</v>
      </c>
      <c r="S583" s="369">
        <f t="shared" si="355"/>
        <v>0</v>
      </c>
      <c r="T583" s="369">
        <f t="shared" si="355"/>
        <v>0</v>
      </c>
      <c r="U583" s="96">
        <f t="shared" si="355"/>
        <v>1200000</v>
      </c>
      <c r="V583" s="96">
        <f t="shared" si="355"/>
        <v>0</v>
      </c>
      <c r="W583" s="96">
        <f t="shared" si="355"/>
        <v>283873</v>
      </c>
      <c r="X583" s="96">
        <f t="shared" si="355"/>
        <v>0</v>
      </c>
      <c r="Y583" s="96">
        <f t="shared" si="355"/>
        <v>1000000</v>
      </c>
      <c r="Z583" s="96">
        <f t="shared" si="355"/>
        <v>0</v>
      </c>
      <c r="AA583" s="96">
        <f t="shared" si="355"/>
        <v>0</v>
      </c>
      <c r="AB583" s="96">
        <f t="shared" si="355"/>
        <v>0</v>
      </c>
      <c r="AC583" s="96">
        <f t="shared" si="355"/>
        <v>0</v>
      </c>
      <c r="AD583" s="96">
        <f t="shared" si="355"/>
        <v>0</v>
      </c>
    </row>
    <row r="584" spans="5:30" ht="22.8" x14ac:dyDescent="0.2">
      <c r="E584" s="301"/>
      <c r="F584" s="94" t="str">
        <f>STRAT5_IND2</f>
        <v>Se promueven dietas saludables y estilos de vida saludables para las personas.</v>
      </c>
      <c r="G584" s="94" t="str">
        <f ca="1">OFFSET(Variables_Lu!$D$10,Basic_Setup!H59,0)</f>
        <v>Nutrition-specific</v>
      </c>
      <c r="H584" s="354">
        <f t="shared" ref="H584:AD584" si="356">H507/EXCHANGE_RATE</f>
        <v>2482833.5311728334</v>
      </c>
      <c r="I584" s="355">
        <f t="shared" si="356"/>
        <v>1938817.6649619527</v>
      </c>
      <c r="J584" s="356">
        <f t="shared" si="356"/>
        <v>544015.86621088081</v>
      </c>
      <c r="K584" s="369">
        <f t="shared" si="356"/>
        <v>9182.2938444766642</v>
      </c>
      <c r="L584" s="369">
        <f t="shared" si="356"/>
        <v>1053.5303354191667</v>
      </c>
      <c r="M584" s="369">
        <f t="shared" si="356"/>
        <v>2764.6666666666661</v>
      </c>
      <c r="N584" s="369">
        <f t="shared" si="356"/>
        <v>295.94408021666658</v>
      </c>
      <c r="O584" s="369">
        <f t="shared" si="356"/>
        <v>127.31931209333331</v>
      </c>
      <c r="P584" s="369">
        <f t="shared" si="356"/>
        <v>44745.220781801669</v>
      </c>
      <c r="Q584" s="369">
        <f t="shared" si="356"/>
        <v>5572.9167500933336</v>
      </c>
      <c r="R584" s="369">
        <f t="shared" si="356"/>
        <v>273.97444011333329</v>
      </c>
      <c r="S584" s="369">
        <f t="shared" si="356"/>
        <v>0</v>
      </c>
      <c r="T584" s="369">
        <f t="shared" si="356"/>
        <v>0</v>
      </c>
      <c r="U584" s="96">
        <f t="shared" si="356"/>
        <v>480000</v>
      </c>
      <c r="V584" s="96">
        <f t="shared" si="356"/>
        <v>0</v>
      </c>
      <c r="W584" s="96">
        <f t="shared" si="356"/>
        <v>0</v>
      </c>
      <c r="X584" s="96">
        <f t="shared" si="356"/>
        <v>0</v>
      </c>
      <c r="Y584" s="96">
        <f t="shared" si="356"/>
        <v>0</v>
      </c>
      <c r="Z584" s="96">
        <f t="shared" si="356"/>
        <v>0</v>
      </c>
      <c r="AA584" s="96">
        <f t="shared" si="356"/>
        <v>0</v>
      </c>
      <c r="AB584" s="96">
        <f t="shared" si="356"/>
        <v>0</v>
      </c>
      <c r="AC584" s="96">
        <f t="shared" si="356"/>
        <v>0</v>
      </c>
      <c r="AD584" s="96">
        <f t="shared" si="356"/>
        <v>0</v>
      </c>
    </row>
    <row r="585" spans="5:30" ht="22.8" x14ac:dyDescent="0.2">
      <c r="E585" s="301"/>
      <c r="F585" s="94" t="str">
        <f>STRAT5_IND3</f>
        <v>Se promueven las buenas prácticas WASH a nivel comunitario y doméstico</v>
      </c>
      <c r="G585" s="94" t="str">
        <f ca="1">OFFSET(Variables_Lu!$D$10,Basic_Setup!H60,0)</f>
        <v>Nutrition-sensitive</v>
      </c>
      <c r="H585" s="354">
        <f t="shared" ref="H585:AD585" si="357">H508/EXCHANGE_RATE</f>
        <v>2482833.5311728334</v>
      </c>
      <c r="I585" s="355">
        <f t="shared" si="357"/>
        <v>1698817.6649619527</v>
      </c>
      <c r="J585" s="356">
        <f t="shared" si="357"/>
        <v>784015.86621088081</v>
      </c>
      <c r="K585" s="369">
        <f t="shared" si="357"/>
        <v>9182.2938444766642</v>
      </c>
      <c r="L585" s="369">
        <f t="shared" si="357"/>
        <v>1053.5303354191667</v>
      </c>
      <c r="M585" s="369">
        <f t="shared" si="357"/>
        <v>2764.6666666666661</v>
      </c>
      <c r="N585" s="369">
        <f t="shared" si="357"/>
        <v>295.94408021666658</v>
      </c>
      <c r="O585" s="369">
        <f t="shared" si="357"/>
        <v>127.31931209333331</v>
      </c>
      <c r="P585" s="369">
        <f t="shared" si="357"/>
        <v>44745.220781801669</v>
      </c>
      <c r="Q585" s="369">
        <f t="shared" si="357"/>
        <v>5572.9167500933336</v>
      </c>
      <c r="R585" s="369">
        <f t="shared" si="357"/>
        <v>273.97444011333329</v>
      </c>
      <c r="S585" s="369">
        <f t="shared" si="357"/>
        <v>0</v>
      </c>
      <c r="T585" s="369">
        <f t="shared" si="357"/>
        <v>0</v>
      </c>
      <c r="U585" s="96">
        <f t="shared" si="357"/>
        <v>720000</v>
      </c>
      <c r="V585" s="96">
        <f t="shared" si="357"/>
        <v>0</v>
      </c>
      <c r="W585" s="96">
        <f t="shared" si="357"/>
        <v>0</v>
      </c>
      <c r="X585" s="96">
        <f t="shared" si="357"/>
        <v>0</v>
      </c>
      <c r="Y585" s="96">
        <f t="shared" si="357"/>
        <v>0</v>
      </c>
      <c r="Z585" s="96">
        <f t="shared" si="357"/>
        <v>0</v>
      </c>
      <c r="AA585" s="96">
        <f t="shared" si="357"/>
        <v>0</v>
      </c>
      <c r="AB585" s="96">
        <f t="shared" si="357"/>
        <v>0</v>
      </c>
      <c r="AC585" s="96">
        <f t="shared" si="357"/>
        <v>0</v>
      </c>
      <c r="AD585" s="96">
        <f t="shared" si="357"/>
        <v>0</v>
      </c>
    </row>
    <row r="586" spans="5:30" ht="12" x14ac:dyDescent="0.2">
      <c r="E586" s="301"/>
      <c r="F586" s="94" t="str">
        <f>STRAT5_IND4</f>
        <v>Objetivo estratégico 5 Indicador 4</v>
      </c>
      <c r="G586" s="94" t="str">
        <f ca="1">OFFSET(Variables_Lu!$D$10,Basic_Setup!H61,0)</f>
        <v>Nutrition-specific</v>
      </c>
      <c r="H586" s="354">
        <f t="shared" ref="H586:AD586" si="358">H509/EXCHANGE_RATE</f>
        <v>0</v>
      </c>
      <c r="I586" s="355">
        <f t="shared" si="358"/>
        <v>0</v>
      </c>
      <c r="J586" s="356">
        <f t="shared" si="358"/>
        <v>0</v>
      </c>
      <c r="K586" s="369">
        <f t="shared" si="358"/>
        <v>0</v>
      </c>
      <c r="L586" s="369">
        <f t="shared" si="358"/>
        <v>0</v>
      </c>
      <c r="M586" s="369">
        <f t="shared" si="358"/>
        <v>0</v>
      </c>
      <c r="N586" s="369">
        <f t="shared" si="358"/>
        <v>0</v>
      </c>
      <c r="O586" s="369">
        <f t="shared" si="358"/>
        <v>0</v>
      </c>
      <c r="P586" s="369">
        <f t="shared" si="358"/>
        <v>0</v>
      </c>
      <c r="Q586" s="369">
        <f t="shared" si="358"/>
        <v>0</v>
      </c>
      <c r="R586" s="369">
        <f t="shared" si="358"/>
        <v>0</v>
      </c>
      <c r="S586" s="369">
        <f t="shared" si="358"/>
        <v>0</v>
      </c>
      <c r="T586" s="369">
        <f t="shared" si="358"/>
        <v>0</v>
      </c>
      <c r="U586" s="96">
        <f t="shared" si="358"/>
        <v>0</v>
      </c>
      <c r="V586" s="96">
        <f t="shared" si="358"/>
        <v>0</v>
      </c>
      <c r="W586" s="96">
        <f t="shared" si="358"/>
        <v>0</v>
      </c>
      <c r="X586" s="96">
        <f t="shared" si="358"/>
        <v>0</v>
      </c>
      <c r="Y586" s="96">
        <f t="shared" si="358"/>
        <v>0</v>
      </c>
      <c r="Z586" s="96">
        <f t="shared" si="358"/>
        <v>0</v>
      </c>
      <c r="AA586" s="96">
        <f t="shared" si="358"/>
        <v>0</v>
      </c>
      <c r="AB586" s="96">
        <f t="shared" si="358"/>
        <v>0</v>
      </c>
      <c r="AC586" s="96">
        <f t="shared" si="358"/>
        <v>0</v>
      </c>
      <c r="AD586" s="96">
        <f t="shared" si="358"/>
        <v>0</v>
      </c>
    </row>
    <row r="587" spans="5:30" ht="12" x14ac:dyDescent="0.2">
      <c r="E587" s="301"/>
      <c r="F587" s="94" t="str">
        <f>STRAT5_IND5</f>
        <v>Objetivo estratégico 5 Indicador 5</v>
      </c>
      <c r="G587" s="94" t="str">
        <f ca="1">OFFSET(Variables_Lu!$D$10,Basic_Setup!H62,0)</f>
        <v>Nutrition-specific</v>
      </c>
      <c r="H587" s="354">
        <f t="shared" ref="H587:AD587" si="359">H510/EXCHANGE_RATE</f>
        <v>0</v>
      </c>
      <c r="I587" s="355">
        <f t="shared" si="359"/>
        <v>0</v>
      </c>
      <c r="J587" s="356">
        <f t="shared" si="359"/>
        <v>0</v>
      </c>
      <c r="K587" s="369">
        <f t="shared" si="359"/>
        <v>0</v>
      </c>
      <c r="L587" s="369">
        <f t="shared" si="359"/>
        <v>0</v>
      </c>
      <c r="M587" s="369">
        <f t="shared" si="359"/>
        <v>0</v>
      </c>
      <c r="N587" s="369">
        <f t="shared" si="359"/>
        <v>0</v>
      </c>
      <c r="O587" s="369">
        <f t="shared" si="359"/>
        <v>0</v>
      </c>
      <c r="P587" s="369">
        <f t="shared" si="359"/>
        <v>0</v>
      </c>
      <c r="Q587" s="369">
        <f t="shared" si="359"/>
        <v>0</v>
      </c>
      <c r="R587" s="369">
        <f t="shared" si="359"/>
        <v>0</v>
      </c>
      <c r="S587" s="369">
        <f t="shared" si="359"/>
        <v>0</v>
      </c>
      <c r="T587" s="369">
        <f t="shared" si="359"/>
        <v>0</v>
      </c>
      <c r="U587" s="96">
        <f t="shared" si="359"/>
        <v>0</v>
      </c>
      <c r="V587" s="96">
        <f t="shared" si="359"/>
        <v>0</v>
      </c>
      <c r="W587" s="96">
        <f t="shared" si="359"/>
        <v>0</v>
      </c>
      <c r="X587" s="96">
        <f t="shared" si="359"/>
        <v>0</v>
      </c>
      <c r="Y587" s="96">
        <f t="shared" si="359"/>
        <v>0</v>
      </c>
      <c r="Z587" s="96">
        <f t="shared" si="359"/>
        <v>0</v>
      </c>
      <c r="AA587" s="96">
        <f t="shared" si="359"/>
        <v>0</v>
      </c>
      <c r="AB587" s="96">
        <f t="shared" si="359"/>
        <v>0</v>
      </c>
      <c r="AC587" s="96">
        <f t="shared" si="359"/>
        <v>0</v>
      </c>
      <c r="AD587" s="96">
        <f t="shared" si="359"/>
        <v>0</v>
      </c>
    </row>
    <row r="588" spans="5:30" ht="36" x14ac:dyDescent="0.2">
      <c r="E588" s="301"/>
      <c r="F588" s="338" t="str">
        <f>"Subtotal: "&amp;E272</f>
        <v xml:space="preserve">Subtotal: Objetivo estratégico 5: Promoción de prácticas favorables a una nutrición óptima, de higiene y saneamiento básico. </v>
      </c>
      <c r="G588" s="333"/>
      <c r="H588" s="357">
        <f t="shared" ref="H588:AD588" si="360">H511/EXCHANGE_RATE</f>
        <v>7448500.5935185011</v>
      </c>
      <c r="I588" s="358">
        <f t="shared" si="360"/>
        <v>3572579.9948858577</v>
      </c>
      <c r="J588" s="358">
        <f t="shared" si="360"/>
        <v>3875920.5986326425</v>
      </c>
      <c r="K588" s="370">
        <f t="shared" si="360"/>
        <v>27546.881533429994</v>
      </c>
      <c r="L588" s="370">
        <f t="shared" si="360"/>
        <v>3160.5910062574999</v>
      </c>
      <c r="M588" s="370">
        <f t="shared" si="360"/>
        <v>8293.9999999999982</v>
      </c>
      <c r="N588" s="370">
        <f t="shared" si="360"/>
        <v>887.83224064999979</v>
      </c>
      <c r="O588" s="370">
        <f t="shared" si="360"/>
        <v>381.95793627999996</v>
      </c>
      <c r="P588" s="370">
        <f t="shared" si="360"/>
        <v>134235.662345405</v>
      </c>
      <c r="Q588" s="370">
        <f t="shared" si="360"/>
        <v>16718.750250279998</v>
      </c>
      <c r="R588" s="370">
        <f t="shared" si="360"/>
        <v>821.92332033999992</v>
      </c>
      <c r="S588" s="370">
        <f t="shared" si="360"/>
        <v>0</v>
      </c>
      <c r="T588" s="370">
        <f t="shared" si="360"/>
        <v>0</v>
      </c>
      <c r="U588" s="337">
        <f t="shared" si="360"/>
        <v>2400000</v>
      </c>
      <c r="V588" s="337">
        <f t="shared" si="360"/>
        <v>0</v>
      </c>
      <c r="W588" s="337">
        <f t="shared" si="360"/>
        <v>283873</v>
      </c>
      <c r="X588" s="337">
        <f t="shared" si="360"/>
        <v>0</v>
      </c>
      <c r="Y588" s="337">
        <f t="shared" si="360"/>
        <v>1000000</v>
      </c>
      <c r="Z588" s="337">
        <f t="shared" si="360"/>
        <v>0</v>
      </c>
      <c r="AA588" s="337">
        <f t="shared" si="360"/>
        <v>0</v>
      </c>
      <c r="AB588" s="337">
        <f t="shared" si="360"/>
        <v>0</v>
      </c>
      <c r="AC588" s="337">
        <f t="shared" si="360"/>
        <v>0</v>
      </c>
      <c r="AD588" s="337">
        <f t="shared" si="360"/>
        <v>0</v>
      </c>
    </row>
    <row r="589" spans="5:30" ht="12" x14ac:dyDescent="0.2">
      <c r="E589" s="301" t="str">
        <f>Strategy6</f>
        <v>Objetivo estratégico 6: [No está en uso]</v>
      </c>
      <c r="G589" s="94"/>
      <c r="H589" s="363"/>
      <c r="I589" s="364"/>
      <c r="J589" s="356"/>
      <c r="K589" s="369"/>
      <c r="L589" s="369"/>
      <c r="M589" s="369"/>
      <c r="N589" s="369"/>
      <c r="O589" s="369"/>
      <c r="P589" s="369"/>
      <c r="Q589" s="369"/>
      <c r="R589" s="369"/>
      <c r="S589" s="369"/>
      <c r="T589" s="369"/>
      <c r="U589" s="96"/>
      <c r="V589" s="96"/>
      <c r="W589" s="96"/>
      <c r="X589" s="96"/>
      <c r="Y589" s="96"/>
      <c r="Z589" s="96"/>
      <c r="AA589" s="96"/>
      <c r="AB589" s="96"/>
      <c r="AC589" s="96"/>
      <c r="AD589" s="96"/>
    </row>
    <row r="590" spans="5:30" ht="12" x14ac:dyDescent="0.2">
      <c r="E590" s="301"/>
      <c r="F590" s="94" t="str">
        <f>STRAT6_IND1</f>
        <v>Objetivo estratégico 6 Indicador 1</v>
      </c>
      <c r="G590" s="94" t="str">
        <f ca="1">OFFSET(Variables_Lu!$D$10,Basic_Setup!H64,0)</f>
        <v>Nutrition-specific</v>
      </c>
      <c r="H590" s="354">
        <f t="shared" ref="H590:AD590" si="361">H513/EXCHANGE_RATE</f>
        <v>0</v>
      </c>
      <c r="I590" s="355">
        <f t="shared" si="361"/>
        <v>0</v>
      </c>
      <c r="J590" s="356">
        <f t="shared" si="361"/>
        <v>0</v>
      </c>
      <c r="K590" s="369">
        <f t="shared" si="361"/>
        <v>0</v>
      </c>
      <c r="L590" s="369">
        <f t="shared" si="361"/>
        <v>0</v>
      </c>
      <c r="M590" s="369">
        <f t="shared" si="361"/>
        <v>0</v>
      </c>
      <c r="N590" s="369">
        <f t="shared" si="361"/>
        <v>0</v>
      </c>
      <c r="O590" s="369">
        <f t="shared" si="361"/>
        <v>0</v>
      </c>
      <c r="P590" s="369">
        <f t="shared" si="361"/>
        <v>0</v>
      </c>
      <c r="Q590" s="369">
        <f t="shared" si="361"/>
        <v>0</v>
      </c>
      <c r="R590" s="369">
        <f t="shared" si="361"/>
        <v>0</v>
      </c>
      <c r="S590" s="369">
        <f t="shared" si="361"/>
        <v>0</v>
      </c>
      <c r="T590" s="369">
        <f t="shared" si="361"/>
        <v>0</v>
      </c>
      <c r="U590" s="96">
        <f t="shared" si="361"/>
        <v>0</v>
      </c>
      <c r="V590" s="96">
        <f t="shared" si="361"/>
        <v>0</v>
      </c>
      <c r="W590" s="96">
        <f t="shared" si="361"/>
        <v>0</v>
      </c>
      <c r="X590" s="96">
        <f t="shared" si="361"/>
        <v>0</v>
      </c>
      <c r="Y590" s="96">
        <f t="shared" si="361"/>
        <v>0</v>
      </c>
      <c r="Z590" s="96">
        <f t="shared" si="361"/>
        <v>0</v>
      </c>
      <c r="AA590" s="96">
        <f t="shared" si="361"/>
        <v>0</v>
      </c>
      <c r="AB590" s="96">
        <f t="shared" si="361"/>
        <v>0</v>
      </c>
      <c r="AC590" s="96">
        <f t="shared" si="361"/>
        <v>0</v>
      </c>
      <c r="AD590" s="96">
        <f t="shared" si="361"/>
        <v>0</v>
      </c>
    </row>
    <row r="591" spans="5:30" ht="12" x14ac:dyDescent="0.2">
      <c r="E591" s="301"/>
      <c r="F591" s="94" t="str">
        <f>STRAT6_IND2</f>
        <v>Objetivo estratégico 6 Indicador 2</v>
      </c>
      <c r="G591" s="94" t="str">
        <f ca="1">OFFSET(Variables_Lu!$D$10,Basic_Setup!H65,0)</f>
        <v>Nutrition-specific</v>
      </c>
      <c r="H591" s="354">
        <f t="shared" ref="H591:AD591" si="362">H514/EXCHANGE_RATE</f>
        <v>0</v>
      </c>
      <c r="I591" s="355">
        <f t="shared" si="362"/>
        <v>0</v>
      </c>
      <c r="J591" s="356">
        <f t="shared" si="362"/>
        <v>0</v>
      </c>
      <c r="K591" s="369">
        <f t="shared" si="362"/>
        <v>0</v>
      </c>
      <c r="L591" s="369">
        <f t="shared" si="362"/>
        <v>0</v>
      </c>
      <c r="M591" s="369">
        <f t="shared" si="362"/>
        <v>0</v>
      </c>
      <c r="N591" s="369">
        <f t="shared" si="362"/>
        <v>0</v>
      </c>
      <c r="O591" s="369">
        <f t="shared" si="362"/>
        <v>0</v>
      </c>
      <c r="P591" s="369">
        <f t="shared" si="362"/>
        <v>0</v>
      </c>
      <c r="Q591" s="369">
        <f t="shared" si="362"/>
        <v>0</v>
      </c>
      <c r="R591" s="369">
        <f t="shared" si="362"/>
        <v>0</v>
      </c>
      <c r="S591" s="369">
        <f t="shared" si="362"/>
        <v>0</v>
      </c>
      <c r="T591" s="369">
        <f t="shared" si="362"/>
        <v>0</v>
      </c>
      <c r="U591" s="96">
        <f t="shared" si="362"/>
        <v>0</v>
      </c>
      <c r="V591" s="96">
        <f t="shared" si="362"/>
        <v>0</v>
      </c>
      <c r="W591" s="96">
        <f t="shared" si="362"/>
        <v>0</v>
      </c>
      <c r="X591" s="96">
        <f t="shared" si="362"/>
        <v>0</v>
      </c>
      <c r="Y591" s="96">
        <f t="shared" si="362"/>
        <v>0</v>
      </c>
      <c r="Z591" s="96">
        <f t="shared" si="362"/>
        <v>0</v>
      </c>
      <c r="AA591" s="96">
        <f t="shared" si="362"/>
        <v>0</v>
      </c>
      <c r="AB591" s="96">
        <f t="shared" si="362"/>
        <v>0</v>
      </c>
      <c r="AC591" s="96">
        <f t="shared" si="362"/>
        <v>0</v>
      </c>
      <c r="AD591" s="96">
        <f t="shared" si="362"/>
        <v>0</v>
      </c>
    </row>
    <row r="592" spans="5:30" ht="12" x14ac:dyDescent="0.2">
      <c r="E592" s="301"/>
      <c r="F592" s="94" t="str">
        <f>STRAT6_IND3</f>
        <v>Objetivo estratégico 6 Indicador 3</v>
      </c>
      <c r="G592" s="94" t="str">
        <f ca="1">OFFSET(Variables_Lu!$D$10,Basic_Setup!H66,0)</f>
        <v>Nutrition-specific</v>
      </c>
      <c r="H592" s="354">
        <f t="shared" ref="H592:AD592" si="363">H515/EXCHANGE_RATE</f>
        <v>0</v>
      </c>
      <c r="I592" s="355">
        <f t="shared" si="363"/>
        <v>0</v>
      </c>
      <c r="J592" s="356">
        <f t="shared" si="363"/>
        <v>0</v>
      </c>
      <c r="K592" s="369">
        <f t="shared" si="363"/>
        <v>0</v>
      </c>
      <c r="L592" s="369">
        <f t="shared" si="363"/>
        <v>0</v>
      </c>
      <c r="M592" s="369">
        <f t="shared" si="363"/>
        <v>0</v>
      </c>
      <c r="N592" s="369">
        <f t="shared" si="363"/>
        <v>0</v>
      </c>
      <c r="O592" s="369">
        <f t="shared" si="363"/>
        <v>0</v>
      </c>
      <c r="P592" s="369">
        <f t="shared" si="363"/>
        <v>0</v>
      </c>
      <c r="Q592" s="369">
        <f t="shared" si="363"/>
        <v>0</v>
      </c>
      <c r="R592" s="369">
        <f t="shared" si="363"/>
        <v>0</v>
      </c>
      <c r="S592" s="369">
        <f t="shared" si="363"/>
        <v>0</v>
      </c>
      <c r="T592" s="369">
        <f t="shared" si="363"/>
        <v>0</v>
      </c>
      <c r="U592" s="96">
        <f t="shared" si="363"/>
        <v>0</v>
      </c>
      <c r="V592" s="96">
        <f t="shared" si="363"/>
        <v>0</v>
      </c>
      <c r="W592" s="96">
        <f t="shared" si="363"/>
        <v>0</v>
      </c>
      <c r="X592" s="96">
        <f t="shared" si="363"/>
        <v>0</v>
      </c>
      <c r="Y592" s="96">
        <f t="shared" si="363"/>
        <v>0</v>
      </c>
      <c r="Z592" s="96">
        <f t="shared" si="363"/>
        <v>0</v>
      </c>
      <c r="AA592" s="96">
        <f t="shared" si="363"/>
        <v>0</v>
      </c>
      <c r="AB592" s="96">
        <f t="shared" si="363"/>
        <v>0</v>
      </c>
      <c r="AC592" s="96">
        <f t="shared" si="363"/>
        <v>0</v>
      </c>
      <c r="AD592" s="96">
        <f t="shared" si="363"/>
        <v>0</v>
      </c>
    </row>
    <row r="593" spans="5:30" ht="12" x14ac:dyDescent="0.2">
      <c r="E593" s="301"/>
      <c r="F593" s="94" t="str">
        <f>STRAT6_IND4</f>
        <v>Objetivo estratégico 6 Indicador 4</v>
      </c>
      <c r="G593" s="94" t="str">
        <f ca="1">OFFSET(Variables_Lu!$D$10,Basic_Setup!H67,0)</f>
        <v>Nutrition-specific</v>
      </c>
      <c r="H593" s="354">
        <f t="shared" ref="H593:AD593" si="364">H516/EXCHANGE_RATE</f>
        <v>0</v>
      </c>
      <c r="I593" s="355">
        <f t="shared" si="364"/>
        <v>0</v>
      </c>
      <c r="J593" s="356">
        <f t="shared" si="364"/>
        <v>0</v>
      </c>
      <c r="K593" s="369">
        <f t="shared" si="364"/>
        <v>0</v>
      </c>
      <c r="L593" s="369">
        <f t="shared" si="364"/>
        <v>0</v>
      </c>
      <c r="M593" s="369">
        <f t="shared" si="364"/>
        <v>0</v>
      </c>
      <c r="N593" s="369">
        <f t="shared" si="364"/>
        <v>0</v>
      </c>
      <c r="O593" s="369">
        <f t="shared" si="364"/>
        <v>0</v>
      </c>
      <c r="P593" s="369">
        <f t="shared" si="364"/>
        <v>0</v>
      </c>
      <c r="Q593" s="369">
        <f t="shared" si="364"/>
        <v>0</v>
      </c>
      <c r="R593" s="369">
        <f t="shared" si="364"/>
        <v>0</v>
      </c>
      <c r="S593" s="369">
        <f t="shared" si="364"/>
        <v>0</v>
      </c>
      <c r="T593" s="369">
        <f t="shared" si="364"/>
        <v>0</v>
      </c>
      <c r="U593" s="96">
        <f t="shared" si="364"/>
        <v>0</v>
      </c>
      <c r="V593" s="96">
        <f t="shared" si="364"/>
        <v>0</v>
      </c>
      <c r="W593" s="96">
        <f t="shared" si="364"/>
        <v>0</v>
      </c>
      <c r="X593" s="96">
        <f t="shared" si="364"/>
        <v>0</v>
      </c>
      <c r="Y593" s="96">
        <f t="shared" si="364"/>
        <v>0</v>
      </c>
      <c r="Z593" s="96">
        <f t="shared" si="364"/>
        <v>0</v>
      </c>
      <c r="AA593" s="96">
        <f t="shared" si="364"/>
        <v>0</v>
      </c>
      <c r="AB593" s="96">
        <f t="shared" si="364"/>
        <v>0</v>
      </c>
      <c r="AC593" s="96">
        <f t="shared" si="364"/>
        <v>0</v>
      </c>
      <c r="AD593" s="96">
        <f t="shared" si="364"/>
        <v>0</v>
      </c>
    </row>
    <row r="594" spans="5:30" ht="12" x14ac:dyDescent="0.2">
      <c r="E594" s="301"/>
      <c r="F594" s="94" t="str">
        <f>STRAT6_IND5</f>
        <v>Objetivo estratégico 6 Indicador 5</v>
      </c>
      <c r="G594" s="94" t="str">
        <f ca="1">OFFSET(Variables_Lu!$D$10,Basic_Setup!H68,0)</f>
        <v>Nutrition-specific</v>
      </c>
      <c r="H594" s="354">
        <f t="shared" ref="H594:AD594" si="365">H517/EXCHANGE_RATE</f>
        <v>0</v>
      </c>
      <c r="I594" s="355">
        <f t="shared" si="365"/>
        <v>0</v>
      </c>
      <c r="J594" s="356">
        <f t="shared" si="365"/>
        <v>0</v>
      </c>
      <c r="K594" s="369">
        <f t="shared" si="365"/>
        <v>0</v>
      </c>
      <c r="L594" s="369">
        <f t="shared" si="365"/>
        <v>0</v>
      </c>
      <c r="M594" s="369">
        <f t="shared" si="365"/>
        <v>0</v>
      </c>
      <c r="N594" s="369">
        <f t="shared" si="365"/>
        <v>0</v>
      </c>
      <c r="O594" s="369">
        <f t="shared" si="365"/>
        <v>0</v>
      </c>
      <c r="P594" s="369">
        <f t="shared" si="365"/>
        <v>0</v>
      </c>
      <c r="Q594" s="369">
        <f t="shared" si="365"/>
        <v>0</v>
      </c>
      <c r="R594" s="369">
        <f t="shared" si="365"/>
        <v>0</v>
      </c>
      <c r="S594" s="369">
        <f t="shared" si="365"/>
        <v>0</v>
      </c>
      <c r="T594" s="369">
        <f t="shared" si="365"/>
        <v>0</v>
      </c>
      <c r="U594" s="96">
        <f t="shared" si="365"/>
        <v>0</v>
      </c>
      <c r="V594" s="96">
        <f t="shared" si="365"/>
        <v>0</v>
      </c>
      <c r="W594" s="96">
        <f t="shared" si="365"/>
        <v>0</v>
      </c>
      <c r="X594" s="96">
        <f t="shared" si="365"/>
        <v>0</v>
      </c>
      <c r="Y594" s="96">
        <f t="shared" si="365"/>
        <v>0</v>
      </c>
      <c r="Z594" s="96">
        <f t="shared" si="365"/>
        <v>0</v>
      </c>
      <c r="AA594" s="96">
        <f t="shared" si="365"/>
        <v>0</v>
      </c>
      <c r="AB594" s="96">
        <f t="shared" si="365"/>
        <v>0</v>
      </c>
      <c r="AC594" s="96">
        <f t="shared" si="365"/>
        <v>0</v>
      </c>
      <c r="AD594" s="96">
        <f t="shared" si="365"/>
        <v>0</v>
      </c>
    </row>
    <row r="595" spans="5:30" ht="12" x14ac:dyDescent="0.2">
      <c r="E595" s="301"/>
      <c r="F595" s="338" t="str">
        <f>"Subtotal: "&amp;E279</f>
        <v>Subtotal: Objetivo estratégico 6: [No está en uso]</v>
      </c>
      <c r="G595" s="333"/>
      <c r="H595" s="357">
        <f t="shared" ref="H595:AD595" si="366">H518/EXCHANGE_RATE</f>
        <v>0</v>
      </c>
      <c r="I595" s="358">
        <f t="shared" si="366"/>
        <v>0</v>
      </c>
      <c r="J595" s="358">
        <f t="shared" si="366"/>
        <v>0</v>
      </c>
      <c r="K595" s="370">
        <f t="shared" si="366"/>
        <v>0</v>
      </c>
      <c r="L595" s="370">
        <f t="shared" si="366"/>
        <v>0</v>
      </c>
      <c r="M595" s="370">
        <f t="shared" si="366"/>
        <v>0</v>
      </c>
      <c r="N595" s="370">
        <f t="shared" si="366"/>
        <v>0</v>
      </c>
      <c r="O595" s="370">
        <f t="shared" si="366"/>
        <v>0</v>
      </c>
      <c r="P595" s="370">
        <f t="shared" si="366"/>
        <v>0</v>
      </c>
      <c r="Q595" s="370">
        <f t="shared" si="366"/>
        <v>0</v>
      </c>
      <c r="R595" s="370">
        <f t="shared" si="366"/>
        <v>0</v>
      </c>
      <c r="S595" s="370">
        <f t="shared" si="366"/>
        <v>0</v>
      </c>
      <c r="T595" s="370">
        <f t="shared" si="366"/>
        <v>0</v>
      </c>
      <c r="U595" s="337">
        <f t="shared" si="366"/>
        <v>0</v>
      </c>
      <c r="V595" s="337">
        <f t="shared" si="366"/>
        <v>0</v>
      </c>
      <c r="W595" s="337">
        <f t="shared" si="366"/>
        <v>0</v>
      </c>
      <c r="X595" s="337">
        <f t="shared" si="366"/>
        <v>0</v>
      </c>
      <c r="Y595" s="337">
        <f t="shared" si="366"/>
        <v>0</v>
      </c>
      <c r="Z595" s="337">
        <f t="shared" si="366"/>
        <v>0</v>
      </c>
      <c r="AA595" s="337">
        <f t="shared" si="366"/>
        <v>0</v>
      </c>
      <c r="AB595" s="337">
        <f t="shared" si="366"/>
        <v>0</v>
      </c>
      <c r="AC595" s="337">
        <f t="shared" si="366"/>
        <v>0</v>
      </c>
      <c r="AD595" s="337">
        <f t="shared" si="366"/>
        <v>0</v>
      </c>
    </row>
    <row r="596" spans="5:30" ht="12" x14ac:dyDescent="0.2">
      <c r="E596" s="301" t="str">
        <f>Strategy7</f>
        <v>Objetivo estratégico 7: [No está en uso]</v>
      </c>
      <c r="G596" s="94"/>
      <c r="H596" s="363"/>
      <c r="I596" s="364"/>
      <c r="J596" s="356"/>
      <c r="K596" s="369"/>
      <c r="L596" s="369"/>
      <c r="M596" s="369"/>
      <c r="N596" s="369"/>
      <c r="O596" s="369"/>
      <c r="P596" s="369"/>
      <c r="Q596" s="369"/>
      <c r="R596" s="369"/>
      <c r="S596" s="369"/>
      <c r="T596" s="369"/>
      <c r="U596" s="96"/>
      <c r="V596" s="96"/>
      <c r="W596" s="96"/>
      <c r="X596" s="96"/>
      <c r="Y596" s="96"/>
      <c r="Z596" s="96"/>
      <c r="AA596" s="96"/>
      <c r="AB596" s="96"/>
      <c r="AC596" s="96"/>
      <c r="AD596" s="96"/>
    </row>
    <row r="597" spans="5:30" ht="12" x14ac:dyDescent="0.2">
      <c r="E597" s="301"/>
      <c r="F597" s="94" t="str">
        <f>STRAT7_IND1</f>
        <v>Objetivo estratégico 7 Indicador 1</v>
      </c>
      <c r="G597" s="94" t="str">
        <f ca="1">OFFSET(Variables_Lu!$D$10,Basic_Setup!H70,0)</f>
        <v>Nutrition-specific</v>
      </c>
      <c r="H597" s="354">
        <f t="shared" ref="H597:AD597" si="367">H520/EXCHANGE_RATE</f>
        <v>0</v>
      </c>
      <c r="I597" s="355">
        <f t="shared" si="367"/>
        <v>0</v>
      </c>
      <c r="J597" s="356">
        <f t="shared" si="367"/>
        <v>0</v>
      </c>
      <c r="K597" s="369">
        <f t="shared" si="367"/>
        <v>0</v>
      </c>
      <c r="L597" s="369">
        <f t="shared" si="367"/>
        <v>0</v>
      </c>
      <c r="M597" s="369">
        <f t="shared" si="367"/>
        <v>0</v>
      </c>
      <c r="N597" s="369">
        <f t="shared" si="367"/>
        <v>0</v>
      </c>
      <c r="O597" s="369">
        <f t="shared" si="367"/>
        <v>0</v>
      </c>
      <c r="P597" s="369">
        <f t="shared" si="367"/>
        <v>0</v>
      </c>
      <c r="Q597" s="369">
        <f t="shared" si="367"/>
        <v>0</v>
      </c>
      <c r="R597" s="369">
        <f t="shared" si="367"/>
        <v>0</v>
      </c>
      <c r="S597" s="369">
        <f t="shared" si="367"/>
        <v>0</v>
      </c>
      <c r="T597" s="369">
        <f t="shared" si="367"/>
        <v>0</v>
      </c>
      <c r="U597" s="96">
        <f t="shared" si="367"/>
        <v>0</v>
      </c>
      <c r="V597" s="96">
        <f t="shared" si="367"/>
        <v>0</v>
      </c>
      <c r="W597" s="96">
        <f t="shared" si="367"/>
        <v>0</v>
      </c>
      <c r="X597" s="96">
        <f t="shared" si="367"/>
        <v>0</v>
      </c>
      <c r="Y597" s="96">
        <f t="shared" si="367"/>
        <v>0</v>
      </c>
      <c r="Z597" s="96">
        <f t="shared" si="367"/>
        <v>0</v>
      </c>
      <c r="AA597" s="96">
        <f t="shared" si="367"/>
        <v>0</v>
      </c>
      <c r="AB597" s="96">
        <f t="shared" si="367"/>
        <v>0</v>
      </c>
      <c r="AC597" s="96">
        <f t="shared" si="367"/>
        <v>0</v>
      </c>
      <c r="AD597" s="96">
        <f t="shared" si="367"/>
        <v>0</v>
      </c>
    </row>
    <row r="598" spans="5:30" ht="12" x14ac:dyDescent="0.2">
      <c r="E598" s="301"/>
      <c r="F598" s="94" t="str">
        <f>STRAT7_IND2</f>
        <v>Objetivo estratégico 7 Indicador 2</v>
      </c>
      <c r="G598" s="94" t="str">
        <f ca="1">OFFSET(Variables_Lu!$D$10,Basic_Setup!H71,0)</f>
        <v>Nutrition-specific</v>
      </c>
      <c r="H598" s="354">
        <f t="shared" ref="H598:AD598" si="368">H521/EXCHANGE_RATE</f>
        <v>0</v>
      </c>
      <c r="I598" s="355">
        <f t="shared" si="368"/>
        <v>0</v>
      </c>
      <c r="J598" s="356">
        <f t="shared" si="368"/>
        <v>0</v>
      </c>
      <c r="K598" s="369">
        <f t="shared" si="368"/>
        <v>0</v>
      </c>
      <c r="L598" s="369">
        <f t="shared" si="368"/>
        <v>0</v>
      </c>
      <c r="M598" s="369">
        <f t="shared" si="368"/>
        <v>0</v>
      </c>
      <c r="N598" s="369">
        <f t="shared" si="368"/>
        <v>0</v>
      </c>
      <c r="O598" s="369">
        <f t="shared" si="368"/>
        <v>0</v>
      </c>
      <c r="P598" s="369">
        <f t="shared" si="368"/>
        <v>0</v>
      </c>
      <c r="Q598" s="369">
        <f t="shared" si="368"/>
        <v>0</v>
      </c>
      <c r="R598" s="369">
        <f t="shared" si="368"/>
        <v>0</v>
      </c>
      <c r="S598" s="369">
        <f t="shared" si="368"/>
        <v>0</v>
      </c>
      <c r="T598" s="369">
        <f t="shared" si="368"/>
        <v>0</v>
      </c>
      <c r="U598" s="96">
        <f t="shared" si="368"/>
        <v>0</v>
      </c>
      <c r="V598" s="96">
        <f t="shared" si="368"/>
        <v>0</v>
      </c>
      <c r="W598" s="96">
        <f t="shared" si="368"/>
        <v>0</v>
      </c>
      <c r="X598" s="96">
        <f t="shared" si="368"/>
        <v>0</v>
      </c>
      <c r="Y598" s="96">
        <f t="shared" si="368"/>
        <v>0</v>
      </c>
      <c r="Z598" s="96">
        <f t="shared" si="368"/>
        <v>0</v>
      </c>
      <c r="AA598" s="96">
        <f t="shared" si="368"/>
        <v>0</v>
      </c>
      <c r="AB598" s="96">
        <f t="shared" si="368"/>
        <v>0</v>
      </c>
      <c r="AC598" s="96">
        <f t="shared" si="368"/>
        <v>0</v>
      </c>
      <c r="AD598" s="96">
        <f t="shared" si="368"/>
        <v>0</v>
      </c>
    </row>
    <row r="599" spans="5:30" ht="12" x14ac:dyDescent="0.2">
      <c r="E599" s="301"/>
      <c r="F599" s="94" t="str">
        <f>STRAT7_IND3</f>
        <v>Objetivo estratégico 7 Indicador 3</v>
      </c>
      <c r="G599" s="94" t="str">
        <f ca="1">OFFSET(Variables_Lu!$D$10,Basic_Setup!H72,0)</f>
        <v>Nutrition-specific</v>
      </c>
      <c r="H599" s="354">
        <f t="shared" ref="H599:AD599" si="369">H522/EXCHANGE_RATE</f>
        <v>0</v>
      </c>
      <c r="I599" s="355">
        <f t="shared" si="369"/>
        <v>0</v>
      </c>
      <c r="J599" s="356">
        <f t="shared" si="369"/>
        <v>0</v>
      </c>
      <c r="K599" s="369">
        <f t="shared" si="369"/>
        <v>0</v>
      </c>
      <c r="L599" s="369">
        <f t="shared" si="369"/>
        <v>0</v>
      </c>
      <c r="M599" s="369">
        <f t="shared" si="369"/>
        <v>0</v>
      </c>
      <c r="N599" s="369">
        <f t="shared" si="369"/>
        <v>0</v>
      </c>
      <c r="O599" s="369">
        <f t="shared" si="369"/>
        <v>0</v>
      </c>
      <c r="P599" s="369">
        <f t="shared" si="369"/>
        <v>0</v>
      </c>
      <c r="Q599" s="369">
        <f t="shared" si="369"/>
        <v>0</v>
      </c>
      <c r="R599" s="369">
        <f t="shared" si="369"/>
        <v>0</v>
      </c>
      <c r="S599" s="369">
        <f t="shared" si="369"/>
        <v>0</v>
      </c>
      <c r="T599" s="369">
        <f t="shared" si="369"/>
        <v>0</v>
      </c>
      <c r="U599" s="96">
        <f t="shared" si="369"/>
        <v>0</v>
      </c>
      <c r="V599" s="96">
        <f t="shared" si="369"/>
        <v>0</v>
      </c>
      <c r="W599" s="96">
        <f t="shared" si="369"/>
        <v>0</v>
      </c>
      <c r="X599" s="96">
        <f t="shared" si="369"/>
        <v>0</v>
      </c>
      <c r="Y599" s="96">
        <f t="shared" si="369"/>
        <v>0</v>
      </c>
      <c r="Z599" s="96">
        <f t="shared" si="369"/>
        <v>0</v>
      </c>
      <c r="AA599" s="96">
        <f t="shared" si="369"/>
        <v>0</v>
      </c>
      <c r="AB599" s="96">
        <f t="shared" si="369"/>
        <v>0</v>
      </c>
      <c r="AC599" s="96">
        <f t="shared" si="369"/>
        <v>0</v>
      </c>
      <c r="AD599" s="96">
        <f t="shared" si="369"/>
        <v>0</v>
      </c>
    </row>
    <row r="600" spans="5:30" ht="12" x14ac:dyDescent="0.2">
      <c r="E600" s="301"/>
      <c r="F600" s="94" t="str">
        <f>STRAT7_IND4</f>
        <v>Objetivo estratégico 7 Indicador 4</v>
      </c>
      <c r="G600" s="94" t="str">
        <f ca="1">OFFSET(Variables_Lu!$D$10,Basic_Setup!H73,0)</f>
        <v>Nutrition-specific</v>
      </c>
      <c r="H600" s="354">
        <f t="shared" ref="H600:AD600" si="370">H523/EXCHANGE_RATE</f>
        <v>0</v>
      </c>
      <c r="I600" s="355">
        <f t="shared" si="370"/>
        <v>0</v>
      </c>
      <c r="J600" s="356">
        <f t="shared" si="370"/>
        <v>0</v>
      </c>
      <c r="K600" s="369">
        <f t="shared" si="370"/>
        <v>0</v>
      </c>
      <c r="L600" s="369">
        <f t="shared" si="370"/>
        <v>0</v>
      </c>
      <c r="M600" s="369">
        <f t="shared" si="370"/>
        <v>0</v>
      </c>
      <c r="N600" s="369">
        <f t="shared" si="370"/>
        <v>0</v>
      </c>
      <c r="O600" s="369">
        <f t="shared" si="370"/>
        <v>0</v>
      </c>
      <c r="P600" s="369">
        <f t="shared" si="370"/>
        <v>0</v>
      </c>
      <c r="Q600" s="369">
        <f t="shared" si="370"/>
        <v>0</v>
      </c>
      <c r="R600" s="369">
        <f t="shared" si="370"/>
        <v>0</v>
      </c>
      <c r="S600" s="369">
        <f t="shared" si="370"/>
        <v>0</v>
      </c>
      <c r="T600" s="369">
        <f t="shared" si="370"/>
        <v>0</v>
      </c>
      <c r="U600" s="96">
        <f t="shared" si="370"/>
        <v>0</v>
      </c>
      <c r="V600" s="96">
        <f t="shared" si="370"/>
        <v>0</v>
      </c>
      <c r="W600" s="96">
        <f t="shared" si="370"/>
        <v>0</v>
      </c>
      <c r="X600" s="96">
        <f t="shared" si="370"/>
        <v>0</v>
      </c>
      <c r="Y600" s="96">
        <f t="shared" si="370"/>
        <v>0</v>
      </c>
      <c r="Z600" s="96">
        <f t="shared" si="370"/>
        <v>0</v>
      </c>
      <c r="AA600" s="96">
        <f t="shared" si="370"/>
        <v>0</v>
      </c>
      <c r="AB600" s="96">
        <f t="shared" si="370"/>
        <v>0</v>
      </c>
      <c r="AC600" s="96">
        <f t="shared" si="370"/>
        <v>0</v>
      </c>
      <c r="AD600" s="96">
        <f t="shared" si="370"/>
        <v>0</v>
      </c>
    </row>
    <row r="601" spans="5:30" ht="12" x14ac:dyDescent="0.2">
      <c r="E601" s="301"/>
      <c r="F601" s="94" t="str">
        <f>STRAT7_IND5</f>
        <v>Objetivo estratégico 7 Indicador 5</v>
      </c>
      <c r="G601" s="94" t="str">
        <f ca="1">OFFSET(Variables_Lu!$D$10,Basic_Setup!H74,0)</f>
        <v>Nutrition-specific</v>
      </c>
      <c r="H601" s="354">
        <f t="shared" ref="H601:AD601" si="371">H524/EXCHANGE_RATE</f>
        <v>0</v>
      </c>
      <c r="I601" s="355">
        <f t="shared" si="371"/>
        <v>0</v>
      </c>
      <c r="J601" s="356">
        <f t="shared" si="371"/>
        <v>0</v>
      </c>
      <c r="K601" s="369">
        <f t="shared" si="371"/>
        <v>0</v>
      </c>
      <c r="L601" s="369">
        <f t="shared" si="371"/>
        <v>0</v>
      </c>
      <c r="M601" s="369">
        <f t="shared" si="371"/>
        <v>0</v>
      </c>
      <c r="N601" s="369">
        <f t="shared" si="371"/>
        <v>0</v>
      </c>
      <c r="O601" s="369">
        <f t="shared" si="371"/>
        <v>0</v>
      </c>
      <c r="P601" s="369">
        <f t="shared" si="371"/>
        <v>0</v>
      </c>
      <c r="Q601" s="369">
        <f t="shared" si="371"/>
        <v>0</v>
      </c>
      <c r="R601" s="369">
        <f t="shared" si="371"/>
        <v>0</v>
      </c>
      <c r="S601" s="369">
        <f t="shared" si="371"/>
        <v>0</v>
      </c>
      <c r="T601" s="369">
        <f t="shared" si="371"/>
        <v>0</v>
      </c>
      <c r="U601" s="96">
        <f t="shared" si="371"/>
        <v>0</v>
      </c>
      <c r="V601" s="96">
        <f t="shared" si="371"/>
        <v>0</v>
      </c>
      <c r="W601" s="96">
        <f t="shared" si="371"/>
        <v>0</v>
      </c>
      <c r="X601" s="96">
        <f t="shared" si="371"/>
        <v>0</v>
      </c>
      <c r="Y601" s="96">
        <f t="shared" si="371"/>
        <v>0</v>
      </c>
      <c r="Z601" s="96">
        <f t="shared" si="371"/>
        <v>0</v>
      </c>
      <c r="AA601" s="96">
        <f t="shared" si="371"/>
        <v>0</v>
      </c>
      <c r="AB601" s="96">
        <f t="shared" si="371"/>
        <v>0</v>
      </c>
      <c r="AC601" s="96">
        <f t="shared" si="371"/>
        <v>0</v>
      </c>
      <c r="AD601" s="96">
        <f t="shared" si="371"/>
        <v>0</v>
      </c>
    </row>
    <row r="602" spans="5:30" ht="12" x14ac:dyDescent="0.2">
      <c r="E602" s="301"/>
      <c r="F602" s="338" t="str">
        <f>"Subtotal: "&amp;E286</f>
        <v>Subtotal: Objetivo estratégico 7: [No está en uso]</v>
      </c>
      <c r="G602" s="333"/>
      <c r="H602" s="357">
        <f t="shared" ref="H602:AD602" si="372">H525/EXCHANGE_RATE</f>
        <v>0</v>
      </c>
      <c r="I602" s="358">
        <f t="shared" si="372"/>
        <v>0</v>
      </c>
      <c r="J602" s="358">
        <f t="shared" si="372"/>
        <v>0</v>
      </c>
      <c r="K602" s="370">
        <f t="shared" si="372"/>
        <v>0</v>
      </c>
      <c r="L602" s="370">
        <f t="shared" si="372"/>
        <v>0</v>
      </c>
      <c r="M602" s="370">
        <f t="shared" si="372"/>
        <v>0</v>
      </c>
      <c r="N602" s="370">
        <f t="shared" si="372"/>
        <v>0</v>
      </c>
      <c r="O602" s="370">
        <f t="shared" si="372"/>
        <v>0</v>
      </c>
      <c r="P602" s="370">
        <f t="shared" si="372"/>
        <v>0</v>
      </c>
      <c r="Q602" s="370">
        <f t="shared" si="372"/>
        <v>0</v>
      </c>
      <c r="R602" s="370">
        <f t="shared" si="372"/>
        <v>0</v>
      </c>
      <c r="S602" s="370">
        <f t="shared" si="372"/>
        <v>0</v>
      </c>
      <c r="T602" s="370">
        <f t="shared" si="372"/>
        <v>0</v>
      </c>
      <c r="U602" s="337">
        <f t="shared" si="372"/>
        <v>0</v>
      </c>
      <c r="V602" s="337">
        <f t="shared" si="372"/>
        <v>0</v>
      </c>
      <c r="W602" s="337">
        <f t="shared" si="372"/>
        <v>0</v>
      </c>
      <c r="X602" s="337">
        <f t="shared" si="372"/>
        <v>0</v>
      </c>
      <c r="Y602" s="337">
        <f t="shared" si="372"/>
        <v>0</v>
      </c>
      <c r="Z602" s="337">
        <f t="shared" si="372"/>
        <v>0</v>
      </c>
      <c r="AA602" s="337">
        <f t="shared" si="372"/>
        <v>0</v>
      </c>
      <c r="AB602" s="337">
        <f t="shared" si="372"/>
        <v>0</v>
      </c>
      <c r="AC602" s="337">
        <f t="shared" si="372"/>
        <v>0</v>
      </c>
      <c r="AD602" s="337">
        <f t="shared" si="372"/>
        <v>0</v>
      </c>
    </row>
    <row r="603" spans="5:30" ht="12" x14ac:dyDescent="0.2">
      <c r="E603" s="301" t="str">
        <f>Strategy8</f>
        <v>Objetivo estratégico 8: [No está en uso]</v>
      </c>
      <c r="G603" s="94"/>
      <c r="H603" s="363"/>
      <c r="I603" s="364"/>
      <c r="J603" s="356"/>
      <c r="K603" s="369"/>
      <c r="L603" s="369"/>
      <c r="M603" s="369"/>
      <c r="N603" s="369"/>
      <c r="O603" s="369"/>
      <c r="P603" s="369"/>
      <c r="Q603" s="369"/>
      <c r="R603" s="369"/>
      <c r="S603" s="369"/>
      <c r="T603" s="369"/>
      <c r="U603" s="96"/>
      <c r="V603" s="96"/>
      <c r="W603" s="96"/>
      <c r="X603" s="96"/>
      <c r="Y603" s="96"/>
      <c r="Z603" s="96"/>
      <c r="AA603" s="96"/>
      <c r="AB603" s="96"/>
      <c r="AC603" s="96"/>
      <c r="AD603" s="96"/>
    </row>
    <row r="604" spans="5:30" ht="12" x14ac:dyDescent="0.2">
      <c r="E604" s="301"/>
      <c r="F604" s="94" t="str">
        <f>STRAT8_IND1</f>
        <v>Objetivo estratégico 8 Indicador 1</v>
      </c>
      <c r="G604" s="94" t="str">
        <f ca="1">OFFSET(Variables_Lu!$D$10,Basic_Setup!H76,0)</f>
        <v>Nutrition-specific</v>
      </c>
      <c r="H604" s="354">
        <f t="shared" ref="H604:AD604" si="373">H527/EXCHANGE_RATE</f>
        <v>0</v>
      </c>
      <c r="I604" s="355">
        <f t="shared" si="373"/>
        <v>0</v>
      </c>
      <c r="J604" s="356">
        <f t="shared" si="373"/>
        <v>0</v>
      </c>
      <c r="K604" s="369">
        <f t="shared" si="373"/>
        <v>0</v>
      </c>
      <c r="L604" s="369">
        <f t="shared" si="373"/>
        <v>0</v>
      </c>
      <c r="M604" s="369">
        <f t="shared" si="373"/>
        <v>0</v>
      </c>
      <c r="N604" s="369">
        <f t="shared" si="373"/>
        <v>0</v>
      </c>
      <c r="O604" s="369">
        <f t="shared" si="373"/>
        <v>0</v>
      </c>
      <c r="P604" s="369">
        <f t="shared" si="373"/>
        <v>0</v>
      </c>
      <c r="Q604" s="369">
        <f t="shared" si="373"/>
        <v>0</v>
      </c>
      <c r="R604" s="369">
        <f t="shared" si="373"/>
        <v>0</v>
      </c>
      <c r="S604" s="369">
        <f t="shared" si="373"/>
        <v>0</v>
      </c>
      <c r="T604" s="369">
        <f t="shared" si="373"/>
        <v>0</v>
      </c>
      <c r="U604" s="96">
        <f t="shared" si="373"/>
        <v>0</v>
      </c>
      <c r="V604" s="96">
        <f t="shared" si="373"/>
        <v>0</v>
      </c>
      <c r="W604" s="96">
        <f t="shared" si="373"/>
        <v>0</v>
      </c>
      <c r="X604" s="96">
        <f t="shared" si="373"/>
        <v>0</v>
      </c>
      <c r="Y604" s="96">
        <f t="shared" si="373"/>
        <v>0</v>
      </c>
      <c r="Z604" s="96">
        <f t="shared" si="373"/>
        <v>0</v>
      </c>
      <c r="AA604" s="96">
        <f t="shared" si="373"/>
        <v>0</v>
      </c>
      <c r="AB604" s="96">
        <f t="shared" si="373"/>
        <v>0</v>
      </c>
      <c r="AC604" s="96">
        <f t="shared" si="373"/>
        <v>0</v>
      </c>
      <c r="AD604" s="96">
        <f t="shared" si="373"/>
        <v>0</v>
      </c>
    </row>
    <row r="605" spans="5:30" ht="12" x14ac:dyDescent="0.2">
      <c r="E605" s="301"/>
      <c r="F605" s="94" t="str">
        <f>STRAT8_IND2</f>
        <v>Objetivo estratégico 8 Indicador 2</v>
      </c>
      <c r="G605" s="94" t="str">
        <f ca="1">OFFSET(Variables_Lu!$D$10,Basic_Setup!H77,0)</f>
        <v>Nutrition-specific</v>
      </c>
      <c r="H605" s="354">
        <f t="shared" ref="H605:AD605" si="374">H528/EXCHANGE_RATE</f>
        <v>0</v>
      </c>
      <c r="I605" s="355">
        <f t="shared" si="374"/>
        <v>0</v>
      </c>
      <c r="J605" s="356">
        <f t="shared" si="374"/>
        <v>0</v>
      </c>
      <c r="K605" s="369">
        <f t="shared" si="374"/>
        <v>0</v>
      </c>
      <c r="L605" s="369">
        <f t="shared" si="374"/>
        <v>0</v>
      </c>
      <c r="M605" s="369">
        <f t="shared" si="374"/>
        <v>0</v>
      </c>
      <c r="N605" s="369">
        <f t="shared" si="374"/>
        <v>0</v>
      </c>
      <c r="O605" s="369">
        <f t="shared" si="374"/>
        <v>0</v>
      </c>
      <c r="P605" s="369">
        <f t="shared" si="374"/>
        <v>0</v>
      </c>
      <c r="Q605" s="369">
        <f t="shared" si="374"/>
        <v>0</v>
      </c>
      <c r="R605" s="369">
        <f t="shared" si="374"/>
        <v>0</v>
      </c>
      <c r="S605" s="369">
        <f t="shared" si="374"/>
        <v>0</v>
      </c>
      <c r="T605" s="369">
        <f t="shared" si="374"/>
        <v>0</v>
      </c>
      <c r="U605" s="96">
        <f t="shared" si="374"/>
        <v>0</v>
      </c>
      <c r="V605" s="96">
        <f t="shared" si="374"/>
        <v>0</v>
      </c>
      <c r="W605" s="96">
        <f t="shared" si="374"/>
        <v>0</v>
      </c>
      <c r="X605" s="96">
        <f t="shared" si="374"/>
        <v>0</v>
      </c>
      <c r="Y605" s="96">
        <f t="shared" si="374"/>
        <v>0</v>
      </c>
      <c r="Z605" s="96">
        <f t="shared" si="374"/>
        <v>0</v>
      </c>
      <c r="AA605" s="96">
        <f t="shared" si="374"/>
        <v>0</v>
      </c>
      <c r="AB605" s="96">
        <f t="shared" si="374"/>
        <v>0</v>
      </c>
      <c r="AC605" s="96">
        <f t="shared" si="374"/>
        <v>0</v>
      </c>
      <c r="AD605" s="96">
        <f t="shared" si="374"/>
        <v>0</v>
      </c>
    </row>
    <row r="606" spans="5:30" ht="12" x14ac:dyDescent="0.2">
      <c r="E606" s="301"/>
      <c r="F606" s="94" t="str">
        <f>STRAT8_IND3</f>
        <v>Objetivo estratégico 8 Indicador 3</v>
      </c>
      <c r="G606" s="94" t="str">
        <f ca="1">OFFSET(Variables_Lu!$D$10,Basic_Setup!H78,0)</f>
        <v>Nutrition-specific</v>
      </c>
      <c r="H606" s="354">
        <f t="shared" ref="H606:AD606" si="375">H529/EXCHANGE_RATE</f>
        <v>0</v>
      </c>
      <c r="I606" s="355">
        <f t="shared" si="375"/>
        <v>0</v>
      </c>
      <c r="J606" s="356">
        <f t="shared" si="375"/>
        <v>0</v>
      </c>
      <c r="K606" s="369">
        <f t="shared" si="375"/>
        <v>0</v>
      </c>
      <c r="L606" s="369">
        <f t="shared" si="375"/>
        <v>0</v>
      </c>
      <c r="M606" s="369">
        <f t="shared" si="375"/>
        <v>0</v>
      </c>
      <c r="N606" s="369">
        <f t="shared" si="375"/>
        <v>0</v>
      </c>
      <c r="O606" s="369">
        <f t="shared" si="375"/>
        <v>0</v>
      </c>
      <c r="P606" s="369">
        <f t="shared" si="375"/>
        <v>0</v>
      </c>
      <c r="Q606" s="369">
        <f t="shared" si="375"/>
        <v>0</v>
      </c>
      <c r="R606" s="369">
        <f t="shared" si="375"/>
        <v>0</v>
      </c>
      <c r="S606" s="369">
        <f t="shared" si="375"/>
        <v>0</v>
      </c>
      <c r="T606" s="369">
        <f t="shared" si="375"/>
        <v>0</v>
      </c>
      <c r="U606" s="96">
        <f t="shared" si="375"/>
        <v>0</v>
      </c>
      <c r="V606" s="96">
        <f t="shared" si="375"/>
        <v>0</v>
      </c>
      <c r="W606" s="96">
        <f t="shared" si="375"/>
        <v>0</v>
      </c>
      <c r="X606" s="96">
        <f t="shared" si="375"/>
        <v>0</v>
      </c>
      <c r="Y606" s="96">
        <f t="shared" si="375"/>
        <v>0</v>
      </c>
      <c r="Z606" s="96">
        <f t="shared" si="375"/>
        <v>0</v>
      </c>
      <c r="AA606" s="96">
        <f t="shared" si="375"/>
        <v>0</v>
      </c>
      <c r="AB606" s="96">
        <f t="shared" si="375"/>
        <v>0</v>
      </c>
      <c r="AC606" s="96">
        <f t="shared" si="375"/>
        <v>0</v>
      </c>
      <c r="AD606" s="96">
        <f t="shared" si="375"/>
        <v>0</v>
      </c>
    </row>
    <row r="607" spans="5:30" ht="12" x14ac:dyDescent="0.2">
      <c r="E607" s="301"/>
      <c r="F607" s="94" t="str">
        <f>STRAT8_IND4</f>
        <v>Objetivo estratégico 8 Indicador 4</v>
      </c>
      <c r="G607" s="94" t="str">
        <f ca="1">OFFSET(Variables_Lu!$D$10,Basic_Setup!H79,0)</f>
        <v>Nutrition-specific</v>
      </c>
      <c r="H607" s="354">
        <f t="shared" ref="H607:AD607" si="376">H530/EXCHANGE_RATE</f>
        <v>0</v>
      </c>
      <c r="I607" s="355">
        <f t="shared" si="376"/>
        <v>0</v>
      </c>
      <c r="J607" s="356">
        <f t="shared" si="376"/>
        <v>0</v>
      </c>
      <c r="K607" s="369">
        <f t="shared" si="376"/>
        <v>0</v>
      </c>
      <c r="L607" s="369">
        <f t="shared" si="376"/>
        <v>0</v>
      </c>
      <c r="M607" s="369">
        <f t="shared" si="376"/>
        <v>0</v>
      </c>
      <c r="N607" s="369">
        <f t="shared" si="376"/>
        <v>0</v>
      </c>
      <c r="O607" s="369">
        <f t="shared" si="376"/>
        <v>0</v>
      </c>
      <c r="P607" s="369">
        <f t="shared" si="376"/>
        <v>0</v>
      </c>
      <c r="Q607" s="369">
        <f t="shared" si="376"/>
        <v>0</v>
      </c>
      <c r="R607" s="369">
        <f t="shared" si="376"/>
        <v>0</v>
      </c>
      <c r="S607" s="369">
        <f t="shared" si="376"/>
        <v>0</v>
      </c>
      <c r="T607" s="369">
        <f t="shared" si="376"/>
        <v>0</v>
      </c>
      <c r="U607" s="96">
        <f t="shared" si="376"/>
        <v>0</v>
      </c>
      <c r="V607" s="96">
        <f t="shared" si="376"/>
        <v>0</v>
      </c>
      <c r="W607" s="96">
        <f t="shared" si="376"/>
        <v>0</v>
      </c>
      <c r="X607" s="96">
        <f t="shared" si="376"/>
        <v>0</v>
      </c>
      <c r="Y607" s="96">
        <f t="shared" si="376"/>
        <v>0</v>
      </c>
      <c r="Z607" s="96">
        <f t="shared" si="376"/>
        <v>0</v>
      </c>
      <c r="AA607" s="96">
        <f t="shared" si="376"/>
        <v>0</v>
      </c>
      <c r="AB607" s="96">
        <f t="shared" si="376"/>
        <v>0</v>
      </c>
      <c r="AC607" s="96">
        <f t="shared" si="376"/>
        <v>0</v>
      </c>
      <c r="AD607" s="96">
        <f t="shared" si="376"/>
        <v>0</v>
      </c>
    </row>
    <row r="608" spans="5:30" ht="12" x14ac:dyDescent="0.2">
      <c r="E608" s="301"/>
      <c r="F608" s="94" t="str">
        <f>STRAT8_IND5</f>
        <v>Objetivo estratégico 8 Indicador 5</v>
      </c>
      <c r="G608" s="94" t="str">
        <f ca="1">OFFSET(Variables_Lu!$D$10,Basic_Setup!H80,0)</f>
        <v>Nutrition-specific</v>
      </c>
      <c r="H608" s="354">
        <f t="shared" ref="H608:AD608" si="377">H531/EXCHANGE_RATE</f>
        <v>0</v>
      </c>
      <c r="I608" s="355">
        <f t="shared" si="377"/>
        <v>0</v>
      </c>
      <c r="J608" s="356">
        <f t="shared" si="377"/>
        <v>0</v>
      </c>
      <c r="K608" s="369">
        <f t="shared" si="377"/>
        <v>0</v>
      </c>
      <c r="L608" s="369">
        <f t="shared" si="377"/>
        <v>0</v>
      </c>
      <c r="M608" s="369">
        <f t="shared" si="377"/>
        <v>0</v>
      </c>
      <c r="N608" s="369">
        <f t="shared" si="377"/>
        <v>0</v>
      </c>
      <c r="O608" s="369">
        <f t="shared" si="377"/>
        <v>0</v>
      </c>
      <c r="P608" s="369">
        <f t="shared" si="377"/>
        <v>0</v>
      </c>
      <c r="Q608" s="369">
        <f t="shared" si="377"/>
        <v>0</v>
      </c>
      <c r="R608" s="369">
        <f t="shared" si="377"/>
        <v>0</v>
      </c>
      <c r="S608" s="369">
        <f t="shared" si="377"/>
        <v>0</v>
      </c>
      <c r="T608" s="369">
        <f t="shared" si="377"/>
        <v>0</v>
      </c>
      <c r="U608" s="96">
        <f t="shared" si="377"/>
        <v>0</v>
      </c>
      <c r="V608" s="96">
        <f t="shared" si="377"/>
        <v>0</v>
      </c>
      <c r="W608" s="96">
        <f t="shared" si="377"/>
        <v>0</v>
      </c>
      <c r="X608" s="96">
        <f t="shared" si="377"/>
        <v>0</v>
      </c>
      <c r="Y608" s="96">
        <f t="shared" si="377"/>
        <v>0</v>
      </c>
      <c r="Z608" s="96">
        <f t="shared" si="377"/>
        <v>0</v>
      </c>
      <c r="AA608" s="96">
        <f t="shared" si="377"/>
        <v>0</v>
      </c>
      <c r="AB608" s="96">
        <f t="shared" si="377"/>
        <v>0</v>
      </c>
      <c r="AC608" s="96">
        <f t="shared" si="377"/>
        <v>0</v>
      </c>
      <c r="AD608" s="96">
        <f t="shared" si="377"/>
        <v>0</v>
      </c>
    </row>
    <row r="609" spans="5:30" ht="12" x14ac:dyDescent="0.2">
      <c r="E609" s="301"/>
      <c r="F609" s="338" t="str">
        <f>"Subtotal: "&amp;E293</f>
        <v>Subtotal: Objetivo estratégico 8: [No está en uso]</v>
      </c>
      <c r="G609" s="333"/>
      <c r="H609" s="357">
        <f t="shared" ref="H609:AD609" si="378">H532/EXCHANGE_RATE</f>
        <v>0</v>
      </c>
      <c r="I609" s="358">
        <f t="shared" si="378"/>
        <v>0</v>
      </c>
      <c r="J609" s="358">
        <f t="shared" si="378"/>
        <v>0</v>
      </c>
      <c r="K609" s="370">
        <f t="shared" si="378"/>
        <v>0</v>
      </c>
      <c r="L609" s="370">
        <f t="shared" si="378"/>
        <v>0</v>
      </c>
      <c r="M609" s="370">
        <f t="shared" si="378"/>
        <v>0</v>
      </c>
      <c r="N609" s="370">
        <f t="shared" si="378"/>
        <v>0</v>
      </c>
      <c r="O609" s="370">
        <f t="shared" si="378"/>
        <v>0</v>
      </c>
      <c r="P609" s="370">
        <f t="shared" si="378"/>
        <v>0</v>
      </c>
      <c r="Q609" s="370">
        <f t="shared" si="378"/>
        <v>0</v>
      </c>
      <c r="R609" s="370">
        <f t="shared" si="378"/>
        <v>0</v>
      </c>
      <c r="S609" s="370">
        <f t="shared" si="378"/>
        <v>0</v>
      </c>
      <c r="T609" s="370">
        <f t="shared" si="378"/>
        <v>0</v>
      </c>
      <c r="U609" s="337">
        <f t="shared" si="378"/>
        <v>0</v>
      </c>
      <c r="V609" s="337">
        <f t="shared" si="378"/>
        <v>0</v>
      </c>
      <c r="W609" s="337">
        <f t="shared" si="378"/>
        <v>0</v>
      </c>
      <c r="X609" s="337">
        <f t="shared" si="378"/>
        <v>0</v>
      </c>
      <c r="Y609" s="337">
        <f t="shared" si="378"/>
        <v>0</v>
      </c>
      <c r="Z609" s="337">
        <f t="shared" si="378"/>
        <v>0</v>
      </c>
      <c r="AA609" s="337">
        <f t="shared" si="378"/>
        <v>0</v>
      </c>
      <c r="AB609" s="337">
        <f t="shared" si="378"/>
        <v>0</v>
      </c>
      <c r="AC609" s="337">
        <f t="shared" si="378"/>
        <v>0</v>
      </c>
      <c r="AD609" s="337">
        <f t="shared" si="378"/>
        <v>0</v>
      </c>
    </row>
    <row r="610" spans="5:30" ht="12" x14ac:dyDescent="0.2">
      <c r="E610" s="301" t="str">
        <f>Strategy9</f>
        <v>Objetivo estratégico 9: [No está en uso]</v>
      </c>
      <c r="G610" s="94"/>
      <c r="H610" s="363"/>
      <c r="I610" s="364"/>
      <c r="J610" s="356"/>
      <c r="K610" s="369"/>
      <c r="L610" s="369"/>
      <c r="M610" s="369"/>
      <c r="N610" s="369"/>
      <c r="O610" s="369"/>
      <c r="P610" s="369"/>
      <c r="Q610" s="369"/>
      <c r="R610" s="369"/>
      <c r="S610" s="369"/>
      <c r="T610" s="369"/>
      <c r="U610" s="96"/>
      <c r="V610" s="96"/>
      <c r="W610" s="96"/>
      <c r="X610" s="96"/>
      <c r="Y610" s="96"/>
      <c r="Z610" s="96"/>
      <c r="AA610" s="96"/>
      <c r="AB610" s="96"/>
      <c r="AC610" s="96"/>
      <c r="AD610" s="96"/>
    </row>
    <row r="611" spans="5:30" ht="12" x14ac:dyDescent="0.2">
      <c r="E611" s="301"/>
      <c r="F611" s="94" t="str">
        <f>STRAT9_IND1</f>
        <v>Objetivo estratégico 9 Indicador 1</v>
      </c>
      <c r="G611" s="94" t="str">
        <f ca="1">OFFSET(Variables_Lu!$D$10,Basic_Setup!H82,0)</f>
        <v>Nutrition-specific</v>
      </c>
      <c r="H611" s="354">
        <f t="shared" ref="H611:AD611" si="379">H534/EXCHANGE_RATE</f>
        <v>0</v>
      </c>
      <c r="I611" s="355">
        <f t="shared" si="379"/>
        <v>0</v>
      </c>
      <c r="J611" s="356">
        <f t="shared" si="379"/>
        <v>0</v>
      </c>
      <c r="K611" s="369">
        <f t="shared" si="379"/>
        <v>0</v>
      </c>
      <c r="L611" s="369">
        <f t="shared" si="379"/>
        <v>0</v>
      </c>
      <c r="M611" s="369">
        <f t="shared" si="379"/>
        <v>0</v>
      </c>
      <c r="N611" s="369">
        <f t="shared" si="379"/>
        <v>0</v>
      </c>
      <c r="O611" s="369">
        <f t="shared" si="379"/>
        <v>0</v>
      </c>
      <c r="P611" s="369">
        <f t="shared" si="379"/>
        <v>0</v>
      </c>
      <c r="Q611" s="369">
        <f t="shared" si="379"/>
        <v>0</v>
      </c>
      <c r="R611" s="369">
        <f t="shared" si="379"/>
        <v>0</v>
      </c>
      <c r="S611" s="369">
        <f t="shared" si="379"/>
        <v>0</v>
      </c>
      <c r="T611" s="369">
        <f t="shared" si="379"/>
        <v>0</v>
      </c>
      <c r="U611" s="96">
        <f t="shared" si="379"/>
        <v>0</v>
      </c>
      <c r="V611" s="96">
        <f t="shared" si="379"/>
        <v>0</v>
      </c>
      <c r="W611" s="96">
        <f t="shared" si="379"/>
        <v>0</v>
      </c>
      <c r="X611" s="96">
        <f t="shared" si="379"/>
        <v>0</v>
      </c>
      <c r="Y611" s="96">
        <f t="shared" si="379"/>
        <v>0</v>
      </c>
      <c r="Z611" s="96">
        <f t="shared" si="379"/>
        <v>0</v>
      </c>
      <c r="AA611" s="96">
        <f t="shared" si="379"/>
        <v>0</v>
      </c>
      <c r="AB611" s="96">
        <f t="shared" si="379"/>
        <v>0</v>
      </c>
      <c r="AC611" s="96">
        <f t="shared" si="379"/>
        <v>0</v>
      </c>
      <c r="AD611" s="96">
        <f t="shared" si="379"/>
        <v>0</v>
      </c>
    </row>
    <row r="612" spans="5:30" ht="12" x14ac:dyDescent="0.2">
      <c r="E612" s="301"/>
      <c r="F612" s="94" t="str">
        <f>STRAT9_IND2</f>
        <v>Objetivo estratégico 9 Indicador 2</v>
      </c>
      <c r="G612" s="94" t="str">
        <f ca="1">OFFSET(Variables_Lu!$D$10,Basic_Setup!H83,0)</f>
        <v>Nutrition-specific</v>
      </c>
      <c r="H612" s="354">
        <f t="shared" ref="H612:AD612" si="380">H535/EXCHANGE_RATE</f>
        <v>0</v>
      </c>
      <c r="I612" s="355">
        <f t="shared" si="380"/>
        <v>0</v>
      </c>
      <c r="J612" s="356">
        <f t="shared" si="380"/>
        <v>0</v>
      </c>
      <c r="K612" s="369">
        <f t="shared" si="380"/>
        <v>0</v>
      </c>
      <c r="L612" s="369">
        <f t="shared" si="380"/>
        <v>0</v>
      </c>
      <c r="M612" s="369">
        <f t="shared" si="380"/>
        <v>0</v>
      </c>
      <c r="N612" s="369">
        <f t="shared" si="380"/>
        <v>0</v>
      </c>
      <c r="O612" s="369">
        <f t="shared" si="380"/>
        <v>0</v>
      </c>
      <c r="P612" s="369">
        <f t="shared" si="380"/>
        <v>0</v>
      </c>
      <c r="Q612" s="369">
        <f t="shared" si="380"/>
        <v>0</v>
      </c>
      <c r="R612" s="369">
        <f t="shared" si="380"/>
        <v>0</v>
      </c>
      <c r="S612" s="369">
        <f t="shared" si="380"/>
        <v>0</v>
      </c>
      <c r="T612" s="369">
        <f t="shared" si="380"/>
        <v>0</v>
      </c>
      <c r="U612" s="96">
        <f t="shared" si="380"/>
        <v>0</v>
      </c>
      <c r="V612" s="96">
        <f t="shared" si="380"/>
        <v>0</v>
      </c>
      <c r="W612" s="96">
        <f t="shared" si="380"/>
        <v>0</v>
      </c>
      <c r="X612" s="96">
        <f t="shared" si="380"/>
        <v>0</v>
      </c>
      <c r="Y612" s="96">
        <f t="shared" si="380"/>
        <v>0</v>
      </c>
      <c r="Z612" s="96">
        <f t="shared" si="380"/>
        <v>0</v>
      </c>
      <c r="AA612" s="96">
        <f t="shared" si="380"/>
        <v>0</v>
      </c>
      <c r="AB612" s="96">
        <f t="shared" si="380"/>
        <v>0</v>
      </c>
      <c r="AC612" s="96">
        <f t="shared" si="380"/>
        <v>0</v>
      </c>
      <c r="AD612" s="96">
        <f t="shared" si="380"/>
        <v>0</v>
      </c>
    </row>
    <row r="613" spans="5:30" ht="12" x14ac:dyDescent="0.2">
      <c r="E613" s="301"/>
      <c r="F613" s="94" t="str">
        <f>STRAT9_IND3</f>
        <v>Objetivo estratégico 9 Indicador 3</v>
      </c>
      <c r="G613" s="94" t="str">
        <f ca="1">OFFSET(Variables_Lu!$D$10,Basic_Setup!H84,0)</f>
        <v>Nutrition-specific</v>
      </c>
      <c r="H613" s="354">
        <f t="shared" ref="H613:AD613" si="381">H536/EXCHANGE_RATE</f>
        <v>0</v>
      </c>
      <c r="I613" s="355">
        <f t="shared" si="381"/>
        <v>0</v>
      </c>
      <c r="J613" s="356">
        <f t="shared" si="381"/>
        <v>0</v>
      </c>
      <c r="K613" s="369">
        <f t="shared" si="381"/>
        <v>0</v>
      </c>
      <c r="L613" s="369">
        <f t="shared" si="381"/>
        <v>0</v>
      </c>
      <c r="M613" s="369">
        <f t="shared" si="381"/>
        <v>0</v>
      </c>
      <c r="N613" s="369">
        <f t="shared" si="381"/>
        <v>0</v>
      </c>
      <c r="O613" s="369">
        <f t="shared" si="381"/>
        <v>0</v>
      </c>
      <c r="P613" s="369">
        <f t="shared" si="381"/>
        <v>0</v>
      </c>
      <c r="Q613" s="369">
        <f t="shared" si="381"/>
        <v>0</v>
      </c>
      <c r="R613" s="369">
        <f t="shared" si="381"/>
        <v>0</v>
      </c>
      <c r="S613" s="369">
        <f t="shared" si="381"/>
        <v>0</v>
      </c>
      <c r="T613" s="369">
        <f t="shared" si="381"/>
        <v>0</v>
      </c>
      <c r="U613" s="96">
        <f t="shared" si="381"/>
        <v>0</v>
      </c>
      <c r="V613" s="96">
        <f t="shared" si="381"/>
        <v>0</v>
      </c>
      <c r="W613" s="96">
        <f t="shared" si="381"/>
        <v>0</v>
      </c>
      <c r="X613" s="96">
        <f t="shared" si="381"/>
        <v>0</v>
      </c>
      <c r="Y613" s="96">
        <f t="shared" si="381"/>
        <v>0</v>
      </c>
      <c r="Z613" s="96">
        <f t="shared" si="381"/>
        <v>0</v>
      </c>
      <c r="AA613" s="96">
        <f t="shared" si="381"/>
        <v>0</v>
      </c>
      <c r="AB613" s="96">
        <f t="shared" si="381"/>
        <v>0</v>
      </c>
      <c r="AC613" s="96">
        <f t="shared" si="381"/>
        <v>0</v>
      </c>
      <c r="AD613" s="96">
        <f t="shared" si="381"/>
        <v>0</v>
      </c>
    </row>
    <row r="614" spans="5:30" ht="11.25" customHeight="1" x14ac:dyDescent="0.2">
      <c r="E614" s="301"/>
      <c r="F614" s="94" t="str">
        <f>STRAT9_IND4</f>
        <v>Objetivo estratégico 9 Indicador 4</v>
      </c>
      <c r="G614" s="94" t="str">
        <f ca="1">OFFSET(Variables_Lu!$D$10,Basic_Setup!H85,0)</f>
        <v>Nutrition-specific</v>
      </c>
      <c r="H614" s="354">
        <f t="shared" ref="H614:AD614" si="382">H537/EXCHANGE_RATE</f>
        <v>0</v>
      </c>
      <c r="I614" s="355">
        <f t="shared" si="382"/>
        <v>0</v>
      </c>
      <c r="J614" s="356">
        <f t="shared" si="382"/>
        <v>0</v>
      </c>
      <c r="K614" s="369">
        <f t="shared" si="382"/>
        <v>0</v>
      </c>
      <c r="L614" s="369">
        <f t="shared" si="382"/>
        <v>0</v>
      </c>
      <c r="M614" s="369">
        <f t="shared" si="382"/>
        <v>0</v>
      </c>
      <c r="N614" s="369">
        <f t="shared" si="382"/>
        <v>0</v>
      </c>
      <c r="O614" s="369">
        <f t="shared" si="382"/>
        <v>0</v>
      </c>
      <c r="P614" s="369">
        <f t="shared" si="382"/>
        <v>0</v>
      </c>
      <c r="Q614" s="369">
        <f t="shared" si="382"/>
        <v>0</v>
      </c>
      <c r="R614" s="369">
        <f t="shared" si="382"/>
        <v>0</v>
      </c>
      <c r="S614" s="369">
        <f t="shared" si="382"/>
        <v>0</v>
      </c>
      <c r="T614" s="369">
        <f t="shared" si="382"/>
        <v>0</v>
      </c>
      <c r="U614" s="96">
        <f t="shared" si="382"/>
        <v>0</v>
      </c>
      <c r="V614" s="96">
        <f t="shared" si="382"/>
        <v>0</v>
      </c>
      <c r="W614" s="96">
        <f t="shared" si="382"/>
        <v>0</v>
      </c>
      <c r="X614" s="96">
        <f t="shared" si="382"/>
        <v>0</v>
      </c>
      <c r="Y614" s="96">
        <f t="shared" si="382"/>
        <v>0</v>
      </c>
      <c r="Z614" s="96">
        <f t="shared" si="382"/>
        <v>0</v>
      </c>
      <c r="AA614" s="96">
        <f t="shared" si="382"/>
        <v>0</v>
      </c>
      <c r="AB614" s="96">
        <f t="shared" si="382"/>
        <v>0</v>
      </c>
      <c r="AC614" s="96">
        <f t="shared" si="382"/>
        <v>0</v>
      </c>
      <c r="AD614" s="96">
        <f t="shared" si="382"/>
        <v>0</v>
      </c>
    </row>
    <row r="615" spans="5:30" ht="12" x14ac:dyDescent="0.2">
      <c r="E615" s="301"/>
      <c r="F615" s="94" t="str">
        <f>STRAT9_IND5</f>
        <v>Objetivo estratégico 9 Indicador 5</v>
      </c>
      <c r="G615" s="94" t="str">
        <f ca="1">OFFSET(Variables_Lu!$D$10,Basic_Setup!H86,0)</f>
        <v>Nutrition-specific</v>
      </c>
      <c r="H615" s="354">
        <f t="shared" ref="H615:AD615" si="383">H538/EXCHANGE_RATE</f>
        <v>0</v>
      </c>
      <c r="I615" s="355">
        <f t="shared" si="383"/>
        <v>0</v>
      </c>
      <c r="J615" s="356">
        <f t="shared" si="383"/>
        <v>0</v>
      </c>
      <c r="K615" s="369">
        <f t="shared" si="383"/>
        <v>0</v>
      </c>
      <c r="L615" s="369">
        <f t="shared" si="383"/>
        <v>0</v>
      </c>
      <c r="M615" s="369">
        <f t="shared" si="383"/>
        <v>0</v>
      </c>
      <c r="N615" s="369">
        <f t="shared" si="383"/>
        <v>0</v>
      </c>
      <c r="O615" s="369">
        <f t="shared" si="383"/>
        <v>0</v>
      </c>
      <c r="P615" s="369">
        <f t="shared" si="383"/>
        <v>0</v>
      </c>
      <c r="Q615" s="369">
        <f t="shared" si="383"/>
        <v>0</v>
      </c>
      <c r="R615" s="369">
        <f t="shared" si="383"/>
        <v>0</v>
      </c>
      <c r="S615" s="369">
        <f t="shared" si="383"/>
        <v>0</v>
      </c>
      <c r="T615" s="369">
        <f t="shared" si="383"/>
        <v>0</v>
      </c>
      <c r="U615" s="96">
        <f t="shared" si="383"/>
        <v>0</v>
      </c>
      <c r="V615" s="96">
        <f t="shared" si="383"/>
        <v>0</v>
      </c>
      <c r="W615" s="96">
        <f t="shared" si="383"/>
        <v>0</v>
      </c>
      <c r="X615" s="96">
        <f t="shared" si="383"/>
        <v>0</v>
      </c>
      <c r="Y615" s="96">
        <f t="shared" si="383"/>
        <v>0</v>
      </c>
      <c r="Z615" s="96">
        <f t="shared" si="383"/>
        <v>0</v>
      </c>
      <c r="AA615" s="96">
        <f t="shared" si="383"/>
        <v>0</v>
      </c>
      <c r="AB615" s="96">
        <f t="shared" si="383"/>
        <v>0</v>
      </c>
      <c r="AC615" s="96">
        <f t="shared" si="383"/>
        <v>0</v>
      </c>
      <c r="AD615" s="96">
        <f t="shared" si="383"/>
        <v>0</v>
      </c>
    </row>
    <row r="616" spans="5:30" ht="12" x14ac:dyDescent="0.2">
      <c r="E616" s="301"/>
      <c r="F616" s="338" t="str">
        <f>"Subtotal: "&amp;E300</f>
        <v>Subtotal: Objetivo estratégico 9: [No está en uso]</v>
      </c>
      <c r="G616" s="333"/>
      <c r="H616" s="357">
        <f t="shared" ref="H616:AD616" si="384">H539/EXCHANGE_RATE</f>
        <v>0</v>
      </c>
      <c r="I616" s="358">
        <f t="shared" si="384"/>
        <v>0</v>
      </c>
      <c r="J616" s="358">
        <f t="shared" si="384"/>
        <v>0</v>
      </c>
      <c r="K616" s="370">
        <f t="shared" si="384"/>
        <v>0</v>
      </c>
      <c r="L616" s="370">
        <f t="shared" si="384"/>
        <v>0</v>
      </c>
      <c r="M616" s="370">
        <f t="shared" si="384"/>
        <v>0</v>
      </c>
      <c r="N616" s="370">
        <f t="shared" si="384"/>
        <v>0</v>
      </c>
      <c r="O616" s="370">
        <f t="shared" si="384"/>
        <v>0</v>
      </c>
      <c r="P616" s="370">
        <f t="shared" si="384"/>
        <v>0</v>
      </c>
      <c r="Q616" s="370">
        <f t="shared" si="384"/>
        <v>0</v>
      </c>
      <c r="R616" s="370">
        <f t="shared" si="384"/>
        <v>0</v>
      </c>
      <c r="S616" s="370">
        <f t="shared" si="384"/>
        <v>0</v>
      </c>
      <c r="T616" s="370">
        <f t="shared" si="384"/>
        <v>0</v>
      </c>
      <c r="U616" s="337">
        <f t="shared" si="384"/>
        <v>0</v>
      </c>
      <c r="V616" s="337">
        <f t="shared" si="384"/>
        <v>0</v>
      </c>
      <c r="W616" s="337">
        <f t="shared" si="384"/>
        <v>0</v>
      </c>
      <c r="X616" s="337">
        <f t="shared" si="384"/>
        <v>0</v>
      </c>
      <c r="Y616" s="337">
        <f t="shared" si="384"/>
        <v>0</v>
      </c>
      <c r="Z616" s="337">
        <f t="shared" si="384"/>
        <v>0</v>
      </c>
      <c r="AA616" s="337">
        <f t="shared" si="384"/>
        <v>0</v>
      </c>
      <c r="AB616" s="337">
        <f t="shared" si="384"/>
        <v>0</v>
      </c>
      <c r="AC616" s="337">
        <f t="shared" si="384"/>
        <v>0</v>
      </c>
      <c r="AD616" s="337">
        <f t="shared" si="384"/>
        <v>0</v>
      </c>
    </row>
    <row r="617" spans="5:30" ht="12" x14ac:dyDescent="0.2">
      <c r="E617" s="301" t="str">
        <f>Strategy10</f>
        <v>Objetivo estratégico 10: [No está en uso]</v>
      </c>
      <c r="G617" s="94"/>
      <c r="H617" s="363"/>
      <c r="I617" s="364"/>
      <c r="J617" s="356"/>
      <c r="K617" s="369"/>
      <c r="L617" s="369"/>
      <c r="M617" s="369"/>
      <c r="N617" s="369"/>
      <c r="O617" s="369"/>
      <c r="P617" s="369"/>
      <c r="Q617" s="369"/>
      <c r="R617" s="369"/>
      <c r="S617" s="369"/>
      <c r="T617" s="369"/>
      <c r="U617" s="96"/>
      <c r="V617" s="96"/>
      <c r="W617" s="96"/>
      <c r="X617" s="96"/>
      <c r="Y617" s="96"/>
      <c r="Z617" s="96"/>
      <c r="AA617" s="96"/>
      <c r="AB617" s="96"/>
      <c r="AC617" s="96"/>
      <c r="AD617" s="96"/>
    </row>
    <row r="618" spans="5:30" ht="12" x14ac:dyDescent="0.2">
      <c r="F618" s="94" t="str">
        <f>STRAT10_IND1</f>
        <v>Objetivo estratégico 10 Indicador 1</v>
      </c>
      <c r="G618" s="94" t="str">
        <f ca="1">OFFSET(Variables_Lu!$D$10,Basic_Setup!H88,0)</f>
        <v>Nutrition-specific</v>
      </c>
      <c r="H618" s="354">
        <f t="shared" ref="H618:AD618" si="385">H541/EXCHANGE_RATE</f>
        <v>0</v>
      </c>
      <c r="I618" s="355">
        <f t="shared" si="385"/>
        <v>0</v>
      </c>
      <c r="J618" s="356">
        <f t="shared" si="385"/>
        <v>0</v>
      </c>
      <c r="K618" s="369">
        <f t="shared" si="385"/>
        <v>0</v>
      </c>
      <c r="L618" s="369">
        <f t="shared" si="385"/>
        <v>0</v>
      </c>
      <c r="M618" s="369">
        <f t="shared" si="385"/>
        <v>0</v>
      </c>
      <c r="N618" s="369">
        <f t="shared" si="385"/>
        <v>0</v>
      </c>
      <c r="O618" s="369">
        <f t="shared" si="385"/>
        <v>0</v>
      </c>
      <c r="P618" s="369">
        <f t="shared" si="385"/>
        <v>0</v>
      </c>
      <c r="Q618" s="369">
        <f t="shared" si="385"/>
        <v>0</v>
      </c>
      <c r="R618" s="369">
        <f t="shared" si="385"/>
        <v>0</v>
      </c>
      <c r="S618" s="369">
        <f t="shared" si="385"/>
        <v>0</v>
      </c>
      <c r="T618" s="369">
        <f t="shared" si="385"/>
        <v>0</v>
      </c>
      <c r="U618" s="96">
        <f t="shared" si="385"/>
        <v>0</v>
      </c>
      <c r="V618" s="96">
        <f t="shared" si="385"/>
        <v>0</v>
      </c>
      <c r="W618" s="96">
        <f t="shared" si="385"/>
        <v>0</v>
      </c>
      <c r="X618" s="96">
        <f t="shared" si="385"/>
        <v>0</v>
      </c>
      <c r="Y618" s="96">
        <f t="shared" si="385"/>
        <v>0</v>
      </c>
      <c r="Z618" s="96">
        <f t="shared" si="385"/>
        <v>0</v>
      </c>
      <c r="AA618" s="96">
        <f t="shared" si="385"/>
        <v>0</v>
      </c>
      <c r="AB618" s="96">
        <f t="shared" si="385"/>
        <v>0</v>
      </c>
      <c r="AC618" s="96">
        <f t="shared" si="385"/>
        <v>0</v>
      </c>
      <c r="AD618" s="96">
        <f t="shared" si="385"/>
        <v>0</v>
      </c>
    </row>
    <row r="619" spans="5:30" ht="12" x14ac:dyDescent="0.2">
      <c r="F619" s="94" t="str">
        <f>STRAT10_IND2</f>
        <v>Objetivo estratégico 10 Indicador 2</v>
      </c>
      <c r="G619" s="94" t="str">
        <f ca="1">OFFSET(Variables_Lu!$D$10,Basic_Setup!H89,0)</f>
        <v>Nutrition-specific</v>
      </c>
      <c r="H619" s="354">
        <f t="shared" ref="H619:AD619" si="386">H542/EXCHANGE_RATE</f>
        <v>0</v>
      </c>
      <c r="I619" s="355">
        <f t="shared" si="386"/>
        <v>0</v>
      </c>
      <c r="J619" s="356">
        <f t="shared" si="386"/>
        <v>0</v>
      </c>
      <c r="K619" s="369">
        <f t="shared" si="386"/>
        <v>0</v>
      </c>
      <c r="L619" s="369">
        <f t="shared" si="386"/>
        <v>0</v>
      </c>
      <c r="M619" s="369">
        <f t="shared" si="386"/>
        <v>0</v>
      </c>
      <c r="N619" s="369">
        <f t="shared" si="386"/>
        <v>0</v>
      </c>
      <c r="O619" s="369">
        <f t="shared" si="386"/>
        <v>0</v>
      </c>
      <c r="P619" s="369">
        <f t="shared" si="386"/>
        <v>0</v>
      </c>
      <c r="Q619" s="369">
        <f t="shared" si="386"/>
        <v>0</v>
      </c>
      <c r="R619" s="369">
        <f t="shared" si="386"/>
        <v>0</v>
      </c>
      <c r="S619" s="369">
        <f t="shared" si="386"/>
        <v>0</v>
      </c>
      <c r="T619" s="369">
        <f t="shared" si="386"/>
        <v>0</v>
      </c>
      <c r="U619" s="96">
        <f t="shared" si="386"/>
        <v>0</v>
      </c>
      <c r="V619" s="96">
        <f t="shared" si="386"/>
        <v>0</v>
      </c>
      <c r="W619" s="96">
        <f t="shared" si="386"/>
        <v>0</v>
      </c>
      <c r="X619" s="96">
        <f t="shared" si="386"/>
        <v>0</v>
      </c>
      <c r="Y619" s="96">
        <f t="shared" si="386"/>
        <v>0</v>
      </c>
      <c r="Z619" s="96">
        <f t="shared" si="386"/>
        <v>0</v>
      </c>
      <c r="AA619" s="96">
        <f t="shared" si="386"/>
        <v>0</v>
      </c>
      <c r="AB619" s="96">
        <f t="shared" si="386"/>
        <v>0</v>
      </c>
      <c r="AC619" s="96">
        <f t="shared" si="386"/>
        <v>0</v>
      </c>
      <c r="AD619" s="96">
        <f t="shared" si="386"/>
        <v>0</v>
      </c>
    </row>
    <row r="620" spans="5:30" ht="12" x14ac:dyDescent="0.2">
      <c r="F620" s="94" t="str">
        <f>STRAT10_IND3</f>
        <v>Objetivo estratégico 10 Indicador 3</v>
      </c>
      <c r="G620" s="94" t="str">
        <f ca="1">OFFSET(Variables_Lu!$D$10,Basic_Setup!H90,0)</f>
        <v>Nutrition-specific</v>
      </c>
      <c r="H620" s="354">
        <f t="shared" ref="H620:AD620" si="387">H543/EXCHANGE_RATE</f>
        <v>0</v>
      </c>
      <c r="I620" s="355">
        <f t="shared" si="387"/>
        <v>0</v>
      </c>
      <c r="J620" s="356">
        <f t="shared" si="387"/>
        <v>0</v>
      </c>
      <c r="K620" s="369">
        <f t="shared" si="387"/>
        <v>0</v>
      </c>
      <c r="L620" s="369">
        <f t="shared" si="387"/>
        <v>0</v>
      </c>
      <c r="M620" s="369">
        <f t="shared" si="387"/>
        <v>0</v>
      </c>
      <c r="N620" s="369">
        <f t="shared" si="387"/>
        <v>0</v>
      </c>
      <c r="O620" s="369">
        <f t="shared" si="387"/>
        <v>0</v>
      </c>
      <c r="P620" s="369">
        <f t="shared" si="387"/>
        <v>0</v>
      </c>
      <c r="Q620" s="369">
        <f t="shared" si="387"/>
        <v>0</v>
      </c>
      <c r="R620" s="369">
        <f t="shared" si="387"/>
        <v>0</v>
      </c>
      <c r="S620" s="369">
        <f t="shared" si="387"/>
        <v>0</v>
      </c>
      <c r="T620" s="369">
        <f t="shared" si="387"/>
        <v>0</v>
      </c>
      <c r="U620" s="96">
        <f t="shared" si="387"/>
        <v>0</v>
      </c>
      <c r="V620" s="96">
        <f t="shared" si="387"/>
        <v>0</v>
      </c>
      <c r="W620" s="96">
        <f t="shared" si="387"/>
        <v>0</v>
      </c>
      <c r="X620" s="96">
        <f t="shared" si="387"/>
        <v>0</v>
      </c>
      <c r="Y620" s="96">
        <f t="shared" si="387"/>
        <v>0</v>
      </c>
      <c r="Z620" s="96">
        <f t="shared" si="387"/>
        <v>0</v>
      </c>
      <c r="AA620" s="96">
        <f t="shared" si="387"/>
        <v>0</v>
      </c>
      <c r="AB620" s="96">
        <f t="shared" si="387"/>
        <v>0</v>
      </c>
      <c r="AC620" s="96">
        <f t="shared" si="387"/>
        <v>0</v>
      </c>
      <c r="AD620" s="96">
        <f t="shared" si="387"/>
        <v>0</v>
      </c>
    </row>
    <row r="621" spans="5:30" ht="12" x14ac:dyDescent="0.2">
      <c r="F621" s="94" t="str">
        <f>STRAT10_IND4</f>
        <v>Objetivo estratégico 10 Indicador 4</v>
      </c>
      <c r="G621" s="94" t="str">
        <f ca="1">OFFSET(Variables_Lu!$D$10,Basic_Setup!H91,0)</f>
        <v>Nutrition-specific</v>
      </c>
      <c r="H621" s="354">
        <f t="shared" ref="H621:AD621" si="388">H544/EXCHANGE_RATE</f>
        <v>0</v>
      </c>
      <c r="I621" s="355">
        <f t="shared" si="388"/>
        <v>0</v>
      </c>
      <c r="J621" s="356">
        <f t="shared" si="388"/>
        <v>0</v>
      </c>
      <c r="K621" s="369">
        <f t="shared" si="388"/>
        <v>0</v>
      </c>
      <c r="L621" s="369">
        <f t="shared" si="388"/>
        <v>0</v>
      </c>
      <c r="M621" s="369">
        <f t="shared" si="388"/>
        <v>0</v>
      </c>
      <c r="N621" s="369">
        <f t="shared" si="388"/>
        <v>0</v>
      </c>
      <c r="O621" s="369">
        <f t="shared" si="388"/>
        <v>0</v>
      </c>
      <c r="P621" s="369">
        <f t="shared" si="388"/>
        <v>0</v>
      </c>
      <c r="Q621" s="369">
        <f t="shared" si="388"/>
        <v>0</v>
      </c>
      <c r="R621" s="369">
        <f t="shared" si="388"/>
        <v>0</v>
      </c>
      <c r="S621" s="369">
        <f t="shared" si="388"/>
        <v>0</v>
      </c>
      <c r="T621" s="369">
        <f t="shared" si="388"/>
        <v>0</v>
      </c>
      <c r="U621" s="96">
        <f t="shared" si="388"/>
        <v>0</v>
      </c>
      <c r="V621" s="96">
        <f t="shared" si="388"/>
        <v>0</v>
      </c>
      <c r="W621" s="96">
        <f t="shared" si="388"/>
        <v>0</v>
      </c>
      <c r="X621" s="96">
        <f t="shared" si="388"/>
        <v>0</v>
      </c>
      <c r="Y621" s="96">
        <f t="shared" si="388"/>
        <v>0</v>
      </c>
      <c r="Z621" s="96">
        <f t="shared" si="388"/>
        <v>0</v>
      </c>
      <c r="AA621" s="96">
        <f t="shared" si="388"/>
        <v>0</v>
      </c>
      <c r="AB621" s="96">
        <f t="shared" si="388"/>
        <v>0</v>
      </c>
      <c r="AC621" s="96">
        <f t="shared" si="388"/>
        <v>0</v>
      </c>
      <c r="AD621" s="96">
        <f t="shared" si="388"/>
        <v>0</v>
      </c>
    </row>
    <row r="622" spans="5:30" ht="12" x14ac:dyDescent="0.2">
      <c r="F622" s="94" t="str">
        <f>STRAT10_IND5</f>
        <v>Objetivo estratégico 10 Indicador 5</v>
      </c>
      <c r="G622" s="94" t="str">
        <f ca="1">OFFSET(Variables_Lu!$D$10,Basic_Setup!H92,0)</f>
        <v>Nutrition-specific</v>
      </c>
      <c r="H622" s="354">
        <f t="shared" ref="H622:AD622" si="389">H545/EXCHANGE_RATE</f>
        <v>0</v>
      </c>
      <c r="I622" s="355">
        <f t="shared" si="389"/>
        <v>0</v>
      </c>
      <c r="J622" s="356">
        <f t="shared" si="389"/>
        <v>0</v>
      </c>
      <c r="K622" s="369">
        <f t="shared" si="389"/>
        <v>0</v>
      </c>
      <c r="L622" s="369">
        <f t="shared" si="389"/>
        <v>0</v>
      </c>
      <c r="M622" s="369">
        <f t="shared" si="389"/>
        <v>0</v>
      </c>
      <c r="N622" s="369">
        <f t="shared" si="389"/>
        <v>0</v>
      </c>
      <c r="O622" s="369">
        <f t="shared" si="389"/>
        <v>0</v>
      </c>
      <c r="P622" s="369">
        <f t="shared" si="389"/>
        <v>0</v>
      </c>
      <c r="Q622" s="369">
        <f t="shared" si="389"/>
        <v>0</v>
      </c>
      <c r="R622" s="369">
        <f t="shared" si="389"/>
        <v>0</v>
      </c>
      <c r="S622" s="369">
        <f t="shared" si="389"/>
        <v>0</v>
      </c>
      <c r="T622" s="369">
        <f t="shared" si="389"/>
        <v>0</v>
      </c>
      <c r="U622" s="96">
        <f t="shared" si="389"/>
        <v>0</v>
      </c>
      <c r="V622" s="96">
        <f t="shared" si="389"/>
        <v>0</v>
      </c>
      <c r="W622" s="96">
        <f t="shared" si="389"/>
        <v>0</v>
      </c>
      <c r="X622" s="96">
        <f t="shared" si="389"/>
        <v>0</v>
      </c>
      <c r="Y622" s="96">
        <f t="shared" si="389"/>
        <v>0</v>
      </c>
      <c r="Z622" s="96">
        <f t="shared" si="389"/>
        <v>0</v>
      </c>
      <c r="AA622" s="96">
        <f t="shared" si="389"/>
        <v>0</v>
      </c>
      <c r="AB622" s="96">
        <f t="shared" si="389"/>
        <v>0</v>
      </c>
      <c r="AC622" s="96">
        <f t="shared" si="389"/>
        <v>0</v>
      </c>
      <c r="AD622" s="96">
        <f t="shared" si="389"/>
        <v>0</v>
      </c>
    </row>
    <row r="623" spans="5:30" ht="12.75" customHeight="1" x14ac:dyDescent="0.2">
      <c r="F623" s="338" t="str">
        <f>"Subtotal: "&amp;E307</f>
        <v>Subtotal: Objetivo estratégico 10: [No está en uso]</v>
      </c>
      <c r="G623" s="333"/>
      <c r="H623" s="357">
        <f t="shared" ref="H623:AD623" si="390">H546/EXCHANGE_RATE</f>
        <v>0</v>
      </c>
      <c r="I623" s="358">
        <f t="shared" si="390"/>
        <v>0</v>
      </c>
      <c r="J623" s="358">
        <f t="shared" si="390"/>
        <v>0</v>
      </c>
      <c r="K623" s="370">
        <f t="shared" si="390"/>
        <v>0</v>
      </c>
      <c r="L623" s="370">
        <f t="shared" si="390"/>
        <v>0</v>
      </c>
      <c r="M623" s="370">
        <f t="shared" si="390"/>
        <v>0</v>
      </c>
      <c r="N623" s="370">
        <f t="shared" si="390"/>
        <v>0</v>
      </c>
      <c r="O623" s="370">
        <f t="shared" si="390"/>
        <v>0</v>
      </c>
      <c r="P623" s="370">
        <f t="shared" si="390"/>
        <v>0</v>
      </c>
      <c r="Q623" s="370">
        <f t="shared" si="390"/>
        <v>0</v>
      </c>
      <c r="R623" s="370">
        <f t="shared" si="390"/>
        <v>0</v>
      </c>
      <c r="S623" s="370">
        <f t="shared" si="390"/>
        <v>0</v>
      </c>
      <c r="T623" s="370">
        <f t="shared" si="390"/>
        <v>0</v>
      </c>
      <c r="U623" s="337">
        <f t="shared" si="390"/>
        <v>0</v>
      </c>
      <c r="V623" s="337">
        <f t="shared" si="390"/>
        <v>0</v>
      </c>
      <c r="W623" s="337">
        <f t="shared" si="390"/>
        <v>0</v>
      </c>
      <c r="X623" s="337">
        <f t="shared" si="390"/>
        <v>0</v>
      </c>
      <c r="Y623" s="337">
        <f t="shared" si="390"/>
        <v>0</v>
      </c>
      <c r="Z623" s="337">
        <f t="shared" si="390"/>
        <v>0</v>
      </c>
      <c r="AA623" s="337">
        <f t="shared" si="390"/>
        <v>0</v>
      </c>
      <c r="AB623" s="337">
        <f t="shared" si="390"/>
        <v>0</v>
      </c>
      <c r="AC623" s="337">
        <f t="shared" si="390"/>
        <v>0</v>
      </c>
      <c r="AD623" s="337">
        <f t="shared" si="390"/>
        <v>0</v>
      </c>
    </row>
    <row r="624" spans="5:30" ht="12" x14ac:dyDescent="0.2">
      <c r="F624" s="142" t="str">
        <f>"Total "&amp;" ("&amp;E240&amp;")"</f>
        <v>Total  (USD)</v>
      </c>
      <c r="G624" s="142"/>
      <c r="H624" s="360">
        <f t="shared" ref="H624:AD624" si="391">H547/EXCHANGE_RATE</f>
        <v>90753364.771992177</v>
      </c>
      <c r="I624" s="360">
        <f t="shared" si="391"/>
        <v>37465709.303660914</v>
      </c>
      <c r="J624" s="361">
        <f t="shared" si="391"/>
        <v>53287655.468331248</v>
      </c>
      <c r="K624" s="371">
        <f t="shared" si="391"/>
        <v>2374731.166675</v>
      </c>
      <c r="L624" s="371">
        <f t="shared" si="391"/>
        <v>272464.74191875005</v>
      </c>
      <c r="M624" s="371">
        <f t="shared" si="391"/>
        <v>715000</v>
      </c>
      <c r="N624" s="371">
        <f t="shared" si="391"/>
        <v>76537.262124999994</v>
      </c>
      <c r="O624" s="371">
        <f t="shared" si="391"/>
        <v>32927.408300000003</v>
      </c>
      <c r="P624" s="371">
        <f t="shared" si="391"/>
        <v>11572039.857362499</v>
      </c>
      <c r="Q624" s="371">
        <f t="shared" si="391"/>
        <v>1441271.5733</v>
      </c>
      <c r="R624" s="371">
        <f t="shared" si="391"/>
        <v>70855.45865</v>
      </c>
      <c r="S624" s="371">
        <f t="shared" si="391"/>
        <v>0</v>
      </c>
      <c r="T624" s="371">
        <f t="shared" si="391"/>
        <v>0</v>
      </c>
      <c r="U624" s="371">
        <f t="shared" si="391"/>
        <v>7608000</v>
      </c>
      <c r="V624" s="371">
        <f t="shared" si="391"/>
        <v>35000</v>
      </c>
      <c r="W624" s="371">
        <f t="shared" si="391"/>
        <v>24909278</v>
      </c>
      <c r="X624" s="371">
        <f t="shared" si="391"/>
        <v>354550</v>
      </c>
      <c r="Y624" s="371">
        <f t="shared" si="391"/>
        <v>3825000</v>
      </c>
      <c r="Z624" s="371">
        <f t="shared" si="391"/>
        <v>0</v>
      </c>
      <c r="AA624" s="371">
        <f t="shared" si="391"/>
        <v>0</v>
      </c>
      <c r="AB624" s="371">
        <f t="shared" si="391"/>
        <v>0</v>
      </c>
      <c r="AC624" s="371">
        <f t="shared" si="391"/>
        <v>0</v>
      </c>
      <c r="AD624" s="371">
        <f t="shared" si="391"/>
        <v>0</v>
      </c>
    </row>
    <row r="626" spans="1:30" s="1" customFormat="1" ht="17.399999999999999" x14ac:dyDescent="0.2">
      <c r="A626" s="35" t="s">
        <v>77</v>
      </c>
      <c r="B626" s="1" t="str">
        <f>"Detailed Report of Financial Requirements, Financing Available (by Contributor), and Financial Gap -"&amp;Ts_First_Fin_Yr+3</f>
        <v>Detailed Report of Financial Requirements, Financing Available (by Contributor), and Financial Gap -2022</v>
      </c>
      <c r="E626" s="304"/>
      <c r="F626" s="99"/>
      <c r="G626" s="99"/>
    </row>
    <row r="628" spans="1:30" ht="17.399999999999999" x14ac:dyDescent="0.2">
      <c r="E628" s="305" t="str">
        <f>CURR_LCU_ABBR</f>
        <v>GOZ</v>
      </c>
    </row>
    <row r="630" spans="1:30" ht="84" x14ac:dyDescent="0.2">
      <c r="E630" s="303" t="s">
        <v>140</v>
      </c>
      <c r="F630" s="10"/>
      <c r="G630" s="302" t="s">
        <v>482</v>
      </c>
      <c r="H630" s="340" t="s">
        <v>143</v>
      </c>
      <c r="I630" s="341" t="s">
        <v>565</v>
      </c>
      <c r="J630" s="342" t="s">
        <v>141</v>
      </c>
      <c r="K630" s="339" t="str">
        <f>Government1</f>
        <v>Ministerio de Agricultura y Ganadería</v>
      </c>
      <c r="L630" s="339" t="str">
        <f>Government2</f>
        <v>Ministerio de Energía y Minas</v>
      </c>
      <c r="M630" s="339" t="str">
        <f>Government3</f>
        <v>Ministerio de Educación Nacional, de Educación Superior e Investigación Científica</v>
      </c>
      <c r="N630" s="339" t="str">
        <f>Government4</f>
        <v>Ministerio de Medioambiente</v>
      </c>
      <c r="O630" s="339" t="str">
        <f>Government5</f>
        <v>Ministerio de Servicio Público</v>
      </c>
      <c r="P630" s="339" t="str">
        <f>Government6</f>
        <v>Ministerio de Salud Pública y Lucha contra el SIDA</v>
      </c>
      <c r="Q630" s="339" t="str">
        <f>Government7</f>
        <v xml:space="preserve">Ministerio de Derechos Humanos, Asuntos Sociales y Género </v>
      </c>
      <c r="R630" s="339" t="str">
        <f>Government8</f>
        <v>Ministerio de Desarrollo Municipal</v>
      </c>
      <c r="S630" s="339" t="str">
        <f>Government9</f>
        <v>[No está en uso]</v>
      </c>
      <c r="T630" s="339" t="str">
        <f>Government10</f>
        <v>[No está en uso]</v>
      </c>
      <c r="U630" s="97" t="str">
        <f>Partner1</f>
        <v>UNICEF</v>
      </c>
      <c r="V630" s="97" t="str">
        <f>Partner2</f>
        <v>Organización Mundial de la Salud</v>
      </c>
      <c r="W630" s="97" t="str">
        <f>Partner3</f>
        <v>Banco Mundial</v>
      </c>
      <c r="X630" s="97" t="str">
        <f>Partner4</f>
        <v>Organización de las Naciones Unidas para la Alimentación y la Agricultura</v>
      </c>
      <c r="Y630" s="97" t="str">
        <f>Partner5</f>
        <v>Programa Mundial de Alimentos</v>
      </c>
      <c r="Z630" s="97" t="str">
        <f>Partner6</f>
        <v>[No está en uso]</v>
      </c>
      <c r="AA630" s="97" t="str">
        <f>Partner7</f>
        <v>[No está en uso]</v>
      </c>
      <c r="AB630" s="97" t="str">
        <f>Partner8</f>
        <v>[No está en uso]</v>
      </c>
      <c r="AC630" s="97" t="str">
        <f>Partner9</f>
        <v>[No está en uso]</v>
      </c>
      <c r="AD630" s="97" t="str">
        <f>Partner10</f>
        <v>[No está en uso]</v>
      </c>
    </row>
    <row r="631" spans="1:30" x14ac:dyDescent="0.2">
      <c r="H631" s="372"/>
      <c r="I631" s="372"/>
      <c r="J631" s="372"/>
    </row>
    <row r="632" spans="1:30" ht="12" x14ac:dyDescent="0.2">
      <c r="E632" s="301" t="str">
        <f>Strategy1</f>
        <v>Objetivo estratégico 1: Fortalecer la gobernanza de la nutrición</v>
      </c>
      <c r="H632" s="343"/>
      <c r="I632" s="344"/>
      <c r="J632" s="345"/>
      <c r="K632" s="368"/>
      <c r="L632" s="368"/>
      <c r="M632" s="368"/>
      <c r="N632" s="368"/>
      <c r="O632" s="368"/>
      <c r="P632" s="368"/>
      <c r="Q632" s="368"/>
      <c r="R632" s="368"/>
      <c r="S632" s="368"/>
      <c r="T632" s="368"/>
      <c r="U632" s="179"/>
      <c r="V632" s="179"/>
      <c r="W632" s="179"/>
      <c r="X632" s="179"/>
      <c r="Y632" s="179"/>
      <c r="Z632" s="179"/>
      <c r="AA632" s="179"/>
      <c r="AB632" s="179"/>
      <c r="AC632" s="179"/>
      <c r="AD632" s="179"/>
    </row>
    <row r="633" spans="1:30" ht="12" x14ac:dyDescent="0.2">
      <c r="F633" s="94" t="str">
        <f>STRAT1_IND1</f>
        <v>Se refuerza la coordinación multisectorial en materia de nutrición</v>
      </c>
      <c r="G633" s="94" t="str">
        <f ca="1">OFFSET(Variables_Lu!$D$10,Basic_Setup!H34,0)</f>
        <v>Governance</v>
      </c>
      <c r="H633" s="346">
        <f>'Financial Req'!$M20</f>
        <v>260113675</v>
      </c>
      <c r="I633" s="347">
        <f>H633-J633</f>
        <v>-39446520.777198493</v>
      </c>
      <c r="J633" s="345">
        <f>SUM(K633:AD633)</f>
        <v>299560195.77719849</v>
      </c>
      <c r="K633" s="365">
        <f>Government1!$M20</f>
        <v>1709806.440006</v>
      </c>
      <c r="L633" s="365">
        <f>Government2!$M20</f>
        <v>196174.61418150002</v>
      </c>
      <c r="M633" s="365">
        <f>Government3!$M20</f>
        <v>514800</v>
      </c>
      <c r="N633" s="365">
        <f>Government4!$M20</f>
        <v>55106.828730000001</v>
      </c>
      <c r="O633" s="365">
        <f>Government5!$M20</f>
        <v>23707.733976</v>
      </c>
      <c r="P633" s="365">
        <f>Government6!$M20</f>
        <v>8331868.6973009994</v>
      </c>
      <c r="Q633" s="365">
        <f>Government7!$M20</f>
        <v>1037715.5327760001</v>
      </c>
      <c r="R633" s="365">
        <f>Government8!$M20</f>
        <v>51015.930227999997</v>
      </c>
      <c r="S633" s="365">
        <f>Government9!$M20</f>
        <v>0</v>
      </c>
      <c r="T633" s="365">
        <f>Government10!$M20</f>
        <v>0</v>
      </c>
      <c r="U633" s="179">
        <f>Partner1!$M91</f>
        <v>8640000</v>
      </c>
      <c r="V633" s="179">
        <f>Partner2!$M91</f>
        <v>9000000</v>
      </c>
      <c r="W633" s="179">
        <f>Partner3!$M91</f>
        <v>0</v>
      </c>
      <c r="X633" s="179">
        <f>Partner4!$M91</f>
        <v>0</v>
      </c>
      <c r="Y633" s="179">
        <f>Partner5!$M91</f>
        <v>270000000</v>
      </c>
      <c r="Z633" s="179">
        <f>Partner6!$M91</f>
        <v>0</v>
      </c>
      <c r="AA633" s="179">
        <f>Partner7!$M91</f>
        <v>0</v>
      </c>
      <c r="AB633" s="179">
        <f>Partner8!$M91</f>
        <v>0</v>
      </c>
      <c r="AC633" s="179">
        <f>Partner9!$M91</f>
        <v>0</v>
      </c>
      <c r="AD633" s="179">
        <f>Partner10!$M91</f>
        <v>0</v>
      </c>
    </row>
    <row r="634" spans="1:30" ht="22.8" x14ac:dyDescent="0.2">
      <c r="F634" s="94" t="str">
        <f>STRAT1_IND2</f>
        <v>Está en funcionamiento el sistema multisectorial de información sobre nutrición para la adopción de decisiones eficaces.</v>
      </c>
      <c r="G634" s="94" t="str">
        <f ca="1">OFFSET(Variables_Lu!$D$10,Basic_Setup!H35,0)</f>
        <v>Governance</v>
      </c>
      <c r="H634" s="346">
        <f>'Financial Req'!$M21</f>
        <v>260113675</v>
      </c>
      <c r="I634" s="347">
        <f>H634-J634</f>
        <v>246753479.22280151</v>
      </c>
      <c r="J634" s="345">
        <f>SUM(K634:AD634)</f>
        <v>13360195.777198501</v>
      </c>
      <c r="K634" s="365">
        <f>Government1!$M21</f>
        <v>1709806.440006</v>
      </c>
      <c r="L634" s="365">
        <f>Government2!$M21</f>
        <v>196174.61418150002</v>
      </c>
      <c r="M634" s="365">
        <f>Government3!$M21</f>
        <v>514800</v>
      </c>
      <c r="N634" s="365">
        <f>Government4!$M21</f>
        <v>55106.828730000001</v>
      </c>
      <c r="O634" s="365">
        <f>Government5!$M21</f>
        <v>23707.733976</v>
      </c>
      <c r="P634" s="365">
        <f>Government6!$M21</f>
        <v>8331868.6973009994</v>
      </c>
      <c r="Q634" s="365">
        <f>Government7!$M21</f>
        <v>1037715.5327760001</v>
      </c>
      <c r="R634" s="365">
        <f>Government8!$M21</f>
        <v>51015.930227999997</v>
      </c>
      <c r="S634" s="365">
        <f>Government9!$M21</f>
        <v>0</v>
      </c>
      <c r="T634" s="365">
        <f>Government10!$M21</f>
        <v>0</v>
      </c>
      <c r="U634" s="179">
        <f>Partner1!$M92</f>
        <v>1440000</v>
      </c>
      <c r="V634" s="179">
        <f>Partner2!$M92</f>
        <v>0</v>
      </c>
      <c r="W634" s="179">
        <f>Partner3!$M92</f>
        <v>0</v>
      </c>
      <c r="X634" s="179">
        <f>Partner4!$M92</f>
        <v>0</v>
      </c>
      <c r="Y634" s="179">
        <f>Partner5!$M92</f>
        <v>0</v>
      </c>
      <c r="Z634" s="179">
        <f>Partner6!$M92</f>
        <v>0</v>
      </c>
      <c r="AA634" s="179">
        <f>Partner7!$M92</f>
        <v>0</v>
      </c>
      <c r="AB634" s="179">
        <f>Partner8!$M92</f>
        <v>0</v>
      </c>
      <c r="AC634" s="179">
        <f>Partner9!$M92</f>
        <v>0</v>
      </c>
      <c r="AD634" s="179">
        <f>Partner10!$M92</f>
        <v>0</v>
      </c>
    </row>
    <row r="635" spans="1:30" ht="22.8" x14ac:dyDescent="0.2">
      <c r="F635" s="94" t="str">
        <f>STRAT1_IND3</f>
        <v>La investigación en nutrición se utiliza para aclarar que la toma de decisiones se mejora y se refuerza.</v>
      </c>
      <c r="G635" s="94" t="str">
        <f ca="1">OFFSET(Variables_Lu!$D$10,Basic_Setup!H36,0)</f>
        <v>Governance</v>
      </c>
      <c r="H635" s="346">
        <f>'Financial Req'!$M22</f>
        <v>260113675</v>
      </c>
      <c r="I635" s="347">
        <f>H635-J635</f>
        <v>245313479.22280151</v>
      </c>
      <c r="J635" s="345">
        <f>SUM(K635:AD635)</f>
        <v>14800195.777198501</v>
      </c>
      <c r="K635" s="365">
        <f>Government1!$M22</f>
        <v>1709806.440006</v>
      </c>
      <c r="L635" s="365">
        <f>Government2!$M22</f>
        <v>196174.61418150002</v>
      </c>
      <c r="M635" s="365">
        <f>Government3!$M22</f>
        <v>514800</v>
      </c>
      <c r="N635" s="365">
        <f>Government4!$M22</f>
        <v>55106.828730000001</v>
      </c>
      <c r="O635" s="365">
        <f>Government5!$M22</f>
        <v>23707.733976</v>
      </c>
      <c r="P635" s="365">
        <f>Government6!$M22</f>
        <v>8331868.6973009994</v>
      </c>
      <c r="Q635" s="365">
        <f>Government7!$M22</f>
        <v>1037715.5327760001</v>
      </c>
      <c r="R635" s="365">
        <f>Government8!$M22</f>
        <v>51015.930227999997</v>
      </c>
      <c r="S635" s="365">
        <f>Government9!$M22</f>
        <v>0</v>
      </c>
      <c r="T635" s="365">
        <f>Government10!$M22</f>
        <v>0</v>
      </c>
      <c r="U635" s="179">
        <f>Partner1!$M93</f>
        <v>2880000</v>
      </c>
      <c r="V635" s="179">
        <f>Partner2!$M93</f>
        <v>0</v>
      </c>
      <c r="W635" s="179">
        <f>Partner3!$M93</f>
        <v>0</v>
      </c>
      <c r="X635" s="179">
        <f>Partner4!$M93</f>
        <v>0</v>
      </c>
      <c r="Y635" s="179">
        <f>Partner5!$M93</f>
        <v>0</v>
      </c>
      <c r="Z635" s="179">
        <f>Partner6!$M93</f>
        <v>0</v>
      </c>
      <c r="AA635" s="179">
        <f>Partner7!$M93</f>
        <v>0</v>
      </c>
      <c r="AB635" s="179">
        <f>Partner8!$M93</f>
        <v>0</v>
      </c>
      <c r="AC635" s="179">
        <f>Partner9!$M93</f>
        <v>0</v>
      </c>
      <c r="AD635" s="179">
        <f>Partner10!$M93</f>
        <v>0</v>
      </c>
    </row>
    <row r="636" spans="1:30" ht="22.8" x14ac:dyDescent="0.2">
      <c r="F636" s="94" t="str">
        <f>STRAT1_IND4</f>
        <v>El marco legislativo y reglamentario de la nutrición se ha fortalecido y está en funcionamiento.</v>
      </c>
      <c r="G636" s="94" t="str">
        <f ca="1">OFFSET(Variables_Lu!$D$10,Basic_Setup!H37,0)</f>
        <v>Governance</v>
      </c>
      <c r="H636" s="346">
        <f>'Financial Req'!$M23</f>
        <v>260113675</v>
      </c>
      <c r="I636" s="347">
        <f>H636-J636</f>
        <v>246753479.22280151</v>
      </c>
      <c r="J636" s="345">
        <f>SUM(K636:AD636)</f>
        <v>13360195.777198501</v>
      </c>
      <c r="K636" s="365">
        <f>Government1!$M23</f>
        <v>1709806.440006</v>
      </c>
      <c r="L636" s="365">
        <f>Government2!$M23</f>
        <v>196174.61418150002</v>
      </c>
      <c r="M636" s="365">
        <f>Government3!$M23</f>
        <v>514800</v>
      </c>
      <c r="N636" s="365">
        <f>Government4!$M23</f>
        <v>55106.828730000001</v>
      </c>
      <c r="O636" s="365">
        <f>Government5!$M23</f>
        <v>23707.733976</v>
      </c>
      <c r="P636" s="365">
        <f>Government6!$M23</f>
        <v>8331868.6973009994</v>
      </c>
      <c r="Q636" s="365">
        <f>Government7!$M23</f>
        <v>1037715.5327760001</v>
      </c>
      <c r="R636" s="365">
        <f>Government8!$M23</f>
        <v>51015.930227999997</v>
      </c>
      <c r="S636" s="365">
        <f>Government9!$M23</f>
        <v>0</v>
      </c>
      <c r="T636" s="365">
        <f>Government10!$M23</f>
        <v>0</v>
      </c>
      <c r="U636" s="179">
        <f>Partner1!$M94</f>
        <v>1440000</v>
      </c>
      <c r="V636" s="179">
        <f>Partner2!$M94</f>
        <v>0</v>
      </c>
      <c r="W636" s="179">
        <f>Partner3!$M94</f>
        <v>0</v>
      </c>
      <c r="X636" s="179">
        <f>Partner4!$M94</f>
        <v>0</v>
      </c>
      <c r="Y636" s="179">
        <f>Partner5!$M94</f>
        <v>0</v>
      </c>
      <c r="Z636" s="179">
        <f>Partner6!$M94</f>
        <v>0</v>
      </c>
      <c r="AA636" s="179">
        <f>Partner7!$M94</f>
        <v>0</v>
      </c>
      <c r="AB636" s="179">
        <f>Partner8!$M94</f>
        <v>0</v>
      </c>
      <c r="AC636" s="179">
        <f>Partner9!$M94</f>
        <v>0</v>
      </c>
      <c r="AD636" s="179">
        <f>Partner10!$M94</f>
        <v>0</v>
      </c>
    </row>
    <row r="637" spans="1:30" ht="12" x14ac:dyDescent="0.2">
      <c r="F637" s="94" t="str">
        <f>STRAT1_IND5</f>
        <v>Objetivo estratégico 1 Indicador 5</v>
      </c>
      <c r="G637" s="94" t="str">
        <f ca="1">OFFSET(Variables_Lu!$D$10,Basic_Setup!H38,0)</f>
        <v>Governance</v>
      </c>
      <c r="H637" s="346">
        <f>'Financial Req'!$M24</f>
        <v>0</v>
      </c>
      <c r="I637" s="347">
        <f>H637-J637</f>
        <v>0</v>
      </c>
      <c r="J637" s="345">
        <f>SUM(K637:AD637)</f>
        <v>0</v>
      </c>
      <c r="K637" s="365">
        <f>Government1!$M24</f>
        <v>0</v>
      </c>
      <c r="L637" s="365">
        <f>Government2!$M24</f>
        <v>0</v>
      </c>
      <c r="M637" s="365">
        <f>Government3!$M24</f>
        <v>0</v>
      </c>
      <c r="N637" s="365">
        <f>Government4!$M24</f>
        <v>0</v>
      </c>
      <c r="O637" s="365">
        <f>Government5!$M24</f>
        <v>0</v>
      </c>
      <c r="P637" s="365">
        <f>Government6!$M24</f>
        <v>0</v>
      </c>
      <c r="Q637" s="365">
        <f>Government7!$M24</f>
        <v>0</v>
      </c>
      <c r="R637" s="365">
        <f>Government8!$M24</f>
        <v>0</v>
      </c>
      <c r="S637" s="365">
        <f>Government9!$M24</f>
        <v>0</v>
      </c>
      <c r="T637" s="365">
        <f>Government10!$M24</f>
        <v>0</v>
      </c>
      <c r="U637" s="179">
        <f>Partner1!$M95</f>
        <v>0</v>
      </c>
      <c r="V637" s="179">
        <f>Partner2!$M95</f>
        <v>0</v>
      </c>
      <c r="W637" s="179">
        <f>Partner3!$M95</f>
        <v>0</v>
      </c>
      <c r="X637" s="179">
        <f>Partner4!$M95</f>
        <v>0</v>
      </c>
      <c r="Y637" s="179">
        <f>Partner5!$M95</f>
        <v>0</v>
      </c>
      <c r="Z637" s="179">
        <f>Partner6!$M95</f>
        <v>0</v>
      </c>
      <c r="AA637" s="179">
        <f>Partner7!$M95</f>
        <v>0</v>
      </c>
      <c r="AB637" s="179">
        <f>Partner8!$M95</f>
        <v>0</v>
      </c>
      <c r="AC637" s="179">
        <f>Partner9!$M95</f>
        <v>0</v>
      </c>
      <c r="AD637" s="179">
        <f>Partner10!$M95</f>
        <v>0</v>
      </c>
    </row>
    <row r="638" spans="1:30" ht="22.8" x14ac:dyDescent="0.2">
      <c r="F638" s="332" t="str">
        <f>"Subtotal: "&amp;E167</f>
        <v>Subtotal: Objetivo estratégico 1: Fortalecer la gobernanza de la nutrición</v>
      </c>
      <c r="G638" s="333"/>
      <c r="H638" s="348">
        <f>'Financial Req'!$M25</f>
        <v>1040454700</v>
      </c>
      <c r="I638" s="349">
        <f>SUM(I633:I637)</f>
        <v>699373916.89120603</v>
      </c>
      <c r="J638" s="350">
        <f>SUM(J633:J637)</f>
        <v>341080783.10879397</v>
      </c>
      <c r="K638" s="366">
        <f>Government1!$M25</f>
        <v>6839225.760024</v>
      </c>
      <c r="L638" s="366">
        <f>Government2!$M25</f>
        <v>784698.45672600006</v>
      </c>
      <c r="M638" s="366">
        <f>Government3!$M25</f>
        <v>2059200</v>
      </c>
      <c r="N638" s="366">
        <f>Government4!$M25</f>
        <v>220427.31492</v>
      </c>
      <c r="O638" s="366">
        <f>Government5!$M25</f>
        <v>94830.935903999998</v>
      </c>
      <c r="P638" s="366">
        <f>Government6!$M25</f>
        <v>33327474.789203998</v>
      </c>
      <c r="Q638" s="366">
        <f>Government7!$M25</f>
        <v>4150862.1311040004</v>
      </c>
      <c r="R638" s="366">
        <f>Government8!$M25</f>
        <v>204063.72091199999</v>
      </c>
      <c r="S638" s="366">
        <f>Government9!$M25</f>
        <v>0</v>
      </c>
      <c r="T638" s="366">
        <f>Government10!$M25</f>
        <v>0</v>
      </c>
      <c r="U638" s="331">
        <f>Partner1!$M96</f>
        <v>14400000</v>
      </c>
      <c r="V638" s="331">
        <f>Partner2!$M96</f>
        <v>9000000</v>
      </c>
      <c r="W638" s="331">
        <f>Partner3!$M96</f>
        <v>0</v>
      </c>
      <c r="X638" s="331">
        <f>Partner4!$M96</f>
        <v>0</v>
      </c>
      <c r="Y638" s="331">
        <f>Partner5!$M96</f>
        <v>270000000</v>
      </c>
      <c r="Z638" s="331">
        <f>Partner6!$M96</f>
        <v>0</v>
      </c>
      <c r="AA638" s="331">
        <f>Partner7!$M96</f>
        <v>0</v>
      </c>
      <c r="AB638" s="331">
        <f>Partner8!$M96</f>
        <v>0</v>
      </c>
      <c r="AC638" s="331">
        <f>Partner9!$M96</f>
        <v>0</v>
      </c>
      <c r="AD638" s="331">
        <f>Partner10!$M96</f>
        <v>0</v>
      </c>
    </row>
    <row r="639" spans="1:30" ht="12" x14ac:dyDescent="0.2">
      <c r="E639" s="301" t="str">
        <f>Strategy2</f>
        <v>Objetivo estratégico 2: Fortalecer el acceso al tratamiento y a los servicios de salud y nutrición de calidad, así como al tratamiento de todas las formas de malnutrición</v>
      </c>
      <c r="G639" s="94"/>
      <c r="H639" s="343"/>
      <c r="I639" s="344"/>
      <c r="J639" s="345"/>
      <c r="K639" s="365"/>
      <c r="L639" s="365"/>
      <c r="M639" s="365"/>
      <c r="N639" s="365"/>
      <c r="O639" s="365"/>
      <c r="P639" s="365"/>
      <c r="Q639" s="365"/>
      <c r="R639" s="365"/>
      <c r="S639" s="365"/>
      <c r="T639" s="365"/>
      <c r="U639" s="179"/>
      <c r="V639" s="179"/>
      <c r="W639" s="179"/>
      <c r="X639" s="179"/>
      <c r="Y639" s="179"/>
      <c r="Z639" s="179"/>
      <c r="AA639" s="179"/>
      <c r="AB639" s="179"/>
      <c r="AC639" s="179"/>
      <c r="AD639" s="179"/>
    </row>
    <row r="640" spans="1:30" ht="34.200000000000003" x14ac:dyDescent="0.2">
      <c r="F640" s="94" t="str">
        <f>STRAT2_IND1</f>
        <v>Se fortalece el acceso y la utilización sostenible de los servicios de salud y nutrición para los niños menores de 5 años, los adolescentes, las mujeres embarazadas y lactantes, y los demás grupos vulnerables</v>
      </c>
      <c r="G640" s="94" t="str">
        <f ca="1">OFFSET(Variables_Lu!$D$10,Basic_Setup!H40,0)</f>
        <v>Nutrition-specific</v>
      </c>
      <c r="H640" s="346">
        <f>'Financial Req'!$M26</f>
        <v>7947117240.1621332</v>
      </c>
      <c r="I640" s="347">
        <f>H640-J640</f>
        <v>-783659786.38128757</v>
      </c>
      <c r="J640" s="345">
        <f>SUM(K640:AD640)</f>
        <v>8730777026.5434208</v>
      </c>
      <c r="K640" s="365">
        <f>Government1!$M26</f>
        <v>90477257.450317502</v>
      </c>
      <c r="L640" s="365">
        <f>Government2!$M26</f>
        <v>10380906.667104376</v>
      </c>
      <c r="M640" s="365">
        <f>Government3!$M26</f>
        <v>27241500</v>
      </c>
      <c r="N640" s="365">
        <f>Government4!$M26</f>
        <v>2916069.6869624997</v>
      </c>
      <c r="O640" s="365">
        <f>Government5!$M26</f>
        <v>1254534.2562299999</v>
      </c>
      <c r="P640" s="365">
        <f>Government6!$M26</f>
        <v>440894718.56551123</v>
      </c>
      <c r="Q640" s="365">
        <f>Government7!$M26</f>
        <v>54912446.942730002</v>
      </c>
      <c r="R640" s="365">
        <f>Government8!$M26</f>
        <v>2699592.9745649998</v>
      </c>
      <c r="S640" s="365">
        <f>Government9!$M26</f>
        <v>0</v>
      </c>
      <c r="T640" s="365">
        <f>Government10!$M26</f>
        <v>0</v>
      </c>
      <c r="U640" s="179">
        <f>Partner1!$M97</f>
        <v>5400000000</v>
      </c>
      <c r="V640" s="179">
        <f>Partner2!$M97</f>
        <v>0</v>
      </c>
      <c r="W640" s="179">
        <f>Partner3!$M97</f>
        <v>0</v>
      </c>
      <c r="X640" s="179">
        <f>Partner4!$M97</f>
        <v>0</v>
      </c>
      <c r="Y640" s="179">
        <f>Partner5!$M97</f>
        <v>2700000000</v>
      </c>
      <c r="Z640" s="179">
        <f>Partner6!$M97</f>
        <v>0</v>
      </c>
      <c r="AA640" s="179">
        <f>Partner7!$M97</f>
        <v>0</v>
      </c>
      <c r="AB640" s="179">
        <f>Partner8!$M97</f>
        <v>0</v>
      </c>
      <c r="AC640" s="179">
        <f>Partner9!$M97</f>
        <v>0</v>
      </c>
      <c r="AD640" s="179">
        <f>Partner10!$M97</f>
        <v>0</v>
      </c>
    </row>
    <row r="641" spans="5:30" ht="45.6" x14ac:dyDescent="0.2">
      <c r="F641" s="94" t="str">
        <f>STRAT2_IND2</f>
        <v xml:space="preserve">Se reduce la prevalencia de enfermedades relacionadas con la prevalencia de la malnutrición (paludismo, diarrea, neumonía, parásitos intestinales, VIH, TNM) en lactantes, adolescentes y mujeres en edad reproductiva. </v>
      </c>
      <c r="G641" s="94" t="str">
        <f ca="1">OFFSET(Variables_Lu!$D$10,Basic_Setup!H41,0)</f>
        <v>Nutrition-sensitive</v>
      </c>
      <c r="H641" s="346">
        <f>'Financial Req'!$M27</f>
        <v>7947117240.1621332</v>
      </c>
      <c r="I641" s="347">
        <f>H641-J641</f>
        <v>6407340213.6187124</v>
      </c>
      <c r="J641" s="345">
        <f>SUM(K641:AD641)</f>
        <v>1539777026.5434206</v>
      </c>
      <c r="K641" s="365">
        <f>Government1!$M27</f>
        <v>90477257.450317502</v>
      </c>
      <c r="L641" s="365">
        <f>Government2!$M27</f>
        <v>10380906.667104376</v>
      </c>
      <c r="M641" s="365">
        <f>Government3!$M27</f>
        <v>27241500</v>
      </c>
      <c r="N641" s="365">
        <f>Government4!$M27</f>
        <v>2916069.6869624997</v>
      </c>
      <c r="O641" s="365">
        <f>Government5!$M27</f>
        <v>1254534.2562299999</v>
      </c>
      <c r="P641" s="365">
        <f>Government6!$M27</f>
        <v>440894718.56551123</v>
      </c>
      <c r="Q641" s="365">
        <f>Government7!$M27</f>
        <v>54912446.942730002</v>
      </c>
      <c r="R641" s="365">
        <f>Government8!$M27</f>
        <v>2699592.9745649998</v>
      </c>
      <c r="S641" s="365">
        <f>Government9!$M27</f>
        <v>0</v>
      </c>
      <c r="T641" s="365">
        <f>Government10!$M27</f>
        <v>0</v>
      </c>
      <c r="U641" s="179">
        <f>Partner1!$M98</f>
        <v>900000000</v>
      </c>
      <c r="V641" s="179">
        <f>Partner2!$M98</f>
        <v>9000000</v>
      </c>
      <c r="W641" s="179">
        <f>Partner3!$M98</f>
        <v>0</v>
      </c>
      <c r="X641" s="179">
        <f>Partner4!$M98</f>
        <v>0</v>
      </c>
      <c r="Y641" s="179">
        <f>Partner5!$M98</f>
        <v>0</v>
      </c>
      <c r="Z641" s="179">
        <f>Partner6!$M98</f>
        <v>0</v>
      </c>
      <c r="AA641" s="179">
        <f>Partner7!$M98</f>
        <v>0</v>
      </c>
      <c r="AB641" s="179">
        <f>Partner8!$M98</f>
        <v>0</v>
      </c>
      <c r="AC641" s="179">
        <f>Partner9!$M98</f>
        <v>0</v>
      </c>
      <c r="AD641" s="179">
        <f>Partner10!$M98</f>
        <v>0</v>
      </c>
    </row>
    <row r="642" spans="5:30" ht="12" x14ac:dyDescent="0.2">
      <c r="F642" s="94" t="str">
        <f>STRAT2_IND3</f>
        <v>Se refuerzan las intervenciones comunitarias en materia de nutrición.</v>
      </c>
      <c r="G642" s="94" t="str">
        <f ca="1">OFFSET(Variables_Lu!$D$10,Basic_Setup!H42,0)</f>
        <v>Nutrition-specific</v>
      </c>
      <c r="H642" s="346">
        <f>'Financial Req'!$M28</f>
        <v>7947117240.1621332</v>
      </c>
      <c r="I642" s="347">
        <f>H642-J642</f>
        <v>4976340213.6187124</v>
      </c>
      <c r="J642" s="345">
        <f>SUM(K642:AD642)</f>
        <v>2970777026.5434208</v>
      </c>
      <c r="K642" s="365">
        <f>Government1!$M28</f>
        <v>90477257.450317502</v>
      </c>
      <c r="L642" s="365">
        <f>Government2!$M28</f>
        <v>10380906.667104376</v>
      </c>
      <c r="M642" s="365">
        <f>Government3!$M28</f>
        <v>27241500</v>
      </c>
      <c r="N642" s="365">
        <f>Government4!$M28</f>
        <v>2916069.6869624997</v>
      </c>
      <c r="O642" s="365">
        <f>Government5!$M28</f>
        <v>1254534.2562299999</v>
      </c>
      <c r="P642" s="365">
        <f>Government6!$M28</f>
        <v>440894718.56551123</v>
      </c>
      <c r="Q642" s="365">
        <f>Government7!$M28</f>
        <v>54912446.942730002</v>
      </c>
      <c r="R642" s="365">
        <f>Government8!$M28</f>
        <v>2699592.9745649998</v>
      </c>
      <c r="S642" s="365">
        <f>Government9!$M28</f>
        <v>0</v>
      </c>
      <c r="T642" s="365">
        <f>Government10!$M28</f>
        <v>0</v>
      </c>
      <c r="U642" s="179">
        <f>Partner1!$M99</f>
        <v>2340000000</v>
      </c>
      <c r="V642" s="179">
        <f>Partner2!$M99</f>
        <v>0</v>
      </c>
      <c r="W642" s="179">
        <f>Partner3!$M99</f>
        <v>0</v>
      </c>
      <c r="X642" s="179">
        <f>Partner4!$M99</f>
        <v>0</v>
      </c>
      <c r="Y642" s="179">
        <f>Partner5!$M99</f>
        <v>0</v>
      </c>
      <c r="Z642" s="179">
        <f>Partner6!$M99</f>
        <v>0</v>
      </c>
      <c r="AA642" s="179">
        <f>Partner7!$M99</f>
        <v>0</v>
      </c>
      <c r="AB642" s="179">
        <f>Partner8!$M99</f>
        <v>0</v>
      </c>
      <c r="AC642" s="179">
        <f>Partner9!$M99</f>
        <v>0</v>
      </c>
      <c r="AD642" s="179">
        <f>Partner10!$M99</f>
        <v>0</v>
      </c>
    </row>
    <row r="643" spans="5:30" ht="12" x14ac:dyDescent="0.2">
      <c r="F643" s="94" t="str">
        <f>STRAT2_IND4</f>
        <v>Objetivo estratégico 2 Indicador 4</v>
      </c>
      <c r="G643" s="94" t="str">
        <f ca="1">OFFSET(Variables_Lu!$D$10,Basic_Setup!H43,0)</f>
        <v>Nutrition-specific</v>
      </c>
      <c r="H643" s="346">
        <f>'Financial Req'!$M29</f>
        <v>0</v>
      </c>
      <c r="I643" s="347">
        <f>H643-J643</f>
        <v>0</v>
      </c>
      <c r="J643" s="345">
        <f>SUM(K643:AD643)</f>
        <v>0</v>
      </c>
      <c r="K643" s="365">
        <f>Government1!$M29</f>
        <v>0</v>
      </c>
      <c r="L643" s="365">
        <f>Government2!$M29</f>
        <v>0</v>
      </c>
      <c r="M643" s="365">
        <f>Government3!$M29</f>
        <v>0</v>
      </c>
      <c r="N643" s="365">
        <f>Government4!$M29</f>
        <v>0</v>
      </c>
      <c r="O643" s="365">
        <f>Government5!$M29</f>
        <v>0</v>
      </c>
      <c r="P643" s="365">
        <f>Government6!$M29</f>
        <v>0</v>
      </c>
      <c r="Q643" s="365">
        <f>Government7!$M29</f>
        <v>0</v>
      </c>
      <c r="R643" s="365">
        <f>Government8!$M29</f>
        <v>0</v>
      </c>
      <c r="S643" s="365">
        <f>Government9!$M29</f>
        <v>0</v>
      </c>
      <c r="T643" s="365">
        <f>Government10!$M29</f>
        <v>0</v>
      </c>
      <c r="U643" s="179">
        <f>Partner1!$M100</f>
        <v>0</v>
      </c>
      <c r="V643" s="179">
        <f>Partner2!$M100</f>
        <v>0</v>
      </c>
      <c r="W643" s="179">
        <f>Partner3!$M100</f>
        <v>0</v>
      </c>
      <c r="X643" s="179">
        <f>Partner4!$M100</f>
        <v>0</v>
      </c>
      <c r="Y643" s="179">
        <f>Partner5!$M100</f>
        <v>0</v>
      </c>
      <c r="Z643" s="179">
        <f>Partner6!$M100</f>
        <v>0</v>
      </c>
      <c r="AA643" s="179">
        <f>Partner7!$M100</f>
        <v>0</v>
      </c>
      <c r="AB643" s="179">
        <f>Partner8!$M100</f>
        <v>0</v>
      </c>
      <c r="AC643" s="179">
        <f>Partner9!$M100</f>
        <v>0</v>
      </c>
      <c r="AD643" s="179">
        <f>Partner10!$M100</f>
        <v>0</v>
      </c>
    </row>
    <row r="644" spans="5:30" ht="12" x14ac:dyDescent="0.2">
      <c r="F644" s="94" t="str">
        <f>STRAT2_IND5</f>
        <v>Objetivo estratégico 2 Indicador 5</v>
      </c>
      <c r="G644" s="94" t="str">
        <f ca="1">OFFSET(Variables_Lu!$D$10,Basic_Setup!H44,0)</f>
        <v>Nutrition-specific</v>
      </c>
      <c r="H644" s="346">
        <f>'Financial Req'!$M30</f>
        <v>0</v>
      </c>
      <c r="I644" s="347">
        <f>H644-J644</f>
        <v>0</v>
      </c>
      <c r="J644" s="345">
        <f>SUM(K644:AD644)</f>
        <v>0</v>
      </c>
      <c r="K644" s="365">
        <f>Government1!$M30</f>
        <v>0</v>
      </c>
      <c r="L644" s="365">
        <f>Government2!$M30</f>
        <v>0</v>
      </c>
      <c r="M644" s="365">
        <f>Government3!$M30</f>
        <v>0</v>
      </c>
      <c r="N644" s="365">
        <f>Government4!$M30</f>
        <v>0</v>
      </c>
      <c r="O644" s="365">
        <f>Government5!$M30</f>
        <v>0</v>
      </c>
      <c r="P644" s="365">
        <f>Government6!$M30</f>
        <v>0</v>
      </c>
      <c r="Q644" s="365">
        <f>Government7!$M30</f>
        <v>0</v>
      </c>
      <c r="R644" s="365">
        <f>Government8!$M30</f>
        <v>0</v>
      </c>
      <c r="S644" s="365">
        <f>Government9!$M30</f>
        <v>0</v>
      </c>
      <c r="T644" s="365">
        <f>Government10!$M30</f>
        <v>0</v>
      </c>
      <c r="U644" s="179">
        <f>Partner1!$M101</f>
        <v>0</v>
      </c>
      <c r="V644" s="179">
        <f>Partner2!$M101</f>
        <v>0</v>
      </c>
      <c r="W644" s="179">
        <f>Partner3!$M101</f>
        <v>0</v>
      </c>
      <c r="X644" s="179">
        <f>Partner4!$M101</f>
        <v>0</v>
      </c>
      <c r="Y644" s="179">
        <f>Partner5!$M101</f>
        <v>0</v>
      </c>
      <c r="Z644" s="179">
        <f>Partner6!$M101</f>
        <v>0</v>
      </c>
      <c r="AA644" s="179">
        <f>Partner7!$M101</f>
        <v>0</v>
      </c>
      <c r="AB644" s="179">
        <f>Partner8!$M101</f>
        <v>0</v>
      </c>
      <c r="AC644" s="179">
        <f>Partner9!$M101</f>
        <v>0</v>
      </c>
      <c r="AD644" s="179">
        <f>Partner10!$M101</f>
        <v>0</v>
      </c>
    </row>
    <row r="645" spans="5:30" ht="34.200000000000003" x14ac:dyDescent="0.2">
      <c r="F645" s="332" t="str">
        <f>"Subtotal: "&amp;E174</f>
        <v>Subtotal: Objetivo estratégico 2: Fortalecer el acceso al tratamiento y a los servicios de salud y nutrición de calidad, así como al tratamiento de todas las formas de malnutrición</v>
      </c>
      <c r="G645" s="333"/>
      <c r="H645" s="348">
        <f>'Financial Req'!$M31</f>
        <v>23841351720.486401</v>
      </c>
      <c r="I645" s="349">
        <f>SUM(I640:I644)</f>
        <v>10600020640.856136</v>
      </c>
      <c r="J645" s="350">
        <f>SUM(J640:J644)</f>
        <v>13241331079.630262</v>
      </c>
      <c r="K645" s="366">
        <f>Government1!$M31</f>
        <v>271431772.35095251</v>
      </c>
      <c r="L645" s="366">
        <f>Government2!$M31</f>
        <v>31142720.001313128</v>
      </c>
      <c r="M645" s="366">
        <f>Government3!$M31</f>
        <v>81724500</v>
      </c>
      <c r="N645" s="366">
        <f>Government4!$M31</f>
        <v>8748209.0608874988</v>
      </c>
      <c r="O645" s="366">
        <f>Government5!$M31</f>
        <v>3763602.7686899998</v>
      </c>
      <c r="P645" s="366">
        <f>Government6!$M31</f>
        <v>1322684155.6965337</v>
      </c>
      <c r="Q645" s="366">
        <f>Government7!$M31</f>
        <v>164737340.82819</v>
      </c>
      <c r="R645" s="366">
        <f>Government8!$M31</f>
        <v>8098778.9236949999</v>
      </c>
      <c r="S645" s="366">
        <f>Government9!$M31</f>
        <v>0</v>
      </c>
      <c r="T645" s="366">
        <f>Government10!$M31</f>
        <v>0</v>
      </c>
      <c r="U645" s="331">
        <f>Partner1!$M102</f>
        <v>8640000000</v>
      </c>
      <c r="V645" s="331">
        <f>Partner2!$M102</f>
        <v>9000000</v>
      </c>
      <c r="W645" s="331">
        <f>Partner3!$M102</f>
        <v>0</v>
      </c>
      <c r="X645" s="331">
        <f>Partner4!$M102</f>
        <v>0</v>
      </c>
      <c r="Y645" s="331">
        <f>Partner5!$M102</f>
        <v>2700000000</v>
      </c>
      <c r="Z645" s="331">
        <f>Partner6!$M102</f>
        <v>0</v>
      </c>
      <c r="AA645" s="331">
        <f>Partner7!$M102</f>
        <v>0</v>
      </c>
      <c r="AB645" s="331">
        <f>Partner8!$M102</f>
        <v>0</v>
      </c>
      <c r="AC645" s="331">
        <f>Partner9!$M102</f>
        <v>0</v>
      </c>
      <c r="AD645" s="331">
        <f>Partner10!$M102</f>
        <v>0</v>
      </c>
    </row>
    <row r="646" spans="5:30" ht="12" x14ac:dyDescent="0.2">
      <c r="E646" s="301" t="str">
        <f>Strategy3</f>
        <v>Objetivo estratégico 3: Aumentar la disponibilidad y el acceso a alimentos nutritivos de alto valor, seguros y diversificados</v>
      </c>
      <c r="G646" s="94"/>
      <c r="H646" s="343"/>
      <c r="I646" s="344"/>
      <c r="J646" s="345"/>
      <c r="K646" s="365"/>
      <c r="L646" s="365"/>
      <c r="M646" s="365"/>
      <c r="N646" s="365"/>
      <c r="O646" s="365"/>
      <c r="P646" s="365"/>
      <c r="Q646" s="365"/>
      <c r="R646" s="365"/>
      <c r="S646" s="365"/>
      <c r="T646" s="365"/>
      <c r="U646" s="179"/>
      <c r="V646" s="179"/>
      <c r="W646" s="179"/>
      <c r="X646" s="179"/>
      <c r="Y646" s="179"/>
      <c r="Z646" s="179"/>
      <c r="AA646" s="179"/>
      <c r="AB646" s="179"/>
      <c r="AC646" s="179"/>
      <c r="AD646" s="179"/>
    </row>
    <row r="647" spans="5:30" ht="33" customHeight="1" x14ac:dyDescent="0.2">
      <c r="F647" s="94" t="str">
        <f>STRAT3_IND1</f>
        <v xml:space="preserve">Aumenta la disponibilidad y el acceso a alimentos de alto valor nutritivo en los hogares. </v>
      </c>
      <c r="G647" s="94" t="str">
        <f ca="1">OFFSET(Variables_Lu!$D$10,Basic_Setup!H46,0)</f>
        <v>Nutrition-specific</v>
      </c>
      <c r="H647" s="346">
        <f>'Financial Req'!$M32</f>
        <v>42199217977.879448</v>
      </c>
      <c r="I647" s="347">
        <f>H647-J647</f>
        <v>33615155470.297485</v>
      </c>
      <c r="J647" s="345">
        <f>SUM(K647:AD647)</f>
        <v>8584062507.5819616</v>
      </c>
      <c r="K647" s="365">
        <f>Government1!$M32</f>
        <v>1069911379.8337545</v>
      </c>
      <c r="L647" s="365">
        <f>Government2!$M32</f>
        <v>122756264.82407364</v>
      </c>
      <c r="M647" s="365">
        <f>Government3!$M32</f>
        <v>322136100</v>
      </c>
      <c r="N647" s="365">
        <f>Government4!$M32</f>
        <v>34483098.077797502</v>
      </c>
      <c r="O647" s="365">
        <f>Government5!$M32</f>
        <v>14835114.535482001</v>
      </c>
      <c r="P647" s="365">
        <f>Government6!$M32</f>
        <v>5213666837.3361006</v>
      </c>
      <c r="Q647" s="365">
        <f>Government7!$M32</f>
        <v>649350494.63458204</v>
      </c>
      <c r="R647" s="365">
        <f>Government8!$M32</f>
        <v>31923218.340171002</v>
      </c>
      <c r="S647" s="365">
        <f>Government9!$M32</f>
        <v>0</v>
      </c>
      <c r="T647" s="365">
        <f>Government10!$M32</f>
        <v>0</v>
      </c>
      <c r="U647" s="179">
        <f>Partner1!$M103</f>
        <v>0</v>
      </c>
      <c r="V647" s="179">
        <f>Partner2!$M103</f>
        <v>0</v>
      </c>
      <c r="W647" s="179">
        <f>Partner3!$M103</f>
        <v>0</v>
      </c>
      <c r="X647" s="179">
        <f>Partner4!$M103</f>
        <v>0</v>
      </c>
      <c r="Y647" s="179">
        <f>Partner5!$M103</f>
        <v>1125000000</v>
      </c>
      <c r="Z647" s="179">
        <f>Partner6!$M103</f>
        <v>0</v>
      </c>
      <c r="AA647" s="179">
        <f>Partner7!$M103</f>
        <v>0</v>
      </c>
      <c r="AB647" s="179">
        <f>Partner8!$M103</f>
        <v>0</v>
      </c>
      <c r="AC647" s="179">
        <f>Partner9!$M103</f>
        <v>0</v>
      </c>
      <c r="AD647" s="179">
        <f>Partner10!$M103</f>
        <v>0</v>
      </c>
    </row>
    <row r="648" spans="5:30" ht="13.5" customHeight="1" x14ac:dyDescent="0.2">
      <c r="F648" s="94" t="str">
        <f>STRAT3_IND2</f>
        <v xml:space="preserve"> La seguridad alimentaria está garantizada para toda la nación.</v>
      </c>
      <c r="G648" s="94" t="str">
        <f ca="1">OFFSET(Variables_Lu!$D$10,Basic_Setup!H47,0)</f>
        <v>Nutrition-sensitive</v>
      </c>
      <c r="H648" s="346">
        <f>'Financial Req'!$M33</f>
        <v>42199217977.879448</v>
      </c>
      <c r="I648" s="347">
        <f>H648-J648</f>
        <v>34740155470.297485</v>
      </c>
      <c r="J648" s="345">
        <f>SUM(K648:AD648)</f>
        <v>7459062507.5819616</v>
      </c>
      <c r="K648" s="365">
        <f>Government1!$M33</f>
        <v>1069911379.8337545</v>
      </c>
      <c r="L648" s="365">
        <f>Government2!$M33</f>
        <v>122756264.82407364</v>
      </c>
      <c r="M648" s="365">
        <f>Government3!$M33</f>
        <v>322136100</v>
      </c>
      <c r="N648" s="365">
        <f>Government4!$M33</f>
        <v>34483098.077797502</v>
      </c>
      <c r="O648" s="365">
        <f>Government5!$M33</f>
        <v>14835114.535482001</v>
      </c>
      <c r="P648" s="365">
        <f>Government6!$M33</f>
        <v>5213666837.3361006</v>
      </c>
      <c r="Q648" s="365">
        <f>Government7!$M33</f>
        <v>649350494.63458204</v>
      </c>
      <c r="R648" s="365">
        <f>Government8!$M33</f>
        <v>31923218.340171002</v>
      </c>
      <c r="S648" s="365">
        <f>Government9!$M33</f>
        <v>0</v>
      </c>
      <c r="T648" s="365">
        <f>Government10!$M33</f>
        <v>0</v>
      </c>
      <c r="U648" s="179">
        <f>Partner1!$M104</f>
        <v>0</v>
      </c>
      <c r="V648" s="179">
        <f>Partner2!$M104</f>
        <v>0</v>
      </c>
      <c r="W648" s="179">
        <f>Partner3!$M104</f>
        <v>0</v>
      </c>
      <c r="X648" s="179">
        <f>Partner4!$M104</f>
        <v>0</v>
      </c>
      <c r="Y648" s="179">
        <f>Partner5!$M104</f>
        <v>0</v>
      </c>
      <c r="Z648" s="179">
        <f>Partner6!$M104</f>
        <v>0</v>
      </c>
      <c r="AA648" s="179">
        <f>Partner7!$M104</f>
        <v>0</v>
      </c>
      <c r="AB648" s="179">
        <f>Partner8!$M104</f>
        <v>0</v>
      </c>
      <c r="AC648" s="179">
        <f>Partner9!$M104</f>
        <v>0</v>
      </c>
      <c r="AD648" s="179">
        <f>Partner10!$M104</f>
        <v>0</v>
      </c>
    </row>
    <row r="649" spans="5:30" ht="12" x14ac:dyDescent="0.2">
      <c r="F649" s="94" t="str">
        <f>STRAT3_IND3</f>
        <v>Objetivo estratégico 3 Indicador 3</v>
      </c>
      <c r="G649" s="94" t="str">
        <f ca="1">OFFSET(Variables_Lu!$D$10,Basic_Setup!H48,0)</f>
        <v>Nutrition-specific</v>
      </c>
      <c r="H649" s="346">
        <f>'Financial Req'!$M34</f>
        <v>0</v>
      </c>
      <c r="I649" s="347">
        <f>H649-J649</f>
        <v>0</v>
      </c>
      <c r="J649" s="345">
        <f>SUM(K649:AD649)</f>
        <v>0</v>
      </c>
      <c r="K649" s="365">
        <f>Government1!$M34</f>
        <v>0</v>
      </c>
      <c r="L649" s="365">
        <f>Government2!$M34</f>
        <v>0</v>
      </c>
      <c r="M649" s="365">
        <f>Government3!$M34</f>
        <v>0</v>
      </c>
      <c r="N649" s="365">
        <f>Government4!$M34</f>
        <v>0</v>
      </c>
      <c r="O649" s="365">
        <f>Government5!$M34</f>
        <v>0</v>
      </c>
      <c r="P649" s="365">
        <f>Government6!$M34</f>
        <v>0</v>
      </c>
      <c r="Q649" s="365">
        <f>Government7!$M34</f>
        <v>0</v>
      </c>
      <c r="R649" s="365">
        <f>Government8!$M34</f>
        <v>0</v>
      </c>
      <c r="S649" s="365">
        <f>Government9!$M34</f>
        <v>0</v>
      </c>
      <c r="T649" s="365">
        <f>Government10!$M34</f>
        <v>0</v>
      </c>
      <c r="U649" s="179">
        <f>Partner1!$M105</f>
        <v>0</v>
      </c>
      <c r="V649" s="179">
        <f>Partner2!$M105</f>
        <v>0</v>
      </c>
      <c r="W649" s="179">
        <f>Partner3!$M105</f>
        <v>0</v>
      </c>
      <c r="X649" s="179">
        <f>Partner4!$M105</f>
        <v>0</v>
      </c>
      <c r="Y649" s="179">
        <f>Partner5!$M105</f>
        <v>0</v>
      </c>
      <c r="Z649" s="179">
        <f>Partner6!$M105</f>
        <v>0</v>
      </c>
      <c r="AA649" s="179">
        <f>Partner7!$M105</f>
        <v>0</v>
      </c>
      <c r="AB649" s="179">
        <f>Partner8!$M105</f>
        <v>0</v>
      </c>
      <c r="AC649" s="179">
        <f>Partner9!$M105</f>
        <v>0</v>
      </c>
      <c r="AD649" s="179">
        <f>Partner10!$M105</f>
        <v>0</v>
      </c>
    </row>
    <row r="650" spans="5:30" ht="12" x14ac:dyDescent="0.2">
      <c r="F650" s="94" t="str">
        <f>STRAT3_IND4</f>
        <v>Objetivo estratégico 3 Indicador 4</v>
      </c>
      <c r="G650" s="94" t="str">
        <f ca="1">OFFSET(Variables_Lu!$D$10,Basic_Setup!H49,0)</f>
        <v>Nutrition-specific</v>
      </c>
      <c r="H650" s="346">
        <f>'Financial Req'!$M35</f>
        <v>0</v>
      </c>
      <c r="I650" s="347">
        <f>H650-J650</f>
        <v>0</v>
      </c>
      <c r="J650" s="345">
        <f>SUM(K650:AD650)</f>
        <v>0</v>
      </c>
      <c r="K650" s="365">
        <f>Government1!$M35</f>
        <v>0</v>
      </c>
      <c r="L650" s="365">
        <f>Government2!$M35</f>
        <v>0</v>
      </c>
      <c r="M650" s="365">
        <f>Government3!$M35</f>
        <v>0</v>
      </c>
      <c r="N650" s="365">
        <f>Government4!$M35</f>
        <v>0</v>
      </c>
      <c r="O650" s="365">
        <f>Government5!$M35</f>
        <v>0</v>
      </c>
      <c r="P650" s="365">
        <f>Government6!$M35</f>
        <v>0</v>
      </c>
      <c r="Q650" s="365">
        <f>Government7!$M35</f>
        <v>0</v>
      </c>
      <c r="R650" s="365">
        <f>Government8!$M35</f>
        <v>0</v>
      </c>
      <c r="S650" s="365">
        <f>Government9!$M35</f>
        <v>0</v>
      </c>
      <c r="T650" s="365">
        <f>Government10!$M35</f>
        <v>0</v>
      </c>
      <c r="U650" s="179">
        <f>Partner1!$M106</f>
        <v>0</v>
      </c>
      <c r="V650" s="179">
        <f>Partner2!$M106</f>
        <v>0</v>
      </c>
      <c r="W650" s="179">
        <f>Partner3!$M106</f>
        <v>0</v>
      </c>
      <c r="X650" s="179">
        <f>Partner4!$M106</f>
        <v>0</v>
      </c>
      <c r="Y650" s="179">
        <f>Partner5!$M106</f>
        <v>0</v>
      </c>
      <c r="Z650" s="179">
        <f>Partner6!$M106</f>
        <v>0</v>
      </c>
      <c r="AA650" s="179">
        <f>Partner7!$M106</f>
        <v>0</v>
      </c>
      <c r="AB650" s="179">
        <f>Partner8!$M106</f>
        <v>0</v>
      </c>
      <c r="AC650" s="179">
        <f>Partner9!$M106</f>
        <v>0</v>
      </c>
      <c r="AD650" s="179">
        <f>Partner10!$M106</f>
        <v>0</v>
      </c>
    </row>
    <row r="651" spans="5:30" ht="12" x14ac:dyDescent="0.2">
      <c r="F651" s="94" t="str">
        <f>STRAT3_IND5</f>
        <v>Objetivo estratégico 3 Indicador 5</v>
      </c>
      <c r="G651" s="94" t="str">
        <f ca="1">OFFSET(Variables_Lu!$D$10,Basic_Setup!H50,0)</f>
        <v>Nutrition-specific</v>
      </c>
      <c r="H651" s="346">
        <f>'Financial Req'!$M36</f>
        <v>0</v>
      </c>
      <c r="I651" s="347">
        <f>H651-J651</f>
        <v>0</v>
      </c>
      <c r="J651" s="345">
        <f>SUM(K651:AD651)</f>
        <v>0</v>
      </c>
      <c r="K651" s="365">
        <f>Government1!$M36</f>
        <v>0</v>
      </c>
      <c r="L651" s="365">
        <f>Government2!$M36</f>
        <v>0</v>
      </c>
      <c r="M651" s="365">
        <f>Government3!$M36</f>
        <v>0</v>
      </c>
      <c r="N651" s="365">
        <f>Government4!$M36</f>
        <v>0</v>
      </c>
      <c r="O651" s="365">
        <f>Government5!$M36</f>
        <v>0</v>
      </c>
      <c r="P651" s="365">
        <f>Government6!$M36</f>
        <v>0</v>
      </c>
      <c r="Q651" s="365">
        <f>Government7!$M36</f>
        <v>0</v>
      </c>
      <c r="R651" s="365">
        <f>Government8!$M36</f>
        <v>0</v>
      </c>
      <c r="S651" s="365">
        <f>Government9!$M36</f>
        <v>0</v>
      </c>
      <c r="T651" s="365">
        <f>Government10!$M36</f>
        <v>0</v>
      </c>
      <c r="U651" s="179">
        <f>Partner1!$M107</f>
        <v>0</v>
      </c>
      <c r="V651" s="179">
        <f>Partner2!$M107</f>
        <v>0</v>
      </c>
      <c r="W651" s="179">
        <f>Partner3!$M107</f>
        <v>0</v>
      </c>
      <c r="X651" s="179">
        <f>Partner4!$M107</f>
        <v>0</v>
      </c>
      <c r="Y651" s="179">
        <f>Partner5!$M107</f>
        <v>0</v>
      </c>
      <c r="Z651" s="179">
        <f>Partner6!$M107</f>
        <v>0</v>
      </c>
      <c r="AA651" s="179">
        <f>Partner7!$M107</f>
        <v>0</v>
      </c>
      <c r="AB651" s="179">
        <f>Partner8!$M107</f>
        <v>0</v>
      </c>
      <c r="AC651" s="179">
        <f>Partner9!$M107</f>
        <v>0</v>
      </c>
      <c r="AD651" s="179">
        <f>Partner10!$M107</f>
        <v>0</v>
      </c>
    </row>
    <row r="652" spans="5:30" ht="34.200000000000003" x14ac:dyDescent="0.2">
      <c r="F652" s="332" t="str">
        <f>"Subtotal: "&amp;E181</f>
        <v>Subtotal: Objetivo estratégico 3: Aumentar la disponibilidad y el acceso a alimentos nutritivos de alto valor, seguros y diversificados</v>
      </c>
      <c r="G652" s="333"/>
      <c r="H652" s="348">
        <f>'Financial Req'!$M37</f>
        <v>84398435955.758896</v>
      </c>
      <c r="I652" s="349">
        <f>SUM(I647:I651)</f>
        <v>68355310940.594971</v>
      </c>
      <c r="J652" s="350">
        <f>SUM(J647:J651)</f>
        <v>16043125015.163923</v>
      </c>
      <c r="K652" s="366">
        <f>Government1!$M37</f>
        <v>2139822759.6675091</v>
      </c>
      <c r="L652" s="366">
        <f>Government2!$M37</f>
        <v>245512529.64814728</v>
      </c>
      <c r="M652" s="366">
        <f>Government3!$M37</f>
        <v>644272200</v>
      </c>
      <c r="N652" s="366">
        <f>Government4!$M37</f>
        <v>68966196.155595005</v>
      </c>
      <c r="O652" s="366">
        <f>Government5!$M37</f>
        <v>29670229.070964001</v>
      </c>
      <c r="P652" s="366">
        <f>Government6!$M37</f>
        <v>10427333674.672201</v>
      </c>
      <c r="Q652" s="366">
        <f>Government7!$M37</f>
        <v>1298700989.2691641</v>
      </c>
      <c r="R652" s="366">
        <f>Government8!$M37</f>
        <v>63846436.680342004</v>
      </c>
      <c r="S652" s="366">
        <f>Government9!$M37</f>
        <v>0</v>
      </c>
      <c r="T652" s="366">
        <f>Government10!$M37</f>
        <v>0</v>
      </c>
      <c r="U652" s="331">
        <f>Partner1!$M108</f>
        <v>0</v>
      </c>
      <c r="V652" s="331">
        <f>Partner2!$M108</f>
        <v>0</v>
      </c>
      <c r="W652" s="331">
        <f>Partner3!$M108</f>
        <v>0</v>
      </c>
      <c r="X652" s="331">
        <f>Partner4!$M108</f>
        <v>0</v>
      </c>
      <c r="Y652" s="331">
        <f>Partner5!$M108</f>
        <v>1125000000</v>
      </c>
      <c r="Z652" s="331">
        <f>Partner6!$M108</f>
        <v>0</v>
      </c>
      <c r="AA652" s="331">
        <f>Partner7!$M108</f>
        <v>0</v>
      </c>
      <c r="AB652" s="331">
        <f>Partner8!$M108</f>
        <v>0</v>
      </c>
      <c r="AC652" s="331">
        <f>Partner9!$M108</f>
        <v>0</v>
      </c>
      <c r="AD652" s="331">
        <f>Partner10!$M108</f>
        <v>0</v>
      </c>
    </row>
    <row r="653" spans="5:30" ht="12" x14ac:dyDescent="0.2">
      <c r="E653" s="301" t="str">
        <f>Strategy4</f>
        <v>Objetivo estratégico 4: Fortalecer la protección social, la resiliencia de la respuesta a las emergencias y los desastres naturales.</v>
      </c>
      <c r="G653" s="94"/>
      <c r="H653" s="343"/>
      <c r="I653" s="344"/>
      <c r="J653" s="345"/>
      <c r="K653" s="365"/>
      <c r="L653" s="365"/>
      <c r="M653" s="365"/>
      <c r="N653" s="365"/>
      <c r="O653" s="365"/>
      <c r="P653" s="365"/>
      <c r="Q653" s="365"/>
      <c r="R653" s="365"/>
      <c r="S653" s="365"/>
      <c r="T653" s="365"/>
      <c r="U653" s="179"/>
      <c r="V653" s="179"/>
      <c r="W653" s="179"/>
      <c r="X653" s="179"/>
      <c r="Y653" s="179"/>
      <c r="Z653" s="179"/>
      <c r="AA653" s="179"/>
      <c r="AB653" s="179"/>
      <c r="AC653" s="179"/>
      <c r="AD653" s="179"/>
    </row>
    <row r="654" spans="5:30" ht="22.8" x14ac:dyDescent="0.2">
      <c r="F654" s="94" t="str">
        <f>STRAT4_IND1</f>
        <v xml:space="preserve">Se garantiza la protección social de los niños menores de 5 años, los adolescentes, FE/FA y otros grupos vulnerables. </v>
      </c>
      <c r="G654" s="94" t="str">
        <f ca="1">OFFSET(Variables_Lu!$D$10,Basic_Setup!H52,0)</f>
        <v>Nutrition-sensitive</v>
      </c>
      <c r="H654" s="346">
        <f>'Financial Req'!$M38</f>
        <v>12943966375.755066</v>
      </c>
      <c r="I654" s="347">
        <f>H654-J654</f>
        <v>7773077413.2368946</v>
      </c>
      <c r="J654" s="345">
        <f>SUM(K654:AD654)</f>
        <v>5170888962.5181713</v>
      </c>
      <c r="K654" s="365">
        <f>Government1!$M38</f>
        <v>602279318.49211347</v>
      </c>
      <c r="L654" s="365">
        <f>Government2!$M38</f>
        <v>69102507.845433384</v>
      </c>
      <c r="M654" s="365">
        <f>Government3!$M38</f>
        <v>181338300</v>
      </c>
      <c r="N654" s="365">
        <f>Government4!$M38</f>
        <v>19411380.420142498</v>
      </c>
      <c r="O654" s="365">
        <f>Government5!$M38</f>
        <v>8351049.2930460004</v>
      </c>
      <c r="P654" s="365">
        <f>Government6!$M38</f>
        <v>2934900748.6242771</v>
      </c>
      <c r="Q654" s="365">
        <f>Government7!$M38</f>
        <v>365535296.42034602</v>
      </c>
      <c r="R654" s="365">
        <f>Government8!$M38</f>
        <v>17970361.422813002</v>
      </c>
      <c r="S654" s="365">
        <f>Government9!$M38</f>
        <v>0</v>
      </c>
      <c r="T654" s="365">
        <f>Government10!$M38</f>
        <v>0</v>
      </c>
      <c r="U654" s="179">
        <f>Partner1!$M109</f>
        <v>72000000</v>
      </c>
      <c r="V654" s="179">
        <f>Partner2!$M109</f>
        <v>0</v>
      </c>
      <c r="W654" s="179">
        <f>Partner3!$M109</f>
        <v>0</v>
      </c>
      <c r="X654" s="179">
        <f>Partner4!$M109</f>
        <v>0</v>
      </c>
      <c r="Y654" s="179">
        <f>Partner5!$M109</f>
        <v>900000000</v>
      </c>
      <c r="Z654" s="179">
        <f>Partner6!$M109</f>
        <v>0</v>
      </c>
      <c r="AA654" s="179">
        <f>Partner7!$M109</f>
        <v>0</v>
      </c>
      <c r="AB654" s="179">
        <f>Partner8!$M109</f>
        <v>0</v>
      </c>
      <c r="AC654" s="179">
        <f>Partner9!$M109</f>
        <v>0</v>
      </c>
      <c r="AD654" s="179">
        <f>Partner10!$M109</f>
        <v>0</v>
      </c>
    </row>
    <row r="655" spans="5:30" ht="34.200000000000003" x14ac:dyDescent="0.2">
      <c r="F655" s="94" t="str">
        <f>STRAT4_IND2</f>
        <v xml:space="preserve">Se fortalece la capacidad de resiliencia y el estado nutricional de las poblaciones vulnerables, incluidos los niños de las zonas desfavorecidas.  </v>
      </c>
      <c r="G655" s="94" t="str">
        <f ca="1">OFFSET(Variables_Lu!$D$10,Basic_Setup!H53,0)</f>
        <v>Nutrition-specific</v>
      </c>
      <c r="H655" s="346">
        <f>'Financial Req'!$M39</f>
        <v>12943966375.755066</v>
      </c>
      <c r="I655" s="347">
        <f>H655-J655</f>
        <v>8583077413.2368946</v>
      </c>
      <c r="J655" s="345">
        <f>SUM(K655:AD655)</f>
        <v>4360888962.5181713</v>
      </c>
      <c r="K655" s="365">
        <f>Government1!$M39</f>
        <v>602279318.49211347</v>
      </c>
      <c r="L655" s="365">
        <f>Government2!$M39</f>
        <v>69102507.845433384</v>
      </c>
      <c r="M655" s="365">
        <f>Government3!$M39</f>
        <v>181338300</v>
      </c>
      <c r="N655" s="365">
        <f>Government4!$M39</f>
        <v>19411380.420142498</v>
      </c>
      <c r="O655" s="365">
        <f>Government5!$M39</f>
        <v>8351049.2930460004</v>
      </c>
      <c r="P655" s="365">
        <f>Government6!$M39</f>
        <v>2934900748.6242771</v>
      </c>
      <c r="Q655" s="365">
        <f>Government7!$M39</f>
        <v>365535296.42034602</v>
      </c>
      <c r="R655" s="365">
        <f>Government8!$M39</f>
        <v>17970361.422813002</v>
      </c>
      <c r="S655" s="365">
        <f>Government9!$M39</f>
        <v>0</v>
      </c>
      <c r="T655" s="365">
        <f>Government10!$M39</f>
        <v>0</v>
      </c>
      <c r="U655" s="179">
        <f>Partner1!$M110</f>
        <v>72000000</v>
      </c>
      <c r="V655" s="179">
        <f>Partner2!$M110</f>
        <v>0</v>
      </c>
      <c r="W655" s="179">
        <f>Partner3!$M110</f>
        <v>0</v>
      </c>
      <c r="X655" s="179">
        <f>Partner4!$M110</f>
        <v>0</v>
      </c>
      <c r="Y655" s="179">
        <f>Partner5!$M110</f>
        <v>90000000</v>
      </c>
      <c r="Z655" s="179">
        <f>Partner6!$M110</f>
        <v>0</v>
      </c>
      <c r="AA655" s="179">
        <f>Partner7!$M110</f>
        <v>0</v>
      </c>
      <c r="AB655" s="179">
        <f>Partner8!$M110</f>
        <v>0</v>
      </c>
      <c r="AC655" s="179">
        <f>Partner9!$M110</f>
        <v>0</v>
      </c>
      <c r="AD655" s="179">
        <f>Partner10!$M110</f>
        <v>0</v>
      </c>
    </row>
    <row r="656" spans="5:30" ht="22.8" x14ac:dyDescent="0.2">
      <c r="F656" s="94" t="str">
        <f>STRAT4_IND3</f>
        <v xml:space="preserve"> Se introducen eficazmente intervenciones para emergencias y catástrofes naturales integrales de la nutrición.</v>
      </c>
      <c r="G656" s="94" t="str">
        <f ca="1">OFFSET(Variables_Lu!$D$10,Basic_Setup!H54,0)</f>
        <v>Nutrition-specific</v>
      </c>
      <c r="H656" s="346">
        <f>'Financial Req'!$M40</f>
        <v>12943966375.755066</v>
      </c>
      <c r="I656" s="347">
        <f>H656-J656</f>
        <v>8169077413.2368946</v>
      </c>
      <c r="J656" s="345">
        <f>SUM(K656:AD656)</f>
        <v>4774888962.5181713</v>
      </c>
      <c r="K656" s="365">
        <f>Government1!$M40</f>
        <v>602279318.49211347</v>
      </c>
      <c r="L656" s="365">
        <f>Government2!$M40</f>
        <v>69102507.845433384</v>
      </c>
      <c r="M656" s="365">
        <f>Government3!$M40</f>
        <v>181338300</v>
      </c>
      <c r="N656" s="365">
        <f>Government4!$M40</f>
        <v>19411380.420142498</v>
      </c>
      <c r="O656" s="365">
        <f>Government5!$M40</f>
        <v>8351049.2930460004</v>
      </c>
      <c r="P656" s="365">
        <f>Government6!$M40</f>
        <v>2934900748.6242771</v>
      </c>
      <c r="Q656" s="365">
        <f>Government7!$M40</f>
        <v>365535296.42034602</v>
      </c>
      <c r="R656" s="365">
        <f>Government8!$M40</f>
        <v>17970361.422813002</v>
      </c>
      <c r="S656" s="365">
        <f>Government9!$M40</f>
        <v>0</v>
      </c>
      <c r="T656" s="365">
        <f>Government10!$M40</f>
        <v>0</v>
      </c>
      <c r="U656" s="179">
        <f>Partner1!$M111</f>
        <v>576000000</v>
      </c>
      <c r="V656" s="179">
        <f>Partner2!$M111</f>
        <v>0</v>
      </c>
      <c r="W656" s="179">
        <f>Partner3!$M111</f>
        <v>0</v>
      </c>
      <c r="X656" s="179">
        <f>Partner4!$M111</f>
        <v>0</v>
      </c>
      <c r="Y656" s="179">
        <f>Partner5!$M111</f>
        <v>0</v>
      </c>
      <c r="Z656" s="179">
        <f>Partner6!$M111</f>
        <v>0</v>
      </c>
      <c r="AA656" s="179">
        <f>Partner7!$M111</f>
        <v>0</v>
      </c>
      <c r="AB656" s="179">
        <f>Partner8!$M111</f>
        <v>0</v>
      </c>
      <c r="AC656" s="179">
        <f>Partner9!$M111</f>
        <v>0</v>
      </c>
      <c r="AD656" s="179">
        <f>Partner10!$M111</f>
        <v>0</v>
      </c>
    </row>
    <row r="657" spans="5:30" ht="12" x14ac:dyDescent="0.2">
      <c r="F657" s="94" t="str">
        <f>STRAT4_IND4</f>
        <v>Objetivo estratégico 4 Indicador 4</v>
      </c>
      <c r="G657" s="94" t="str">
        <f ca="1">OFFSET(Variables_Lu!$D$10,Basic_Setup!H55,0)</f>
        <v>Nutrition-specific</v>
      </c>
      <c r="H657" s="346">
        <f>'Financial Req'!$M41</f>
        <v>0</v>
      </c>
      <c r="I657" s="347">
        <f>H657-J657</f>
        <v>0</v>
      </c>
      <c r="J657" s="345">
        <f>SUM(K657:AD657)</f>
        <v>0</v>
      </c>
      <c r="K657" s="365">
        <f>Government1!$M41</f>
        <v>0</v>
      </c>
      <c r="L657" s="365">
        <f>Government2!$M41</f>
        <v>0</v>
      </c>
      <c r="M657" s="365">
        <f>Government3!$M41</f>
        <v>0</v>
      </c>
      <c r="N657" s="365">
        <f>Government4!$M41</f>
        <v>0</v>
      </c>
      <c r="O657" s="365">
        <f>Government5!$M41</f>
        <v>0</v>
      </c>
      <c r="P657" s="365">
        <f>Government6!$M41</f>
        <v>0</v>
      </c>
      <c r="Q657" s="365">
        <f>Government7!$M41</f>
        <v>0</v>
      </c>
      <c r="R657" s="365">
        <f>Government8!$M41</f>
        <v>0</v>
      </c>
      <c r="S657" s="365">
        <f>Government9!$M41</f>
        <v>0</v>
      </c>
      <c r="T657" s="365">
        <f>Government10!$M41</f>
        <v>0</v>
      </c>
      <c r="U657" s="179">
        <f>Partner1!$M112</f>
        <v>0</v>
      </c>
      <c r="V657" s="179">
        <f>Partner2!$M112</f>
        <v>0</v>
      </c>
      <c r="W657" s="179">
        <f>Partner3!$M112</f>
        <v>0</v>
      </c>
      <c r="X657" s="179">
        <f>Partner4!$M112</f>
        <v>0</v>
      </c>
      <c r="Y657" s="179">
        <f>Partner5!$M112</f>
        <v>0</v>
      </c>
      <c r="Z657" s="179">
        <f>Partner6!$M112</f>
        <v>0</v>
      </c>
      <c r="AA657" s="179">
        <f>Partner7!$M112</f>
        <v>0</v>
      </c>
      <c r="AB657" s="179">
        <f>Partner8!$M112</f>
        <v>0</v>
      </c>
      <c r="AC657" s="179">
        <f>Partner9!$M112</f>
        <v>0</v>
      </c>
      <c r="AD657" s="179">
        <f>Partner10!$M112</f>
        <v>0</v>
      </c>
    </row>
    <row r="658" spans="5:30" ht="12" x14ac:dyDescent="0.2">
      <c r="F658" s="94" t="str">
        <f>STRAT4_IND5</f>
        <v>Objetivo estratégico 4 Indicador 5</v>
      </c>
      <c r="G658" s="94" t="str">
        <f ca="1">OFFSET(Variables_Lu!$D$10,Basic_Setup!H56,0)</f>
        <v>Nutrition-specific</v>
      </c>
      <c r="H658" s="346">
        <f>'Financial Req'!$M42</f>
        <v>0</v>
      </c>
      <c r="I658" s="347">
        <f>H658-J658</f>
        <v>0</v>
      </c>
      <c r="J658" s="345">
        <f>SUM(K658:AD658)</f>
        <v>0</v>
      </c>
      <c r="K658" s="365">
        <f>Government1!$M42</f>
        <v>0</v>
      </c>
      <c r="L658" s="365">
        <f>Government2!$M42</f>
        <v>0</v>
      </c>
      <c r="M658" s="365">
        <f>Government3!$M42</f>
        <v>0</v>
      </c>
      <c r="N658" s="365">
        <f>Government4!$M42</f>
        <v>0</v>
      </c>
      <c r="O658" s="365">
        <f>Government5!$M42</f>
        <v>0</v>
      </c>
      <c r="P658" s="365">
        <f>Government6!$M42</f>
        <v>0</v>
      </c>
      <c r="Q658" s="365">
        <f>Government7!$M42</f>
        <v>0</v>
      </c>
      <c r="R658" s="365">
        <f>Government8!$M42</f>
        <v>0</v>
      </c>
      <c r="S658" s="365">
        <f>Government9!$M42</f>
        <v>0</v>
      </c>
      <c r="T658" s="365">
        <f>Government10!$M42</f>
        <v>0</v>
      </c>
      <c r="U658" s="179">
        <f>Partner1!$M113</f>
        <v>0</v>
      </c>
      <c r="V658" s="179">
        <f>Partner2!$M113</f>
        <v>0</v>
      </c>
      <c r="W658" s="179">
        <f>Partner3!$M113</f>
        <v>0</v>
      </c>
      <c r="X658" s="179">
        <f>Partner4!$M113</f>
        <v>0</v>
      </c>
      <c r="Y658" s="179">
        <f>Partner5!$M113</f>
        <v>0</v>
      </c>
      <c r="Z658" s="179">
        <f>Partner6!$M113</f>
        <v>0</v>
      </c>
      <c r="AA658" s="179">
        <f>Partner7!$M113</f>
        <v>0</v>
      </c>
      <c r="AB658" s="179">
        <f>Partner8!$M113</f>
        <v>0</v>
      </c>
      <c r="AC658" s="179">
        <f>Partner9!$M113</f>
        <v>0</v>
      </c>
      <c r="AD658" s="179">
        <f>Partner10!$M113</f>
        <v>0</v>
      </c>
    </row>
    <row r="659" spans="5:30" ht="34.200000000000003" x14ac:dyDescent="0.2">
      <c r="F659" s="332" t="str">
        <f>"Subtotal: "&amp;E188</f>
        <v>Subtotal: Objetivo estratégico 4: Fortalecer la protección social, la resiliencia de la respuesta a las emergencias y los desastres naturales.</v>
      </c>
      <c r="G659" s="333"/>
      <c r="H659" s="348">
        <f>'Financial Req'!$M43</f>
        <v>38831899127.265198</v>
      </c>
      <c r="I659" s="349">
        <f>SUM(I654:I658)</f>
        <v>24525232239.710686</v>
      </c>
      <c r="J659" s="350">
        <f>SUM(J654:J658)</f>
        <v>14306666887.554514</v>
      </c>
      <c r="K659" s="366">
        <f>Government1!$M43</f>
        <v>1806837955.4763403</v>
      </c>
      <c r="L659" s="366">
        <f>Government2!$M43</f>
        <v>207307523.53630015</v>
      </c>
      <c r="M659" s="366">
        <f>Government3!$M43</f>
        <v>544014900</v>
      </c>
      <c r="N659" s="366">
        <f>Government4!$M43</f>
        <v>58234141.26042749</v>
      </c>
      <c r="O659" s="366">
        <f>Government5!$M43</f>
        <v>25053147.879138</v>
      </c>
      <c r="P659" s="366">
        <f>Government6!$M43</f>
        <v>8804702245.8728313</v>
      </c>
      <c r="Q659" s="366">
        <f>Government7!$M43</f>
        <v>1096605889.2610381</v>
      </c>
      <c r="R659" s="366">
        <f>Government8!$M43</f>
        <v>53911084.26843901</v>
      </c>
      <c r="S659" s="366">
        <f>Government9!$M43</f>
        <v>0</v>
      </c>
      <c r="T659" s="366">
        <f>Government10!$M43</f>
        <v>0</v>
      </c>
      <c r="U659" s="331">
        <f>Partner1!$M114</f>
        <v>720000000</v>
      </c>
      <c r="V659" s="331">
        <f>Partner2!$M114</f>
        <v>0</v>
      </c>
      <c r="W659" s="331">
        <f>Partner3!$M114</f>
        <v>0</v>
      </c>
      <c r="X659" s="331">
        <f>Partner4!$M114</f>
        <v>0</v>
      </c>
      <c r="Y659" s="331">
        <f>Partner5!$M114</f>
        <v>990000000</v>
      </c>
      <c r="Z659" s="331">
        <f>Partner6!$M114</f>
        <v>0</v>
      </c>
      <c r="AA659" s="331">
        <f>Partner7!$M114</f>
        <v>0</v>
      </c>
      <c r="AB659" s="331">
        <f>Partner8!$M114</f>
        <v>0</v>
      </c>
      <c r="AC659" s="331">
        <f>Partner9!$M114</f>
        <v>0</v>
      </c>
      <c r="AD659" s="331">
        <f>Partner10!$M114</f>
        <v>0</v>
      </c>
    </row>
    <row r="660" spans="5:30" ht="12" x14ac:dyDescent="0.2">
      <c r="E660" s="301" t="str">
        <f>Strategy5</f>
        <v xml:space="preserve">Objetivo estratégico 5: Promoción de prácticas favorables a una nutrición óptima, de higiene y saneamiento básico. </v>
      </c>
      <c r="G660" s="94"/>
      <c r="H660" s="343"/>
      <c r="I660" s="344"/>
      <c r="J660" s="345"/>
      <c r="K660" s="365"/>
      <c r="L660" s="365"/>
      <c r="M660" s="365"/>
      <c r="N660" s="365"/>
      <c r="O660" s="365"/>
      <c r="P660" s="365"/>
      <c r="Q660" s="365"/>
      <c r="R660" s="365"/>
      <c r="S660" s="365"/>
      <c r="T660" s="365"/>
      <c r="U660" s="179"/>
      <c r="V660" s="179"/>
      <c r="W660" s="179"/>
      <c r="X660" s="179"/>
      <c r="Y660" s="179"/>
      <c r="Z660" s="179"/>
      <c r="AA660" s="179"/>
      <c r="AB660" s="179"/>
      <c r="AC660" s="179"/>
      <c r="AD660" s="179"/>
    </row>
    <row r="661" spans="5:30" ht="34.200000000000003" x14ac:dyDescent="0.2">
      <c r="F661" s="94" t="str">
        <f>STRAT5_IND1</f>
        <v>Se mejoran las prácticas nutricionales favorables para los niños menores de 5 años, los adolescentes, las mujeres embarazadas y lactantes, y otros grupos vulnerables.</v>
      </c>
      <c r="G661" s="94" t="str">
        <f ca="1">OFFSET(Variables_Lu!$D$10,Basic_Setup!H58,0)</f>
        <v>Nutrition-specific</v>
      </c>
      <c r="H661" s="346">
        <f>'Financial Req'!$M44</f>
        <v>4464100356.1111002</v>
      </c>
      <c r="I661" s="347">
        <f>H661-J661</f>
        <v>388871796.93151474</v>
      </c>
      <c r="J661" s="345">
        <f>SUM(K661:AD661)</f>
        <v>4075228559.1795855</v>
      </c>
      <c r="K661" s="365">
        <f>Government1!$M44</f>
        <v>16528128.920057997</v>
      </c>
      <c r="L661" s="365">
        <f>Government2!$M44</f>
        <v>1896354.6037544999</v>
      </c>
      <c r="M661" s="365">
        <f>Government3!$M44</f>
        <v>4976399.9999999991</v>
      </c>
      <c r="N661" s="365">
        <f>Government4!$M44</f>
        <v>532699.34438999987</v>
      </c>
      <c r="O661" s="365">
        <f>Government5!$M44</f>
        <v>229174.76176799997</v>
      </c>
      <c r="P661" s="365">
        <f>Government6!$M44</f>
        <v>80541397.407242998</v>
      </c>
      <c r="Q661" s="365">
        <f>Government7!$M44</f>
        <v>10031250.150168</v>
      </c>
      <c r="R661" s="365">
        <f>Government8!$M44</f>
        <v>493153.99220399995</v>
      </c>
      <c r="S661" s="365">
        <f>Government9!$M44</f>
        <v>0</v>
      </c>
      <c r="T661" s="365">
        <f>Government10!$M44</f>
        <v>0</v>
      </c>
      <c r="U661" s="179">
        <f>Partner1!$M115</f>
        <v>2160000000</v>
      </c>
      <c r="V661" s="179">
        <f>Partner2!$M115</f>
        <v>0</v>
      </c>
      <c r="W661" s="179">
        <f>Partner3!$M115</f>
        <v>0</v>
      </c>
      <c r="X661" s="179">
        <f>Partner4!$M115</f>
        <v>0</v>
      </c>
      <c r="Y661" s="179">
        <f>Partner5!$M115</f>
        <v>1800000000</v>
      </c>
      <c r="Z661" s="179">
        <f>Partner6!$M115</f>
        <v>0</v>
      </c>
      <c r="AA661" s="179">
        <f>Partner7!$M115</f>
        <v>0</v>
      </c>
      <c r="AB661" s="179">
        <f>Partner8!$M115</f>
        <v>0</v>
      </c>
      <c r="AC661" s="179">
        <f>Partner9!$M115</f>
        <v>0</v>
      </c>
      <c r="AD661" s="179">
        <f>Partner10!$M115</f>
        <v>0</v>
      </c>
    </row>
    <row r="662" spans="5:30" ht="22.8" x14ac:dyDescent="0.2">
      <c r="F662" s="94" t="str">
        <f>STRAT5_IND2</f>
        <v>Se promueven dietas saludables y estilos de vida saludables para las personas.</v>
      </c>
      <c r="G662" s="94" t="str">
        <f ca="1">OFFSET(Variables_Lu!$D$10,Basic_Setup!H59,0)</f>
        <v>Nutrition-specific</v>
      </c>
      <c r="H662" s="346">
        <f>'Financial Req'!$M45</f>
        <v>4464100356.1111002</v>
      </c>
      <c r="I662" s="347">
        <f>H662-J662</f>
        <v>3484871796.9315147</v>
      </c>
      <c r="J662" s="345">
        <f>SUM(K662:AD662)</f>
        <v>979228559.17958546</v>
      </c>
      <c r="K662" s="365">
        <f>Government1!$M45</f>
        <v>16528128.920057997</v>
      </c>
      <c r="L662" s="365">
        <f>Government2!$M45</f>
        <v>1896354.6037544999</v>
      </c>
      <c r="M662" s="365">
        <f>Government3!$M45</f>
        <v>4976399.9999999991</v>
      </c>
      <c r="N662" s="365">
        <f>Government4!$M45</f>
        <v>532699.34438999987</v>
      </c>
      <c r="O662" s="365">
        <f>Government5!$M45</f>
        <v>229174.76176799997</v>
      </c>
      <c r="P662" s="365">
        <f>Government6!$M45</f>
        <v>80541397.407242998</v>
      </c>
      <c r="Q662" s="365">
        <f>Government7!$M45</f>
        <v>10031250.150168</v>
      </c>
      <c r="R662" s="365">
        <f>Government8!$M45</f>
        <v>493153.99220399995</v>
      </c>
      <c r="S662" s="365">
        <f>Government9!$M45</f>
        <v>0</v>
      </c>
      <c r="T662" s="365">
        <f>Government10!$M45</f>
        <v>0</v>
      </c>
      <c r="U662" s="179">
        <f>Partner1!$M116</f>
        <v>864000000</v>
      </c>
      <c r="V662" s="179">
        <f>Partner2!$M116</f>
        <v>0</v>
      </c>
      <c r="W662" s="179">
        <f>Partner3!$M116</f>
        <v>0</v>
      </c>
      <c r="X662" s="179">
        <f>Partner4!$M116</f>
        <v>0</v>
      </c>
      <c r="Y662" s="179">
        <f>Partner5!$M116</f>
        <v>0</v>
      </c>
      <c r="Z662" s="179">
        <f>Partner6!$M116</f>
        <v>0</v>
      </c>
      <c r="AA662" s="179">
        <f>Partner7!$M116</f>
        <v>0</v>
      </c>
      <c r="AB662" s="179">
        <f>Partner8!$M116</f>
        <v>0</v>
      </c>
      <c r="AC662" s="179">
        <f>Partner9!$M116</f>
        <v>0</v>
      </c>
      <c r="AD662" s="179">
        <f>Partner10!$M116</f>
        <v>0</v>
      </c>
    </row>
    <row r="663" spans="5:30" ht="22.8" x14ac:dyDescent="0.2">
      <c r="F663" s="94" t="str">
        <f>STRAT5_IND3</f>
        <v>Se promueven las buenas prácticas WASH a nivel comunitario y doméstico</v>
      </c>
      <c r="G663" s="94" t="str">
        <f ca="1">OFFSET(Variables_Lu!$D$10,Basic_Setup!H60,0)</f>
        <v>Nutrition-sensitive</v>
      </c>
      <c r="H663" s="346">
        <f>'Financial Req'!$M46</f>
        <v>4464100356.1111002</v>
      </c>
      <c r="I663" s="347">
        <f>H663-J663</f>
        <v>3052871796.9315147</v>
      </c>
      <c r="J663" s="345">
        <f>SUM(K663:AD663)</f>
        <v>1411228559.1795855</v>
      </c>
      <c r="K663" s="365">
        <f>Government1!$M46</f>
        <v>16528128.920057997</v>
      </c>
      <c r="L663" s="365">
        <f>Government2!$M46</f>
        <v>1896354.6037544999</v>
      </c>
      <c r="M663" s="365">
        <f>Government3!$M46</f>
        <v>4976399.9999999991</v>
      </c>
      <c r="N663" s="365">
        <f>Government4!$M46</f>
        <v>532699.34438999987</v>
      </c>
      <c r="O663" s="365">
        <f>Government5!$M46</f>
        <v>229174.76176799997</v>
      </c>
      <c r="P663" s="365">
        <f>Government6!$M46</f>
        <v>80541397.407242998</v>
      </c>
      <c r="Q663" s="365">
        <f>Government7!$M46</f>
        <v>10031250.150168</v>
      </c>
      <c r="R663" s="365">
        <f>Government8!$M46</f>
        <v>493153.99220399995</v>
      </c>
      <c r="S663" s="365">
        <f>Government9!$M46</f>
        <v>0</v>
      </c>
      <c r="T663" s="365">
        <f>Government10!$M46</f>
        <v>0</v>
      </c>
      <c r="U663" s="179">
        <f>Partner1!$M117</f>
        <v>1296000000</v>
      </c>
      <c r="V663" s="179">
        <f>Partner2!$M117</f>
        <v>0</v>
      </c>
      <c r="W663" s="179">
        <f>Partner3!$M117</f>
        <v>0</v>
      </c>
      <c r="X663" s="179">
        <f>Partner4!$M117</f>
        <v>0</v>
      </c>
      <c r="Y663" s="179">
        <f>Partner5!$M117</f>
        <v>0</v>
      </c>
      <c r="Z663" s="179">
        <f>Partner6!$M117</f>
        <v>0</v>
      </c>
      <c r="AA663" s="179">
        <f>Partner7!$M117</f>
        <v>0</v>
      </c>
      <c r="AB663" s="179">
        <f>Partner8!$M117</f>
        <v>0</v>
      </c>
      <c r="AC663" s="179">
        <f>Partner9!$M117</f>
        <v>0</v>
      </c>
      <c r="AD663" s="179">
        <f>Partner10!$M117</f>
        <v>0</v>
      </c>
    </row>
    <row r="664" spans="5:30" ht="12" x14ac:dyDescent="0.2">
      <c r="F664" s="94" t="str">
        <f>STRAT5_IND4</f>
        <v>Objetivo estratégico 5 Indicador 4</v>
      </c>
      <c r="G664" s="94" t="str">
        <f ca="1">OFFSET(Variables_Lu!$D$10,Basic_Setup!H61,0)</f>
        <v>Nutrition-specific</v>
      </c>
      <c r="H664" s="346">
        <f>'Financial Req'!$M47</f>
        <v>0</v>
      </c>
      <c r="I664" s="347">
        <f>H664-J664</f>
        <v>0</v>
      </c>
      <c r="J664" s="345">
        <f>SUM(K664:AD664)</f>
        <v>0</v>
      </c>
      <c r="K664" s="365">
        <f>Government1!$M47</f>
        <v>0</v>
      </c>
      <c r="L664" s="365">
        <f>Government2!$M47</f>
        <v>0</v>
      </c>
      <c r="M664" s="365">
        <f>Government3!$M47</f>
        <v>0</v>
      </c>
      <c r="N664" s="365">
        <f>Government4!$M47</f>
        <v>0</v>
      </c>
      <c r="O664" s="365">
        <f>Government5!$M47</f>
        <v>0</v>
      </c>
      <c r="P664" s="365">
        <f>Government6!$M47</f>
        <v>0</v>
      </c>
      <c r="Q664" s="365">
        <f>Government7!$M47</f>
        <v>0</v>
      </c>
      <c r="R664" s="365">
        <f>Government8!$M47</f>
        <v>0</v>
      </c>
      <c r="S664" s="365">
        <f>Government9!$M47</f>
        <v>0</v>
      </c>
      <c r="T664" s="365">
        <f>Government10!$M47</f>
        <v>0</v>
      </c>
      <c r="U664" s="179">
        <f>Partner1!$M118</f>
        <v>0</v>
      </c>
      <c r="V664" s="179">
        <f>Partner2!$M118</f>
        <v>0</v>
      </c>
      <c r="W664" s="179">
        <f>Partner3!$M118</f>
        <v>0</v>
      </c>
      <c r="X664" s="179">
        <f>Partner4!$M118</f>
        <v>0</v>
      </c>
      <c r="Y664" s="179">
        <f>Partner5!$M118</f>
        <v>0</v>
      </c>
      <c r="Z664" s="179">
        <f>Partner6!$M118</f>
        <v>0</v>
      </c>
      <c r="AA664" s="179">
        <f>Partner7!$M118</f>
        <v>0</v>
      </c>
      <c r="AB664" s="179">
        <f>Partner8!$M118</f>
        <v>0</v>
      </c>
      <c r="AC664" s="179">
        <f>Partner9!$M118</f>
        <v>0</v>
      </c>
      <c r="AD664" s="179">
        <f>Partner10!$M118</f>
        <v>0</v>
      </c>
    </row>
    <row r="665" spans="5:30" ht="12" x14ac:dyDescent="0.2">
      <c r="F665" s="94" t="str">
        <f>STRAT5_IND5</f>
        <v>Objetivo estratégico 5 Indicador 5</v>
      </c>
      <c r="G665" s="94" t="str">
        <f ca="1">OFFSET(Variables_Lu!$D$10,Basic_Setup!H62,0)</f>
        <v>Nutrition-specific</v>
      </c>
      <c r="H665" s="346">
        <f>'Financial Req'!$M48</f>
        <v>0</v>
      </c>
      <c r="I665" s="347">
        <f>H665-J665</f>
        <v>0</v>
      </c>
      <c r="J665" s="345">
        <f>SUM(K665:AD665)</f>
        <v>0</v>
      </c>
      <c r="K665" s="365">
        <f>Government1!$M48</f>
        <v>0</v>
      </c>
      <c r="L665" s="365">
        <f>Government2!$M48</f>
        <v>0</v>
      </c>
      <c r="M665" s="365">
        <f>Government3!$M48</f>
        <v>0</v>
      </c>
      <c r="N665" s="365">
        <f>Government4!$M48</f>
        <v>0</v>
      </c>
      <c r="O665" s="365">
        <f>Government5!$M48</f>
        <v>0</v>
      </c>
      <c r="P665" s="365">
        <f>Government6!$M48</f>
        <v>0</v>
      </c>
      <c r="Q665" s="365">
        <f>Government7!$M48</f>
        <v>0</v>
      </c>
      <c r="R665" s="365">
        <f>Government8!$M48</f>
        <v>0</v>
      </c>
      <c r="S665" s="365">
        <f>Government9!$M48</f>
        <v>0</v>
      </c>
      <c r="T665" s="365">
        <f>Government10!$M48</f>
        <v>0</v>
      </c>
      <c r="U665" s="179">
        <f>Partner1!$M119</f>
        <v>0</v>
      </c>
      <c r="V665" s="179">
        <f>Partner2!$M119</f>
        <v>0</v>
      </c>
      <c r="W665" s="179">
        <f>Partner3!$M119</f>
        <v>0</v>
      </c>
      <c r="X665" s="179">
        <f>Partner4!$M119</f>
        <v>0</v>
      </c>
      <c r="Y665" s="179">
        <f>Partner5!$M119</f>
        <v>0</v>
      </c>
      <c r="Z665" s="179">
        <f>Partner6!$M119</f>
        <v>0</v>
      </c>
      <c r="AA665" s="179">
        <f>Partner7!$M119</f>
        <v>0</v>
      </c>
      <c r="AB665" s="179">
        <f>Partner8!$M119</f>
        <v>0</v>
      </c>
      <c r="AC665" s="179">
        <f>Partner9!$M119</f>
        <v>0</v>
      </c>
      <c r="AD665" s="179">
        <f>Partner10!$M119</f>
        <v>0</v>
      </c>
    </row>
    <row r="666" spans="5:30" ht="34.200000000000003" x14ac:dyDescent="0.2">
      <c r="F666" s="332" t="str">
        <f>"Subtotal: "&amp;E195</f>
        <v xml:space="preserve">Subtotal: Objetivo estratégico 5: Promoción de prácticas favorables a una nutrición óptima, de higiene y saneamiento básico. </v>
      </c>
      <c r="G666" s="333"/>
      <c r="H666" s="348">
        <f>'Financial Req'!$M49</f>
        <v>13392301068.333302</v>
      </c>
      <c r="I666" s="349">
        <f>SUM(I661:I665)</f>
        <v>6926615390.7945442</v>
      </c>
      <c r="J666" s="350">
        <f>SUM(J661:J665)</f>
        <v>6465685677.5387564</v>
      </c>
      <c r="K666" s="366">
        <f>Government1!$M49</f>
        <v>49584386.760173991</v>
      </c>
      <c r="L666" s="366">
        <f>Government2!$M49</f>
        <v>5689063.8112634998</v>
      </c>
      <c r="M666" s="366">
        <f>Government3!$M49</f>
        <v>14929199.999999996</v>
      </c>
      <c r="N666" s="366">
        <f>Government4!$M49</f>
        <v>1598098.0331699997</v>
      </c>
      <c r="O666" s="366">
        <f>Government5!$M49</f>
        <v>687524.2853039999</v>
      </c>
      <c r="P666" s="366">
        <f>Government6!$M49</f>
        <v>241624192.22172898</v>
      </c>
      <c r="Q666" s="366">
        <f>Government7!$M49</f>
        <v>30093750.450503998</v>
      </c>
      <c r="R666" s="366">
        <f>Government8!$M49</f>
        <v>1479461.9766119998</v>
      </c>
      <c r="S666" s="366">
        <f>Government9!$M49</f>
        <v>0</v>
      </c>
      <c r="T666" s="366">
        <f>Government10!$M49</f>
        <v>0</v>
      </c>
      <c r="U666" s="331">
        <f>Partner1!$M120</f>
        <v>4320000000</v>
      </c>
      <c r="V666" s="331">
        <f>Partner2!$M120</f>
        <v>0</v>
      </c>
      <c r="W666" s="331">
        <f>Partner3!$M120</f>
        <v>0</v>
      </c>
      <c r="X666" s="331">
        <f>Partner4!$M120</f>
        <v>0</v>
      </c>
      <c r="Y666" s="331">
        <f>Partner5!$M120</f>
        <v>1800000000</v>
      </c>
      <c r="Z666" s="331">
        <f>Partner6!$M120</f>
        <v>0</v>
      </c>
      <c r="AA666" s="331">
        <f>Partner7!$M120</f>
        <v>0</v>
      </c>
      <c r="AB666" s="331">
        <f>Partner8!$M120</f>
        <v>0</v>
      </c>
      <c r="AC666" s="331">
        <f>Partner9!$M120</f>
        <v>0</v>
      </c>
      <c r="AD666" s="331">
        <f>Partner10!$M120</f>
        <v>0</v>
      </c>
    </row>
    <row r="667" spans="5:30" ht="12" x14ac:dyDescent="0.2">
      <c r="E667" s="301" t="str">
        <f>Strategy6</f>
        <v>Objetivo estratégico 6: [No está en uso]</v>
      </c>
      <c r="G667" s="94"/>
      <c r="H667" s="343"/>
      <c r="I667" s="344"/>
      <c r="J667" s="345"/>
      <c r="K667" s="365"/>
      <c r="L667" s="365"/>
      <c r="M667" s="365"/>
      <c r="N667" s="365"/>
      <c r="O667" s="365"/>
      <c r="P667" s="365"/>
      <c r="Q667" s="365"/>
      <c r="R667" s="365"/>
      <c r="S667" s="365"/>
      <c r="T667" s="365"/>
      <c r="U667" s="179"/>
      <c r="V667" s="179"/>
      <c r="W667" s="179"/>
      <c r="X667" s="179"/>
      <c r="Y667" s="179"/>
      <c r="Z667" s="179"/>
      <c r="AA667" s="179"/>
      <c r="AB667" s="179"/>
      <c r="AC667" s="179"/>
      <c r="AD667" s="179"/>
    </row>
    <row r="668" spans="5:30" ht="12" x14ac:dyDescent="0.2">
      <c r="F668" s="94" t="str">
        <f>STRAT6_IND1</f>
        <v>Objetivo estratégico 6 Indicador 1</v>
      </c>
      <c r="G668" s="94" t="str">
        <f ca="1">OFFSET(Variables_Lu!$D$10,Basic_Setup!H64,0)</f>
        <v>Nutrition-specific</v>
      </c>
      <c r="H668" s="346">
        <f>'Financial Req'!$M50</f>
        <v>0</v>
      </c>
      <c r="I668" s="347">
        <f>H668-J668</f>
        <v>0</v>
      </c>
      <c r="J668" s="345">
        <f>SUM(K668:AD668)</f>
        <v>0</v>
      </c>
      <c r="K668" s="365">
        <f>Government1!$M50</f>
        <v>0</v>
      </c>
      <c r="L668" s="365">
        <f>Government2!$M50</f>
        <v>0</v>
      </c>
      <c r="M668" s="365">
        <f>Government3!$M50</f>
        <v>0</v>
      </c>
      <c r="N668" s="365">
        <f>Government4!$M50</f>
        <v>0</v>
      </c>
      <c r="O668" s="365">
        <f>Government5!$M50</f>
        <v>0</v>
      </c>
      <c r="P668" s="365">
        <f>Government6!$M50</f>
        <v>0</v>
      </c>
      <c r="Q668" s="365">
        <f>Government7!$M50</f>
        <v>0</v>
      </c>
      <c r="R668" s="365">
        <f>Government8!$M50</f>
        <v>0</v>
      </c>
      <c r="S668" s="365">
        <f>Government9!$M50</f>
        <v>0</v>
      </c>
      <c r="T668" s="365">
        <f>Government10!$M50</f>
        <v>0</v>
      </c>
      <c r="U668" s="179">
        <f>Partner1!$M121</f>
        <v>0</v>
      </c>
      <c r="V668" s="179">
        <f>Partner2!$M121</f>
        <v>0</v>
      </c>
      <c r="W668" s="179">
        <f>Partner3!$M121</f>
        <v>0</v>
      </c>
      <c r="X668" s="179">
        <f>Partner4!$M121</f>
        <v>0</v>
      </c>
      <c r="Y668" s="179">
        <f>Partner5!$M121</f>
        <v>0</v>
      </c>
      <c r="Z668" s="179">
        <f>Partner6!$M121</f>
        <v>0</v>
      </c>
      <c r="AA668" s="179">
        <f>Partner7!$M121</f>
        <v>0</v>
      </c>
      <c r="AB668" s="179">
        <f>Partner8!$M121</f>
        <v>0</v>
      </c>
      <c r="AC668" s="179">
        <f>Partner9!$M121</f>
        <v>0</v>
      </c>
      <c r="AD668" s="179">
        <f>Partner10!$M121</f>
        <v>0</v>
      </c>
    </row>
    <row r="669" spans="5:30" ht="12" x14ac:dyDescent="0.2">
      <c r="F669" s="94" t="str">
        <f>STRAT6_IND2</f>
        <v>Objetivo estratégico 6 Indicador 2</v>
      </c>
      <c r="G669" s="94" t="str">
        <f ca="1">OFFSET(Variables_Lu!$D$10,Basic_Setup!H65,0)</f>
        <v>Nutrition-specific</v>
      </c>
      <c r="H669" s="346">
        <f>'Financial Req'!$M51</f>
        <v>0</v>
      </c>
      <c r="I669" s="347">
        <f>H669-J669</f>
        <v>0</v>
      </c>
      <c r="J669" s="345">
        <f>SUM(K669:AD669)</f>
        <v>0</v>
      </c>
      <c r="K669" s="365">
        <f>Government1!$M51</f>
        <v>0</v>
      </c>
      <c r="L669" s="365">
        <f>Government2!$M51</f>
        <v>0</v>
      </c>
      <c r="M669" s="365">
        <f>Government3!$M51</f>
        <v>0</v>
      </c>
      <c r="N669" s="365">
        <f>Government4!$M51</f>
        <v>0</v>
      </c>
      <c r="O669" s="365">
        <f>Government5!$M51</f>
        <v>0</v>
      </c>
      <c r="P669" s="365">
        <f>Government6!$M51</f>
        <v>0</v>
      </c>
      <c r="Q669" s="365">
        <f>Government7!$M51</f>
        <v>0</v>
      </c>
      <c r="R669" s="365">
        <f>Government8!$M51</f>
        <v>0</v>
      </c>
      <c r="S669" s="365">
        <f>Government9!$M51</f>
        <v>0</v>
      </c>
      <c r="T669" s="365">
        <f>Government10!$M51</f>
        <v>0</v>
      </c>
      <c r="U669" s="179">
        <f>Partner1!$M122</f>
        <v>0</v>
      </c>
      <c r="V669" s="179">
        <f>Partner2!$M122</f>
        <v>0</v>
      </c>
      <c r="W669" s="179">
        <f>Partner3!$M122</f>
        <v>0</v>
      </c>
      <c r="X669" s="179">
        <f>Partner4!$M122</f>
        <v>0</v>
      </c>
      <c r="Y669" s="179">
        <f>Partner5!$M122</f>
        <v>0</v>
      </c>
      <c r="Z669" s="179">
        <f>Partner6!$M122</f>
        <v>0</v>
      </c>
      <c r="AA669" s="179">
        <f>Partner7!$M122</f>
        <v>0</v>
      </c>
      <c r="AB669" s="179">
        <f>Partner8!$M122</f>
        <v>0</v>
      </c>
      <c r="AC669" s="179">
        <f>Partner9!$M122</f>
        <v>0</v>
      </c>
      <c r="AD669" s="179">
        <f>Partner10!$M122</f>
        <v>0</v>
      </c>
    </row>
    <row r="670" spans="5:30" ht="12" x14ac:dyDescent="0.2">
      <c r="F670" s="94" t="str">
        <f>STRAT6_IND3</f>
        <v>Objetivo estratégico 6 Indicador 3</v>
      </c>
      <c r="G670" s="94" t="str">
        <f ca="1">OFFSET(Variables_Lu!$D$10,Basic_Setup!H66,0)</f>
        <v>Nutrition-specific</v>
      </c>
      <c r="H670" s="346">
        <f>'Financial Req'!$M52</f>
        <v>0</v>
      </c>
      <c r="I670" s="347">
        <f>H670-J670</f>
        <v>0</v>
      </c>
      <c r="J670" s="345">
        <f>SUM(K670:AD670)</f>
        <v>0</v>
      </c>
      <c r="K670" s="365">
        <f>Government1!$M52</f>
        <v>0</v>
      </c>
      <c r="L670" s="365">
        <f>Government2!$M52</f>
        <v>0</v>
      </c>
      <c r="M670" s="365">
        <f>Government3!$M52</f>
        <v>0</v>
      </c>
      <c r="N670" s="365">
        <f>Government4!$M52</f>
        <v>0</v>
      </c>
      <c r="O670" s="365">
        <f>Government5!$M52</f>
        <v>0</v>
      </c>
      <c r="P670" s="365">
        <f>Government6!$M52</f>
        <v>0</v>
      </c>
      <c r="Q670" s="365">
        <f>Government7!$M52</f>
        <v>0</v>
      </c>
      <c r="R670" s="365">
        <f>Government8!$M52</f>
        <v>0</v>
      </c>
      <c r="S670" s="365">
        <f>Government9!$M52</f>
        <v>0</v>
      </c>
      <c r="T670" s="365">
        <f>Government10!$M52</f>
        <v>0</v>
      </c>
      <c r="U670" s="179">
        <f>Partner1!$M123</f>
        <v>0</v>
      </c>
      <c r="V670" s="179">
        <f>Partner2!$M123</f>
        <v>0</v>
      </c>
      <c r="W670" s="179">
        <f>Partner3!$M123</f>
        <v>0</v>
      </c>
      <c r="X670" s="179">
        <f>Partner4!$M123</f>
        <v>0</v>
      </c>
      <c r="Y670" s="179">
        <f>Partner5!$M123</f>
        <v>0</v>
      </c>
      <c r="Z670" s="179">
        <f>Partner6!$M123</f>
        <v>0</v>
      </c>
      <c r="AA670" s="179">
        <f>Partner7!$M123</f>
        <v>0</v>
      </c>
      <c r="AB670" s="179">
        <f>Partner8!$M123</f>
        <v>0</v>
      </c>
      <c r="AC670" s="179">
        <f>Partner9!$M123</f>
        <v>0</v>
      </c>
      <c r="AD670" s="179">
        <f>Partner10!$M123</f>
        <v>0</v>
      </c>
    </row>
    <row r="671" spans="5:30" ht="12" x14ac:dyDescent="0.2">
      <c r="F671" s="94" t="str">
        <f>STRAT6_IND4</f>
        <v>Objetivo estratégico 6 Indicador 4</v>
      </c>
      <c r="G671" s="94" t="str">
        <f ca="1">OFFSET(Variables_Lu!$D$10,Basic_Setup!H67,0)</f>
        <v>Nutrition-specific</v>
      </c>
      <c r="H671" s="346">
        <f>'Financial Req'!$M53</f>
        <v>0</v>
      </c>
      <c r="I671" s="347">
        <f>H671-J671</f>
        <v>0</v>
      </c>
      <c r="J671" s="345">
        <f>SUM(K671:AD671)</f>
        <v>0</v>
      </c>
      <c r="K671" s="365">
        <f>Government1!$M53</f>
        <v>0</v>
      </c>
      <c r="L671" s="365">
        <f>Government2!$M53</f>
        <v>0</v>
      </c>
      <c r="M671" s="365">
        <f>Government3!$M53</f>
        <v>0</v>
      </c>
      <c r="N671" s="365">
        <f>Government4!$M53</f>
        <v>0</v>
      </c>
      <c r="O671" s="365">
        <f>Government5!$M53</f>
        <v>0</v>
      </c>
      <c r="P671" s="365">
        <f>Government6!$M53</f>
        <v>0</v>
      </c>
      <c r="Q671" s="365">
        <f>Government7!$M53</f>
        <v>0</v>
      </c>
      <c r="R671" s="365">
        <f>Government8!$M53</f>
        <v>0</v>
      </c>
      <c r="S671" s="365">
        <f>Government9!$M53</f>
        <v>0</v>
      </c>
      <c r="T671" s="365">
        <f>Government10!$M53</f>
        <v>0</v>
      </c>
      <c r="U671" s="179">
        <f>Partner1!$M124</f>
        <v>0</v>
      </c>
      <c r="V671" s="179">
        <f>Partner2!$M124</f>
        <v>0</v>
      </c>
      <c r="W671" s="179">
        <f>Partner3!$M124</f>
        <v>0</v>
      </c>
      <c r="X671" s="179">
        <f>Partner4!$M124</f>
        <v>0</v>
      </c>
      <c r="Y671" s="179">
        <f>Partner5!$M124</f>
        <v>0</v>
      </c>
      <c r="Z671" s="179">
        <f>Partner6!$M124</f>
        <v>0</v>
      </c>
      <c r="AA671" s="179">
        <f>Partner7!$M124</f>
        <v>0</v>
      </c>
      <c r="AB671" s="179">
        <f>Partner8!$M124</f>
        <v>0</v>
      </c>
      <c r="AC671" s="179">
        <f>Partner9!$M124</f>
        <v>0</v>
      </c>
      <c r="AD671" s="179">
        <f>Partner10!$M124</f>
        <v>0</v>
      </c>
    </row>
    <row r="672" spans="5:30" ht="12" x14ac:dyDescent="0.2">
      <c r="F672" s="94" t="str">
        <f>STRAT6_IND5</f>
        <v>Objetivo estratégico 6 Indicador 5</v>
      </c>
      <c r="G672" s="94" t="str">
        <f ca="1">OFFSET(Variables_Lu!$D$10,Basic_Setup!H68,0)</f>
        <v>Nutrition-specific</v>
      </c>
      <c r="H672" s="346">
        <f>'Financial Req'!$M54</f>
        <v>0</v>
      </c>
      <c r="I672" s="347">
        <f>H672-J672</f>
        <v>0</v>
      </c>
      <c r="J672" s="345">
        <f>SUM(K672:AD672)</f>
        <v>0</v>
      </c>
      <c r="K672" s="365">
        <f>Government1!$M54</f>
        <v>0</v>
      </c>
      <c r="L672" s="365">
        <f>Government2!$M54</f>
        <v>0</v>
      </c>
      <c r="M672" s="365">
        <f>Government3!$M54</f>
        <v>0</v>
      </c>
      <c r="N672" s="365">
        <f>Government4!$M54</f>
        <v>0</v>
      </c>
      <c r="O672" s="365">
        <f>Government5!$M54</f>
        <v>0</v>
      </c>
      <c r="P672" s="365">
        <f>Government6!$M54</f>
        <v>0</v>
      </c>
      <c r="Q672" s="365">
        <f>Government7!$M54</f>
        <v>0</v>
      </c>
      <c r="R672" s="365">
        <f>Government8!$M54</f>
        <v>0</v>
      </c>
      <c r="S672" s="365">
        <f>Government9!$M54</f>
        <v>0</v>
      </c>
      <c r="T672" s="365">
        <f>Government10!$M54</f>
        <v>0</v>
      </c>
      <c r="U672" s="179">
        <f>Partner1!$M125</f>
        <v>0</v>
      </c>
      <c r="V672" s="179">
        <f>Partner2!$M125</f>
        <v>0</v>
      </c>
      <c r="W672" s="179">
        <f>Partner3!$M125</f>
        <v>0</v>
      </c>
      <c r="X672" s="179">
        <f>Partner4!$M125</f>
        <v>0</v>
      </c>
      <c r="Y672" s="179">
        <f>Partner5!$M125</f>
        <v>0</v>
      </c>
      <c r="Z672" s="179">
        <f>Partner6!$M125</f>
        <v>0</v>
      </c>
      <c r="AA672" s="179">
        <f>Partner7!$M125</f>
        <v>0</v>
      </c>
      <c r="AB672" s="179">
        <f>Partner8!$M125</f>
        <v>0</v>
      </c>
      <c r="AC672" s="179">
        <f>Partner9!$M125</f>
        <v>0</v>
      </c>
      <c r="AD672" s="179">
        <f>Partner10!$M125</f>
        <v>0</v>
      </c>
    </row>
    <row r="673" spans="5:30" x14ac:dyDescent="0.2">
      <c r="F673" s="332" t="str">
        <f>"Subtotal: "&amp;E202</f>
        <v>Subtotal: Objetivo estratégico 6: [No está en uso]</v>
      </c>
      <c r="G673" s="333"/>
      <c r="H673" s="348">
        <f>'Financial Req'!$M55</f>
        <v>0</v>
      </c>
      <c r="I673" s="349">
        <f>SUM(I668:I672)</f>
        <v>0</v>
      </c>
      <c r="J673" s="350">
        <f>SUM(J668:J672)</f>
        <v>0</v>
      </c>
      <c r="K673" s="366">
        <f>Government1!$M55</f>
        <v>0</v>
      </c>
      <c r="L673" s="366">
        <f>Government2!$M55</f>
        <v>0</v>
      </c>
      <c r="M673" s="366">
        <f>Government3!$M55</f>
        <v>0</v>
      </c>
      <c r="N673" s="366">
        <f>Government4!$M55</f>
        <v>0</v>
      </c>
      <c r="O673" s="366">
        <f>Government5!$M55</f>
        <v>0</v>
      </c>
      <c r="P673" s="366">
        <f>Government6!$M55</f>
        <v>0</v>
      </c>
      <c r="Q673" s="366">
        <f>Government7!$M55</f>
        <v>0</v>
      </c>
      <c r="R673" s="366">
        <f>Government8!$M55</f>
        <v>0</v>
      </c>
      <c r="S673" s="366">
        <f>Government9!$M55</f>
        <v>0</v>
      </c>
      <c r="T673" s="366">
        <f>Government10!$M55</f>
        <v>0</v>
      </c>
      <c r="U673" s="331">
        <f>Partner1!$M126</f>
        <v>0</v>
      </c>
      <c r="V673" s="331">
        <f>Partner2!$M126</f>
        <v>0</v>
      </c>
      <c r="W673" s="331">
        <f>Partner3!$M126</f>
        <v>0</v>
      </c>
      <c r="X673" s="331">
        <f>Partner4!$M126</f>
        <v>0</v>
      </c>
      <c r="Y673" s="331">
        <f>Partner5!$M126</f>
        <v>0</v>
      </c>
      <c r="Z673" s="331">
        <f>Partner6!$M126</f>
        <v>0</v>
      </c>
      <c r="AA673" s="331">
        <f>Partner7!$M126</f>
        <v>0</v>
      </c>
      <c r="AB673" s="331">
        <f>Partner8!$M126</f>
        <v>0</v>
      </c>
      <c r="AC673" s="331">
        <f>Partner9!$M126</f>
        <v>0</v>
      </c>
      <c r="AD673" s="331">
        <f>Partner10!$M126</f>
        <v>0</v>
      </c>
    </row>
    <row r="674" spans="5:30" ht="12" x14ac:dyDescent="0.2">
      <c r="E674" s="301" t="str">
        <f>Strategy7</f>
        <v>Objetivo estratégico 7: [No está en uso]</v>
      </c>
      <c r="G674" s="94"/>
      <c r="H674" s="343"/>
      <c r="I674" s="344"/>
      <c r="J674" s="345"/>
      <c r="K674" s="365"/>
      <c r="L674" s="365"/>
      <c r="M674" s="365"/>
      <c r="N674" s="365"/>
      <c r="O674" s="365"/>
      <c r="P674" s="365"/>
      <c r="Q674" s="365"/>
      <c r="R674" s="365"/>
      <c r="S674" s="365"/>
      <c r="T674" s="365"/>
      <c r="U674" s="179"/>
      <c r="V674" s="179"/>
      <c r="W674" s="179"/>
      <c r="X674" s="179"/>
      <c r="Y674" s="179"/>
      <c r="Z674" s="179"/>
      <c r="AA674" s="179"/>
      <c r="AB674" s="179"/>
      <c r="AC674" s="179"/>
      <c r="AD674" s="179"/>
    </row>
    <row r="675" spans="5:30" ht="12" x14ac:dyDescent="0.2">
      <c r="F675" s="94" t="str">
        <f>STRAT7_IND1</f>
        <v>Objetivo estratégico 7 Indicador 1</v>
      </c>
      <c r="G675" s="94" t="str">
        <f ca="1">OFFSET(Variables_Lu!$D$10,Basic_Setup!H70,0)</f>
        <v>Nutrition-specific</v>
      </c>
      <c r="H675" s="346">
        <f>'Financial Req'!$M56</f>
        <v>0</v>
      </c>
      <c r="I675" s="347">
        <f>H675-J675</f>
        <v>0</v>
      </c>
      <c r="J675" s="345">
        <f>SUM(K675:AD675)</f>
        <v>0</v>
      </c>
      <c r="K675" s="365">
        <f>Government1!$M56</f>
        <v>0</v>
      </c>
      <c r="L675" s="365">
        <f>Government2!$M56</f>
        <v>0</v>
      </c>
      <c r="M675" s="365">
        <f>Government3!$M56</f>
        <v>0</v>
      </c>
      <c r="N675" s="365">
        <f>Government4!$M56</f>
        <v>0</v>
      </c>
      <c r="O675" s="365">
        <f>Government5!$M56</f>
        <v>0</v>
      </c>
      <c r="P675" s="365">
        <f>Government6!$M56</f>
        <v>0</v>
      </c>
      <c r="Q675" s="365">
        <f>Government7!$M56</f>
        <v>0</v>
      </c>
      <c r="R675" s="365">
        <f>Government8!$M56</f>
        <v>0</v>
      </c>
      <c r="S675" s="365">
        <f>Government9!$M56</f>
        <v>0</v>
      </c>
      <c r="T675" s="365">
        <f>Government10!$M56</f>
        <v>0</v>
      </c>
      <c r="U675" s="179">
        <f>Partner1!$M127</f>
        <v>0</v>
      </c>
      <c r="V675" s="179">
        <f>Partner2!$M127</f>
        <v>0</v>
      </c>
      <c r="W675" s="179">
        <f>Partner3!$M127</f>
        <v>0</v>
      </c>
      <c r="X675" s="179">
        <f>Partner4!$M127</f>
        <v>0</v>
      </c>
      <c r="Y675" s="179">
        <f>Partner5!$M127</f>
        <v>0</v>
      </c>
      <c r="Z675" s="179">
        <f>Partner6!$M127</f>
        <v>0</v>
      </c>
      <c r="AA675" s="179">
        <f>Partner7!$M127</f>
        <v>0</v>
      </c>
      <c r="AB675" s="179">
        <f>Partner8!$M127</f>
        <v>0</v>
      </c>
      <c r="AC675" s="179">
        <f>Partner9!$M127</f>
        <v>0</v>
      </c>
      <c r="AD675" s="179">
        <f>Partner10!$M127</f>
        <v>0</v>
      </c>
    </row>
    <row r="676" spans="5:30" ht="12" x14ac:dyDescent="0.2">
      <c r="F676" s="94" t="str">
        <f>STRAT7_IND2</f>
        <v>Objetivo estratégico 7 Indicador 2</v>
      </c>
      <c r="G676" s="94" t="str">
        <f ca="1">OFFSET(Variables_Lu!$D$10,Basic_Setup!H71,0)</f>
        <v>Nutrition-specific</v>
      </c>
      <c r="H676" s="346">
        <f>'Financial Req'!$M57</f>
        <v>0</v>
      </c>
      <c r="I676" s="347">
        <f>H676-J676</f>
        <v>0</v>
      </c>
      <c r="J676" s="345">
        <f>SUM(K676:AD676)</f>
        <v>0</v>
      </c>
      <c r="K676" s="365">
        <f>Government1!$M57</f>
        <v>0</v>
      </c>
      <c r="L676" s="365">
        <f>Government2!$M57</f>
        <v>0</v>
      </c>
      <c r="M676" s="365">
        <f>Government3!$M57</f>
        <v>0</v>
      </c>
      <c r="N676" s="365">
        <f>Government4!$M57</f>
        <v>0</v>
      </c>
      <c r="O676" s="365">
        <f>Government5!$M57</f>
        <v>0</v>
      </c>
      <c r="P676" s="365">
        <f>Government6!$M57</f>
        <v>0</v>
      </c>
      <c r="Q676" s="365">
        <f>Government7!$M57</f>
        <v>0</v>
      </c>
      <c r="R676" s="365">
        <f>Government8!$M57</f>
        <v>0</v>
      </c>
      <c r="S676" s="365">
        <f>Government9!$M57</f>
        <v>0</v>
      </c>
      <c r="T676" s="365">
        <f>Government10!$M57</f>
        <v>0</v>
      </c>
      <c r="U676" s="179">
        <f>Partner1!$M128</f>
        <v>0</v>
      </c>
      <c r="V676" s="179">
        <f>Partner2!$M128</f>
        <v>0</v>
      </c>
      <c r="W676" s="179">
        <f>Partner3!$M128</f>
        <v>0</v>
      </c>
      <c r="X676" s="179">
        <f>Partner4!$M128</f>
        <v>0</v>
      </c>
      <c r="Y676" s="179">
        <f>Partner5!$M128</f>
        <v>0</v>
      </c>
      <c r="Z676" s="179">
        <f>Partner6!$M128</f>
        <v>0</v>
      </c>
      <c r="AA676" s="179">
        <f>Partner7!$M128</f>
        <v>0</v>
      </c>
      <c r="AB676" s="179">
        <f>Partner8!$M128</f>
        <v>0</v>
      </c>
      <c r="AC676" s="179">
        <f>Partner9!$M128</f>
        <v>0</v>
      </c>
      <c r="AD676" s="179">
        <f>Partner10!$M128</f>
        <v>0</v>
      </c>
    </row>
    <row r="677" spans="5:30" ht="12" x14ac:dyDescent="0.2">
      <c r="F677" s="94" t="str">
        <f>STRAT7_IND3</f>
        <v>Objetivo estratégico 7 Indicador 3</v>
      </c>
      <c r="G677" s="94" t="str">
        <f ca="1">OFFSET(Variables_Lu!$D$10,Basic_Setup!H72,0)</f>
        <v>Nutrition-specific</v>
      </c>
      <c r="H677" s="346">
        <f>'Financial Req'!$M58</f>
        <v>0</v>
      </c>
      <c r="I677" s="347">
        <f>H677-J677</f>
        <v>0</v>
      </c>
      <c r="J677" s="345">
        <f>SUM(K677:AD677)</f>
        <v>0</v>
      </c>
      <c r="K677" s="365">
        <f>Government1!$M58</f>
        <v>0</v>
      </c>
      <c r="L677" s="365">
        <f>Government2!$M58</f>
        <v>0</v>
      </c>
      <c r="M677" s="365">
        <f>Government3!$M58</f>
        <v>0</v>
      </c>
      <c r="N677" s="365">
        <f>Government4!$M58</f>
        <v>0</v>
      </c>
      <c r="O677" s="365">
        <f>Government5!$M58</f>
        <v>0</v>
      </c>
      <c r="P677" s="365">
        <f>Government6!$M58</f>
        <v>0</v>
      </c>
      <c r="Q677" s="365">
        <f>Government7!$M58</f>
        <v>0</v>
      </c>
      <c r="R677" s="365">
        <f>Government8!$M58</f>
        <v>0</v>
      </c>
      <c r="S677" s="365">
        <f>Government9!$M58</f>
        <v>0</v>
      </c>
      <c r="T677" s="365">
        <f>Government10!$M58</f>
        <v>0</v>
      </c>
      <c r="U677" s="179">
        <f>Partner1!$M129</f>
        <v>0</v>
      </c>
      <c r="V677" s="179">
        <f>Partner2!$M129</f>
        <v>0</v>
      </c>
      <c r="W677" s="179">
        <f>Partner3!$M129</f>
        <v>0</v>
      </c>
      <c r="X677" s="179">
        <f>Partner4!$M129</f>
        <v>0</v>
      </c>
      <c r="Y677" s="179">
        <f>Partner5!$M129</f>
        <v>0</v>
      </c>
      <c r="Z677" s="179">
        <f>Partner6!$M129</f>
        <v>0</v>
      </c>
      <c r="AA677" s="179">
        <f>Partner7!$M129</f>
        <v>0</v>
      </c>
      <c r="AB677" s="179">
        <f>Partner8!$M129</f>
        <v>0</v>
      </c>
      <c r="AC677" s="179">
        <f>Partner9!$M129</f>
        <v>0</v>
      </c>
      <c r="AD677" s="179">
        <f>Partner10!$M129</f>
        <v>0</v>
      </c>
    </row>
    <row r="678" spans="5:30" ht="12" x14ac:dyDescent="0.2">
      <c r="F678" s="94" t="str">
        <f>STRAT7_IND4</f>
        <v>Objetivo estratégico 7 Indicador 4</v>
      </c>
      <c r="G678" s="94" t="str">
        <f ca="1">OFFSET(Variables_Lu!$D$10,Basic_Setup!H73,0)</f>
        <v>Nutrition-specific</v>
      </c>
      <c r="H678" s="346">
        <f>'Financial Req'!$M59</f>
        <v>0</v>
      </c>
      <c r="I678" s="347">
        <f>H678-J678</f>
        <v>0</v>
      </c>
      <c r="J678" s="345">
        <f>SUM(K678:AD678)</f>
        <v>0</v>
      </c>
      <c r="K678" s="365">
        <f>Government1!$M59</f>
        <v>0</v>
      </c>
      <c r="L678" s="365">
        <f>Government2!$M59</f>
        <v>0</v>
      </c>
      <c r="M678" s="365">
        <f>Government3!$M59</f>
        <v>0</v>
      </c>
      <c r="N678" s="365">
        <f>Government4!$M59</f>
        <v>0</v>
      </c>
      <c r="O678" s="365">
        <f>Government5!$M59</f>
        <v>0</v>
      </c>
      <c r="P678" s="365">
        <f>Government6!$M59</f>
        <v>0</v>
      </c>
      <c r="Q678" s="365">
        <f>Government7!$M59</f>
        <v>0</v>
      </c>
      <c r="R678" s="365">
        <f>Government8!$M59</f>
        <v>0</v>
      </c>
      <c r="S678" s="365">
        <f>Government9!$M59</f>
        <v>0</v>
      </c>
      <c r="T678" s="365">
        <f>Government10!$M59</f>
        <v>0</v>
      </c>
      <c r="U678" s="179">
        <f>Partner1!$M130</f>
        <v>0</v>
      </c>
      <c r="V678" s="179">
        <f>Partner2!$M130</f>
        <v>0</v>
      </c>
      <c r="W678" s="179">
        <f>Partner3!$M130</f>
        <v>0</v>
      </c>
      <c r="X678" s="179">
        <f>Partner4!$M130</f>
        <v>0</v>
      </c>
      <c r="Y678" s="179">
        <f>Partner5!$M130</f>
        <v>0</v>
      </c>
      <c r="Z678" s="179">
        <f>Partner6!$M130</f>
        <v>0</v>
      </c>
      <c r="AA678" s="179">
        <f>Partner7!$M130</f>
        <v>0</v>
      </c>
      <c r="AB678" s="179">
        <f>Partner8!$M130</f>
        <v>0</v>
      </c>
      <c r="AC678" s="179">
        <f>Partner9!$M130</f>
        <v>0</v>
      </c>
      <c r="AD678" s="179">
        <f>Partner10!$M130</f>
        <v>0</v>
      </c>
    </row>
    <row r="679" spans="5:30" ht="12" x14ac:dyDescent="0.2">
      <c r="F679" s="94" t="str">
        <f>STRAT7_IND5</f>
        <v>Objetivo estratégico 7 Indicador 5</v>
      </c>
      <c r="G679" s="94" t="str">
        <f ca="1">OFFSET(Variables_Lu!$D$10,Basic_Setup!H74,0)</f>
        <v>Nutrition-specific</v>
      </c>
      <c r="H679" s="346">
        <f>'Financial Req'!$M60</f>
        <v>0</v>
      </c>
      <c r="I679" s="347">
        <f>H679-J679</f>
        <v>0</v>
      </c>
      <c r="J679" s="345">
        <f>SUM(K679:AD679)</f>
        <v>0</v>
      </c>
      <c r="K679" s="365">
        <f>Government1!$M60</f>
        <v>0</v>
      </c>
      <c r="L679" s="365">
        <f>Government2!$M60</f>
        <v>0</v>
      </c>
      <c r="M679" s="365">
        <f>Government3!$M60</f>
        <v>0</v>
      </c>
      <c r="N679" s="365">
        <f>Government4!$M60</f>
        <v>0</v>
      </c>
      <c r="O679" s="365">
        <f>Government5!$M60</f>
        <v>0</v>
      </c>
      <c r="P679" s="365">
        <f>Government6!$M60</f>
        <v>0</v>
      </c>
      <c r="Q679" s="365">
        <f>Government7!$M60</f>
        <v>0</v>
      </c>
      <c r="R679" s="365">
        <f>Government8!$M60</f>
        <v>0</v>
      </c>
      <c r="S679" s="365">
        <f>Government9!$M60</f>
        <v>0</v>
      </c>
      <c r="T679" s="365">
        <f>Government10!$M60</f>
        <v>0</v>
      </c>
      <c r="U679" s="179">
        <f>Partner1!$M131</f>
        <v>0</v>
      </c>
      <c r="V679" s="179">
        <f>Partner2!$M131</f>
        <v>0</v>
      </c>
      <c r="W679" s="179">
        <f>Partner3!$M131</f>
        <v>0</v>
      </c>
      <c r="X679" s="179">
        <f>Partner4!$M131</f>
        <v>0</v>
      </c>
      <c r="Y679" s="179">
        <f>Partner5!$M131</f>
        <v>0</v>
      </c>
      <c r="Z679" s="179">
        <f>Partner6!$M131</f>
        <v>0</v>
      </c>
      <c r="AA679" s="179">
        <f>Partner7!$M131</f>
        <v>0</v>
      </c>
      <c r="AB679" s="179">
        <f>Partner8!$M131</f>
        <v>0</v>
      </c>
      <c r="AC679" s="179">
        <f>Partner9!$M131</f>
        <v>0</v>
      </c>
      <c r="AD679" s="179">
        <f>Partner10!$M131</f>
        <v>0</v>
      </c>
    </row>
    <row r="680" spans="5:30" x14ac:dyDescent="0.2">
      <c r="F680" s="332" t="str">
        <f>"Subtotal: "&amp;E209</f>
        <v>Subtotal: Objetivo estratégico 7: [No está en uso]</v>
      </c>
      <c r="G680" s="333"/>
      <c r="H680" s="348">
        <f>'Financial Req'!$M61</f>
        <v>0</v>
      </c>
      <c r="I680" s="349">
        <f>SUM(I675:I679)</f>
        <v>0</v>
      </c>
      <c r="J680" s="350">
        <f>SUM(J675:J679)</f>
        <v>0</v>
      </c>
      <c r="K680" s="366">
        <f>Government1!$M61</f>
        <v>0</v>
      </c>
      <c r="L680" s="366">
        <f>Government2!$M61</f>
        <v>0</v>
      </c>
      <c r="M680" s="366">
        <f>Government3!$M61</f>
        <v>0</v>
      </c>
      <c r="N680" s="366">
        <f>Government4!$M61</f>
        <v>0</v>
      </c>
      <c r="O680" s="366">
        <f>Government5!$M61</f>
        <v>0</v>
      </c>
      <c r="P680" s="366">
        <f>Government6!$M61</f>
        <v>0</v>
      </c>
      <c r="Q680" s="366">
        <f>Government7!$M61</f>
        <v>0</v>
      </c>
      <c r="R680" s="366">
        <f>Government8!$M61</f>
        <v>0</v>
      </c>
      <c r="S680" s="366">
        <f>Government9!$M61</f>
        <v>0</v>
      </c>
      <c r="T680" s="366">
        <f>Government10!$M61</f>
        <v>0</v>
      </c>
      <c r="U680" s="331">
        <f>Partner1!$M132</f>
        <v>0</v>
      </c>
      <c r="V680" s="331">
        <f>Partner2!$M132</f>
        <v>0</v>
      </c>
      <c r="W680" s="331">
        <f>Partner3!$M132</f>
        <v>0</v>
      </c>
      <c r="X680" s="331">
        <f>Partner4!$M132</f>
        <v>0</v>
      </c>
      <c r="Y680" s="331">
        <f>Partner5!$M132</f>
        <v>0</v>
      </c>
      <c r="Z680" s="331">
        <f>Partner6!$M132</f>
        <v>0</v>
      </c>
      <c r="AA680" s="331">
        <f>Partner7!$M132</f>
        <v>0</v>
      </c>
      <c r="AB680" s="331">
        <f>Partner8!$M132</f>
        <v>0</v>
      </c>
      <c r="AC680" s="331">
        <f>Partner9!$M132</f>
        <v>0</v>
      </c>
      <c r="AD680" s="331">
        <f>Partner10!$M132</f>
        <v>0</v>
      </c>
    </row>
    <row r="681" spans="5:30" ht="12" x14ac:dyDescent="0.2">
      <c r="E681" s="301" t="str">
        <f>Strategy8</f>
        <v>Objetivo estratégico 8: [No está en uso]</v>
      </c>
      <c r="G681" s="94"/>
      <c r="H681" s="343"/>
      <c r="I681" s="344"/>
      <c r="J681" s="345"/>
      <c r="K681" s="365"/>
      <c r="L681" s="365"/>
      <c r="M681" s="365"/>
      <c r="N681" s="365"/>
      <c r="O681" s="365"/>
      <c r="P681" s="365"/>
      <c r="Q681" s="365"/>
      <c r="R681" s="365"/>
      <c r="S681" s="365"/>
      <c r="T681" s="365"/>
      <c r="U681" s="179"/>
      <c r="V681" s="179"/>
      <c r="W681" s="179"/>
      <c r="X681" s="179"/>
      <c r="Y681" s="179"/>
      <c r="Z681" s="179"/>
      <c r="AA681" s="179"/>
      <c r="AB681" s="179"/>
      <c r="AC681" s="179"/>
      <c r="AD681" s="179"/>
    </row>
    <row r="682" spans="5:30" ht="12" x14ac:dyDescent="0.2">
      <c r="F682" s="94" t="str">
        <f>STRAT8_IND1</f>
        <v>Objetivo estratégico 8 Indicador 1</v>
      </c>
      <c r="G682" s="94" t="str">
        <f ca="1">OFFSET(Variables_Lu!$D$10,Basic_Setup!H76,0)</f>
        <v>Nutrition-specific</v>
      </c>
      <c r="H682" s="346">
        <f>'Financial Req'!$M62</f>
        <v>0</v>
      </c>
      <c r="I682" s="347">
        <f>H682-J682</f>
        <v>0</v>
      </c>
      <c r="J682" s="345">
        <f>SUM(K682:AD682)</f>
        <v>0</v>
      </c>
      <c r="K682" s="365">
        <f>Government1!$M62</f>
        <v>0</v>
      </c>
      <c r="L682" s="365">
        <f>Government2!$M62</f>
        <v>0</v>
      </c>
      <c r="M682" s="365">
        <f>Government3!$M62</f>
        <v>0</v>
      </c>
      <c r="N682" s="365">
        <f>Government4!$M62</f>
        <v>0</v>
      </c>
      <c r="O682" s="365">
        <f>Government5!$M62</f>
        <v>0</v>
      </c>
      <c r="P682" s="365">
        <f>Government6!$M62</f>
        <v>0</v>
      </c>
      <c r="Q682" s="365">
        <f>Government7!$M62</f>
        <v>0</v>
      </c>
      <c r="R682" s="365">
        <f>Government8!$M62</f>
        <v>0</v>
      </c>
      <c r="S682" s="365">
        <f>Government9!$M62</f>
        <v>0</v>
      </c>
      <c r="T682" s="365">
        <f>Government10!$M62</f>
        <v>0</v>
      </c>
      <c r="U682" s="179">
        <f>Partner1!$M133</f>
        <v>0</v>
      </c>
      <c r="V682" s="179">
        <f>Partner2!$M133</f>
        <v>0</v>
      </c>
      <c r="W682" s="179">
        <f>Partner3!$M133</f>
        <v>0</v>
      </c>
      <c r="X682" s="179">
        <f>Partner4!$M133</f>
        <v>0</v>
      </c>
      <c r="Y682" s="179">
        <f>Partner5!$M133</f>
        <v>0</v>
      </c>
      <c r="Z682" s="179">
        <f>Partner6!$M133</f>
        <v>0</v>
      </c>
      <c r="AA682" s="179">
        <f>Partner7!$M133</f>
        <v>0</v>
      </c>
      <c r="AB682" s="179">
        <f>Partner8!$M133</f>
        <v>0</v>
      </c>
      <c r="AC682" s="179">
        <f>Partner9!$M133</f>
        <v>0</v>
      </c>
      <c r="AD682" s="179">
        <f>Partner10!$M133</f>
        <v>0</v>
      </c>
    </row>
    <row r="683" spans="5:30" ht="12" x14ac:dyDescent="0.2">
      <c r="F683" s="94" t="str">
        <f>STRAT8_IND2</f>
        <v>Objetivo estratégico 8 Indicador 2</v>
      </c>
      <c r="G683" s="94" t="str">
        <f ca="1">OFFSET(Variables_Lu!$D$10,Basic_Setup!H77,0)</f>
        <v>Nutrition-specific</v>
      </c>
      <c r="H683" s="346">
        <f>'Financial Req'!$M63</f>
        <v>0</v>
      </c>
      <c r="I683" s="347">
        <f>H683-J683</f>
        <v>0</v>
      </c>
      <c r="J683" s="345">
        <f>SUM(K683:AD683)</f>
        <v>0</v>
      </c>
      <c r="K683" s="365">
        <f>Government1!$M63</f>
        <v>0</v>
      </c>
      <c r="L683" s="365">
        <f>Government2!$M63</f>
        <v>0</v>
      </c>
      <c r="M683" s="365">
        <f>Government3!$M63</f>
        <v>0</v>
      </c>
      <c r="N683" s="365">
        <f>Government4!$M63</f>
        <v>0</v>
      </c>
      <c r="O683" s="365">
        <f>Government5!$M63</f>
        <v>0</v>
      </c>
      <c r="P683" s="365">
        <f>Government6!$M63</f>
        <v>0</v>
      </c>
      <c r="Q683" s="365">
        <f>Government7!$M63</f>
        <v>0</v>
      </c>
      <c r="R683" s="365">
        <f>Government8!$M63</f>
        <v>0</v>
      </c>
      <c r="S683" s="365">
        <f>Government9!$M63</f>
        <v>0</v>
      </c>
      <c r="T683" s="365">
        <f>Government10!$M63</f>
        <v>0</v>
      </c>
      <c r="U683" s="179">
        <f>Partner1!$M134</f>
        <v>0</v>
      </c>
      <c r="V683" s="179">
        <f>Partner2!$M134</f>
        <v>0</v>
      </c>
      <c r="W683" s="179">
        <f>Partner3!$M134</f>
        <v>0</v>
      </c>
      <c r="X683" s="179">
        <f>Partner4!$M134</f>
        <v>0</v>
      </c>
      <c r="Y683" s="179">
        <f>Partner5!$M134</f>
        <v>0</v>
      </c>
      <c r="Z683" s="179">
        <f>Partner6!$M134</f>
        <v>0</v>
      </c>
      <c r="AA683" s="179">
        <f>Partner7!$M134</f>
        <v>0</v>
      </c>
      <c r="AB683" s="179">
        <f>Partner8!$M134</f>
        <v>0</v>
      </c>
      <c r="AC683" s="179">
        <f>Partner9!$M134</f>
        <v>0</v>
      </c>
      <c r="AD683" s="179">
        <f>Partner10!$M134</f>
        <v>0</v>
      </c>
    </row>
    <row r="684" spans="5:30" ht="12" x14ac:dyDescent="0.2">
      <c r="F684" s="94" t="str">
        <f>STRAT8_IND3</f>
        <v>Objetivo estratégico 8 Indicador 3</v>
      </c>
      <c r="G684" s="94" t="str">
        <f ca="1">OFFSET(Variables_Lu!$D$10,Basic_Setup!H78,0)</f>
        <v>Nutrition-specific</v>
      </c>
      <c r="H684" s="346">
        <f>'Financial Req'!$M64</f>
        <v>0</v>
      </c>
      <c r="I684" s="347">
        <f>H684-J684</f>
        <v>0</v>
      </c>
      <c r="J684" s="345">
        <f>SUM(K684:AD684)</f>
        <v>0</v>
      </c>
      <c r="K684" s="365">
        <f>Government1!$M64</f>
        <v>0</v>
      </c>
      <c r="L684" s="365">
        <f>Government2!$M64</f>
        <v>0</v>
      </c>
      <c r="M684" s="365">
        <f>Government3!$M64</f>
        <v>0</v>
      </c>
      <c r="N684" s="365">
        <f>Government4!$M64</f>
        <v>0</v>
      </c>
      <c r="O684" s="365">
        <f>Government5!$M64</f>
        <v>0</v>
      </c>
      <c r="P684" s="365">
        <f>Government6!$M64</f>
        <v>0</v>
      </c>
      <c r="Q684" s="365">
        <f>Government7!$M64</f>
        <v>0</v>
      </c>
      <c r="R684" s="365">
        <f>Government8!$M64</f>
        <v>0</v>
      </c>
      <c r="S684" s="365">
        <f>Government9!$M64</f>
        <v>0</v>
      </c>
      <c r="T684" s="365">
        <f>Government10!$M64</f>
        <v>0</v>
      </c>
      <c r="U684" s="179">
        <f>Partner1!$M135</f>
        <v>0</v>
      </c>
      <c r="V684" s="179">
        <f>Partner2!$M135</f>
        <v>0</v>
      </c>
      <c r="W684" s="179">
        <f>Partner3!$M135</f>
        <v>0</v>
      </c>
      <c r="X684" s="179">
        <f>Partner4!$M135</f>
        <v>0</v>
      </c>
      <c r="Y684" s="179">
        <f>Partner5!$M135</f>
        <v>0</v>
      </c>
      <c r="Z684" s="179">
        <f>Partner6!$M135</f>
        <v>0</v>
      </c>
      <c r="AA684" s="179">
        <f>Partner7!$M135</f>
        <v>0</v>
      </c>
      <c r="AB684" s="179">
        <f>Partner8!$M135</f>
        <v>0</v>
      </c>
      <c r="AC684" s="179">
        <f>Partner9!$M135</f>
        <v>0</v>
      </c>
      <c r="AD684" s="179">
        <f>Partner10!$M135</f>
        <v>0</v>
      </c>
    </row>
    <row r="685" spans="5:30" ht="12" x14ac:dyDescent="0.2">
      <c r="F685" s="94" t="str">
        <f>STRAT8_IND4</f>
        <v>Objetivo estratégico 8 Indicador 4</v>
      </c>
      <c r="G685" s="94" t="str">
        <f ca="1">OFFSET(Variables_Lu!$D$10,Basic_Setup!H79,0)</f>
        <v>Nutrition-specific</v>
      </c>
      <c r="H685" s="346">
        <f>'Financial Req'!$M65</f>
        <v>0</v>
      </c>
      <c r="I685" s="347">
        <f>H685-J685</f>
        <v>0</v>
      </c>
      <c r="J685" s="345">
        <f>SUM(K685:AD685)</f>
        <v>0</v>
      </c>
      <c r="K685" s="365">
        <f>Government1!$M65</f>
        <v>0</v>
      </c>
      <c r="L685" s="365">
        <f>Government2!$M65</f>
        <v>0</v>
      </c>
      <c r="M685" s="365">
        <f>Government3!$M65</f>
        <v>0</v>
      </c>
      <c r="N685" s="365">
        <f>Government4!$M65</f>
        <v>0</v>
      </c>
      <c r="O685" s="365">
        <f>Government5!$M65</f>
        <v>0</v>
      </c>
      <c r="P685" s="365">
        <f>Government6!$M65</f>
        <v>0</v>
      </c>
      <c r="Q685" s="365">
        <f>Government7!$M65</f>
        <v>0</v>
      </c>
      <c r="R685" s="365">
        <f>Government8!$M65</f>
        <v>0</v>
      </c>
      <c r="S685" s="365">
        <f>Government9!$M65</f>
        <v>0</v>
      </c>
      <c r="T685" s="365">
        <f>Government10!$M65</f>
        <v>0</v>
      </c>
      <c r="U685" s="179">
        <f>Partner1!$M136</f>
        <v>0</v>
      </c>
      <c r="V685" s="179">
        <f>Partner2!$M136</f>
        <v>0</v>
      </c>
      <c r="W685" s="179">
        <f>Partner3!$M136</f>
        <v>0</v>
      </c>
      <c r="X685" s="179">
        <f>Partner4!$M136</f>
        <v>0</v>
      </c>
      <c r="Y685" s="179">
        <f>Partner5!$M136</f>
        <v>0</v>
      </c>
      <c r="Z685" s="179">
        <f>Partner6!$M136</f>
        <v>0</v>
      </c>
      <c r="AA685" s="179">
        <f>Partner7!$M136</f>
        <v>0</v>
      </c>
      <c r="AB685" s="179">
        <f>Partner8!$M136</f>
        <v>0</v>
      </c>
      <c r="AC685" s="179">
        <f>Partner9!$M136</f>
        <v>0</v>
      </c>
      <c r="AD685" s="179">
        <f>Partner10!$M136</f>
        <v>0</v>
      </c>
    </row>
    <row r="686" spans="5:30" ht="12" x14ac:dyDescent="0.2">
      <c r="F686" s="94" t="str">
        <f>STRAT8_IND5</f>
        <v>Objetivo estratégico 8 Indicador 5</v>
      </c>
      <c r="G686" s="94" t="str">
        <f ca="1">OFFSET(Variables_Lu!$D$10,Basic_Setup!H80,0)</f>
        <v>Nutrition-specific</v>
      </c>
      <c r="H686" s="346">
        <f>'Financial Req'!$M66</f>
        <v>0</v>
      </c>
      <c r="I686" s="347">
        <f>H686-J686</f>
        <v>0</v>
      </c>
      <c r="J686" s="345">
        <f>SUM(K686:AD686)</f>
        <v>0</v>
      </c>
      <c r="K686" s="365">
        <f>Government1!$M66</f>
        <v>0</v>
      </c>
      <c r="L686" s="365">
        <f>Government2!$M66</f>
        <v>0</v>
      </c>
      <c r="M686" s="365">
        <f>Government3!$M66</f>
        <v>0</v>
      </c>
      <c r="N686" s="365">
        <f>Government4!$M66</f>
        <v>0</v>
      </c>
      <c r="O686" s="365">
        <f>Government5!$M66</f>
        <v>0</v>
      </c>
      <c r="P686" s="365">
        <f>Government6!$M66</f>
        <v>0</v>
      </c>
      <c r="Q686" s="365">
        <f>Government7!$M66</f>
        <v>0</v>
      </c>
      <c r="R686" s="365">
        <f>Government8!$M66</f>
        <v>0</v>
      </c>
      <c r="S686" s="365">
        <f>Government9!$M66</f>
        <v>0</v>
      </c>
      <c r="T686" s="365">
        <f>Government10!$M66</f>
        <v>0</v>
      </c>
      <c r="U686" s="179">
        <f>Partner1!$M137</f>
        <v>0</v>
      </c>
      <c r="V686" s="179">
        <f>Partner2!$M137</f>
        <v>0</v>
      </c>
      <c r="W686" s="179">
        <f>Partner3!$M137</f>
        <v>0</v>
      </c>
      <c r="X686" s="179">
        <f>Partner4!$M137</f>
        <v>0</v>
      </c>
      <c r="Y686" s="179">
        <f>Partner5!$M137</f>
        <v>0</v>
      </c>
      <c r="Z686" s="179">
        <f>Partner6!$M137</f>
        <v>0</v>
      </c>
      <c r="AA686" s="179">
        <f>Partner7!$M137</f>
        <v>0</v>
      </c>
      <c r="AB686" s="179">
        <f>Partner8!$M137</f>
        <v>0</v>
      </c>
      <c r="AC686" s="179">
        <f>Partner9!$M137</f>
        <v>0</v>
      </c>
      <c r="AD686" s="179">
        <f>Partner10!$M137</f>
        <v>0</v>
      </c>
    </row>
    <row r="687" spans="5:30" x14ac:dyDescent="0.2">
      <c r="F687" s="332" t="str">
        <f>"Subtotal: "&amp;E216</f>
        <v>Subtotal: Objetivo estratégico 8: [No está en uso]</v>
      </c>
      <c r="G687" s="333"/>
      <c r="H687" s="348">
        <f>'Financial Req'!$M67</f>
        <v>0</v>
      </c>
      <c r="I687" s="349">
        <f>SUM(I682:I686)</f>
        <v>0</v>
      </c>
      <c r="J687" s="350">
        <f>SUM(J682:J686)</f>
        <v>0</v>
      </c>
      <c r="K687" s="366">
        <f>Government1!$M67</f>
        <v>0</v>
      </c>
      <c r="L687" s="366">
        <f>Government2!$M67</f>
        <v>0</v>
      </c>
      <c r="M687" s="366">
        <f>Government3!$M67</f>
        <v>0</v>
      </c>
      <c r="N687" s="366">
        <f>Government4!$M67</f>
        <v>0</v>
      </c>
      <c r="O687" s="366">
        <f>Government5!$M67</f>
        <v>0</v>
      </c>
      <c r="P687" s="366">
        <f>Government6!$M67</f>
        <v>0</v>
      </c>
      <c r="Q687" s="366">
        <f>Government7!$M67</f>
        <v>0</v>
      </c>
      <c r="R687" s="366">
        <f>Government8!$M67</f>
        <v>0</v>
      </c>
      <c r="S687" s="366">
        <f>Government9!$M67</f>
        <v>0</v>
      </c>
      <c r="T687" s="366">
        <f>Government10!$M67</f>
        <v>0</v>
      </c>
      <c r="U687" s="331">
        <f>Partner1!$M138</f>
        <v>0</v>
      </c>
      <c r="V687" s="331">
        <f>Partner2!$M138</f>
        <v>0</v>
      </c>
      <c r="W687" s="331">
        <f>Partner3!$M138</f>
        <v>0</v>
      </c>
      <c r="X687" s="331">
        <f>Partner4!$M138</f>
        <v>0</v>
      </c>
      <c r="Y687" s="331">
        <f>Partner5!$M138</f>
        <v>0</v>
      </c>
      <c r="Z687" s="331">
        <f>Partner6!$M138</f>
        <v>0</v>
      </c>
      <c r="AA687" s="331">
        <f>Partner7!$M138</f>
        <v>0</v>
      </c>
      <c r="AB687" s="331">
        <f>Partner8!$M138</f>
        <v>0</v>
      </c>
      <c r="AC687" s="331">
        <f>Partner9!$M138</f>
        <v>0</v>
      </c>
      <c r="AD687" s="331">
        <f>Partner10!$M138</f>
        <v>0</v>
      </c>
    </row>
    <row r="688" spans="5:30" ht="12" x14ac:dyDescent="0.2">
      <c r="E688" s="301" t="str">
        <f>Strategy9</f>
        <v>Objetivo estratégico 9: [No está en uso]</v>
      </c>
      <c r="G688" s="94"/>
      <c r="H688" s="343"/>
      <c r="I688" s="344"/>
      <c r="J688" s="345"/>
      <c r="K688" s="365"/>
      <c r="L688" s="365"/>
      <c r="M688" s="365"/>
      <c r="N688" s="365"/>
      <c r="O688" s="365"/>
      <c r="P688" s="365"/>
      <c r="Q688" s="365"/>
      <c r="R688" s="365"/>
      <c r="S688" s="365"/>
      <c r="T688" s="365"/>
      <c r="U688" s="179"/>
      <c r="V688" s="179"/>
      <c r="W688" s="179"/>
      <c r="X688" s="179"/>
      <c r="Y688" s="179"/>
      <c r="Z688" s="179"/>
      <c r="AA688" s="179"/>
      <c r="AB688" s="179"/>
      <c r="AC688" s="179"/>
      <c r="AD688" s="179"/>
    </row>
    <row r="689" spans="5:30" ht="12" x14ac:dyDescent="0.2">
      <c r="F689" s="94" t="str">
        <f>STRAT9_IND1</f>
        <v>Objetivo estratégico 9 Indicador 1</v>
      </c>
      <c r="G689" s="94" t="str">
        <f ca="1">OFFSET(Variables_Lu!$D$10,Basic_Setup!H82,0)</f>
        <v>Nutrition-specific</v>
      </c>
      <c r="H689" s="346">
        <f>'Financial Req'!$M68</f>
        <v>0</v>
      </c>
      <c r="I689" s="347">
        <f>H689-J689</f>
        <v>0</v>
      </c>
      <c r="J689" s="345">
        <f>SUM(K689:AD689)</f>
        <v>0</v>
      </c>
      <c r="K689" s="365">
        <f>Government1!$M68</f>
        <v>0</v>
      </c>
      <c r="L689" s="365">
        <f>Government2!$M68</f>
        <v>0</v>
      </c>
      <c r="M689" s="365">
        <f>Government3!$M68</f>
        <v>0</v>
      </c>
      <c r="N689" s="365">
        <f>Government4!$M68</f>
        <v>0</v>
      </c>
      <c r="O689" s="365">
        <f>Government5!$M68</f>
        <v>0</v>
      </c>
      <c r="P689" s="365">
        <f>Government6!$M68</f>
        <v>0</v>
      </c>
      <c r="Q689" s="365">
        <f>Government7!$M68</f>
        <v>0</v>
      </c>
      <c r="R689" s="365">
        <f>Government8!$M68</f>
        <v>0</v>
      </c>
      <c r="S689" s="365">
        <f>Government9!$M68</f>
        <v>0</v>
      </c>
      <c r="T689" s="365">
        <f>Government10!$M68</f>
        <v>0</v>
      </c>
      <c r="U689" s="179">
        <f>Partner1!$M139</f>
        <v>0</v>
      </c>
      <c r="V689" s="179">
        <f>Partner2!$M139</f>
        <v>0</v>
      </c>
      <c r="W689" s="179">
        <f>Partner3!$M139</f>
        <v>0</v>
      </c>
      <c r="X689" s="179">
        <f>Partner4!$M139</f>
        <v>0</v>
      </c>
      <c r="Y689" s="179">
        <f>Partner5!$M139</f>
        <v>0</v>
      </c>
      <c r="Z689" s="179">
        <f>Partner6!$M139</f>
        <v>0</v>
      </c>
      <c r="AA689" s="179">
        <f>Partner7!$M139</f>
        <v>0</v>
      </c>
      <c r="AB689" s="179">
        <f>Partner8!$M139</f>
        <v>0</v>
      </c>
      <c r="AC689" s="179">
        <f>Partner9!$M139</f>
        <v>0</v>
      </c>
      <c r="AD689" s="179">
        <f>Partner10!$M139</f>
        <v>0</v>
      </c>
    </row>
    <row r="690" spans="5:30" ht="12" x14ac:dyDescent="0.2">
      <c r="F690" s="94" t="str">
        <f>STRAT9_IND2</f>
        <v>Objetivo estratégico 9 Indicador 2</v>
      </c>
      <c r="G690" s="94" t="str">
        <f ca="1">OFFSET(Variables_Lu!$D$10,Basic_Setup!H83,0)</f>
        <v>Nutrition-specific</v>
      </c>
      <c r="H690" s="346">
        <f>'Financial Req'!$M69</f>
        <v>0</v>
      </c>
      <c r="I690" s="347">
        <f>H690-J690</f>
        <v>0</v>
      </c>
      <c r="J690" s="345">
        <f>SUM(K690:AD690)</f>
        <v>0</v>
      </c>
      <c r="K690" s="365">
        <f>Government1!$M69</f>
        <v>0</v>
      </c>
      <c r="L690" s="365">
        <f>Government2!$M69</f>
        <v>0</v>
      </c>
      <c r="M690" s="365">
        <f>Government3!$M69</f>
        <v>0</v>
      </c>
      <c r="N690" s="365">
        <f>Government4!$M69</f>
        <v>0</v>
      </c>
      <c r="O690" s="365">
        <f>Government5!$M69</f>
        <v>0</v>
      </c>
      <c r="P690" s="365">
        <f>Government6!$M69</f>
        <v>0</v>
      </c>
      <c r="Q690" s="365">
        <f>Government7!$M69</f>
        <v>0</v>
      </c>
      <c r="R690" s="365">
        <f>Government8!$M69</f>
        <v>0</v>
      </c>
      <c r="S690" s="365">
        <f>Government9!$M69</f>
        <v>0</v>
      </c>
      <c r="T690" s="365">
        <f>Government10!$M69</f>
        <v>0</v>
      </c>
      <c r="U690" s="179">
        <f>Partner1!$M140</f>
        <v>0</v>
      </c>
      <c r="V690" s="179">
        <f>Partner2!$M140</f>
        <v>0</v>
      </c>
      <c r="W690" s="179">
        <f>Partner3!$M140</f>
        <v>0</v>
      </c>
      <c r="X690" s="179">
        <f>Partner4!$M140</f>
        <v>0</v>
      </c>
      <c r="Y690" s="179">
        <f>Partner5!$M140</f>
        <v>0</v>
      </c>
      <c r="Z690" s="179">
        <f>Partner6!$M140</f>
        <v>0</v>
      </c>
      <c r="AA690" s="179">
        <f>Partner7!$M140</f>
        <v>0</v>
      </c>
      <c r="AB690" s="179">
        <f>Partner8!$M140</f>
        <v>0</v>
      </c>
      <c r="AC690" s="179">
        <f>Partner9!$M140</f>
        <v>0</v>
      </c>
      <c r="AD690" s="179">
        <f>Partner10!$M140</f>
        <v>0</v>
      </c>
    </row>
    <row r="691" spans="5:30" ht="12" x14ac:dyDescent="0.2">
      <c r="F691" s="94" t="str">
        <f>STRAT9_IND3</f>
        <v>Objetivo estratégico 9 Indicador 3</v>
      </c>
      <c r="G691" s="94" t="str">
        <f ca="1">OFFSET(Variables_Lu!$D$10,Basic_Setup!H84,0)</f>
        <v>Nutrition-specific</v>
      </c>
      <c r="H691" s="346">
        <f>'Financial Req'!$M70</f>
        <v>0</v>
      </c>
      <c r="I691" s="347">
        <f>H691-J691</f>
        <v>0</v>
      </c>
      <c r="J691" s="345">
        <f>SUM(K691:AD691)</f>
        <v>0</v>
      </c>
      <c r="K691" s="365">
        <f>Government1!$M70</f>
        <v>0</v>
      </c>
      <c r="L691" s="365">
        <f>Government2!$M70</f>
        <v>0</v>
      </c>
      <c r="M691" s="365">
        <f>Government3!$M70</f>
        <v>0</v>
      </c>
      <c r="N691" s="365">
        <f>Government4!$M70</f>
        <v>0</v>
      </c>
      <c r="O691" s="365">
        <f>Government5!$M70</f>
        <v>0</v>
      </c>
      <c r="P691" s="365">
        <f>Government6!$M70</f>
        <v>0</v>
      </c>
      <c r="Q691" s="365">
        <f>Government7!$M70</f>
        <v>0</v>
      </c>
      <c r="R691" s="365">
        <f>Government8!$M70</f>
        <v>0</v>
      </c>
      <c r="S691" s="365">
        <f>Government9!$M70</f>
        <v>0</v>
      </c>
      <c r="T691" s="365">
        <f>Government10!$M70</f>
        <v>0</v>
      </c>
      <c r="U691" s="179">
        <f>Partner1!$M141</f>
        <v>0</v>
      </c>
      <c r="V691" s="179">
        <f>Partner2!$M141</f>
        <v>0</v>
      </c>
      <c r="W691" s="179">
        <f>Partner3!$M141</f>
        <v>0</v>
      </c>
      <c r="X691" s="179">
        <f>Partner4!$M141</f>
        <v>0</v>
      </c>
      <c r="Y691" s="179">
        <f>Partner5!$M141</f>
        <v>0</v>
      </c>
      <c r="Z691" s="179">
        <f>Partner6!$M141</f>
        <v>0</v>
      </c>
      <c r="AA691" s="179">
        <f>Partner7!$M141</f>
        <v>0</v>
      </c>
      <c r="AB691" s="179">
        <f>Partner8!$M141</f>
        <v>0</v>
      </c>
      <c r="AC691" s="179">
        <f>Partner9!$M141</f>
        <v>0</v>
      </c>
      <c r="AD691" s="179">
        <f>Partner10!$M141</f>
        <v>0</v>
      </c>
    </row>
    <row r="692" spans="5:30" ht="12" x14ac:dyDescent="0.2">
      <c r="F692" s="94" t="str">
        <f>STRAT9_IND4</f>
        <v>Objetivo estratégico 9 Indicador 4</v>
      </c>
      <c r="G692" s="94" t="str">
        <f ca="1">OFFSET(Variables_Lu!$D$10,Basic_Setup!H85,0)</f>
        <v>Nutrition-specific</v>
      </c>
      <c r="H692" s="346">
        <f>'Financial Req'!$M71</f>
        <v>0</v>
      </c>
      <c r="I692" s="347">
        <f>H692-J692</f>
        <v>0</v>
      </c>
      <c r="J692" s="345">
        <f>SUM(K692:AD692)</f>
        <v>0</v>
      </c>
      <c r="K692" s="365">
        <f>Government1!$M71</f>
        <v>0</v>
      </c>
      <c r="L692" s="365">
        <f>Government2!$M71</f>
        <v>0</v>
      </c>
      <c r="M692" s="365">
        <f>Government3!$M71</f>
        <v>0</v>
      </c>
      <c r="N692" s="365">
        <f>Government4!$M71</f>
        <v>0</v>
      </c>
      <c r="O692" s="365">
        <f>Government5!$M71</f>
        <v>0</v>
      </c>
      <c r="P692" s="365">
        <f>Government6!$M71</f>
        <v>0</v>
      </c>
      <c r="Q692" s="365">
        <f>Government7!$M71</f>
        <v>0</v>
      </c>
      <c r="R692" s="365">
        <f>Government8!$M71</f>
        <v>0</v>
      </c>
      <c r="S692" s="365">
        <f>Government9!$M71</f>
        <v>0</v>
      </c>
      <c r="T692" s="365">
        <f>Government10!$M71</f>
        <v>0</v>
      </c>
      <c r="U692" s="179">
        <f>Partner1!$M142</f>
        <v>0</v>
      </c>
      <c r="V692" s="179">
        <f>Partner2!$M142</f>
        <v>0</v>
      </c>
      <c r="W692" s="179">
        <f>Partner3!$M142</f>
        <v>0</v>
      </c>
      <c r="X692" s="179">
        <f>Partner4!$M142</f>
        <v>0</v>
      </c>
      <c r="Y692" s="179">
        <f>Partner5!$M142</f>
        <v>0</v>
      </c>
      <c r="Z692" s="179">
        <f>Partner6!$M142</f>
        <v>0</v>
      </c>
      <c r="AA692" s="179">
        <f>Partner7!$M142</f>
        <v>0</v>
      </c>
      <c r="AB692" s="179">
        <f>Partner8!$M142</f>
        <v>0</v>
      </c>
      <c r="AC692" s="179">
        <f>Partner9!$M142</f>
        <v>0</v>
      </c>
      <c r="AD692" s="179">
        <f>Partner10!$M142</f>
        <v>0</v>
      </c>
    </row>
    <row r="693" spans="5:30" ht="12" x14ac:dyDescent="0.2">
      <c r="F693" s="94" t="str">
        <f>STRAT9_IND5</f>
        <v>Objetivo estratégico 9 Indicador 5</v>
      </c>
      <c r="G693" s="94" t="str">
        <f ca="1">OFFSET(Variables_Lu!$D$10,Basic_Setup!H86,0)</f>
        <v>Nutrition-specific</v>
      </c>
      <c r="H693" s="346">
        <f>'Financial Req'!$M72</f>
        <v>0</v>
      </c>
      <c r="I693" s="347">
        <f>H693-J693</f>
        <v>0</v>
      </c>
      <c r="J693" s="345">
        <f>SUM(K693:AD693)</f>
        <v>0</v>
      </c>
      <c r="K693" s="365">
        <f>Government1!$M72</f>
        <v>0</v>
      </c>
      <c r="L693" s="365">
        <f>Government2!$M72</f>
        <v>0</v>
      </c>
      <c r="M693" s="365">
        <f>Government3!$M72</f>
        <v>0</v>
      </c>
      <c r="N693" s="365">
        <f>Government4!$M72</f>
        <v>0</v>
      </c>
      <c r="O693" s="365">
        <f>Government5!$M72</f>
        <v>0</v>
      </c>
      <c r="P693" s="365">
        <f>Government6!$M72</f>
        <v>0</v>
      </c>
      <c r="Q693" s="365">
        <f>Government7!$M72</f>
        <v>0</v>
      </c>
      <c r="R693" s="365">
        <f>Government8!$M72</f>
        <v>0</v>
      </c>
      <c r="S693" s="365">
        <f>Government9!$M72</f>
        <v>0</v>
      </c>
      <c r="T693" s="365">
        <f>Government10!$M72</f>
        <v>0</v>
      </c>
      <c r="U693" s="179">
        <f>Partner1!$M143</f>
        <v>0</v>
      </c>
      <c r="V693" s="179">
        <f>Partner2!$M143</f>
        <v>0</v>
      </c>
      <c r="W693" s="179">
        <f>Partner3!$M143</f>
        <v>0</v>
      </c>
      <c r="X693" s="179">
        <f>Partner4!$M143</f>
        <v>0</v>
      </c>
      <c r="Y693" s="179">
        <f>Partner5!$M143</f>
        <v>0</v>
      </c>
      <c r="Z693" s="179">
        <f>Partner6!$M143</f>
        <v>0</v>
      </c>
      <c r="AA693" s="179">
        <f>Partner7!$M143</f>
        <v>0</v>
      </c>
      <c r="AB693" s="179">
        <f>Partner8!$M143</f>
        <v>0</v>
      </c>
      <c r="AC693" s="179">
        <f>Partner9!$M143</f>
        <v>0</v>
      </c>
      <c r="AD693" s="179">
        <f>Partner10!$M143</f>
        <v>0</v>
      </c>
    </row>
    <row r="694" spans="5:30" x14ac:dyDescent="0.2">
      <c r="F694" s="332" t="str">
        <f>"Subtotal: "&amp;E223</f>
        <v>Subtotal: Objetivo estratégico 9: [No está en uso]</v>
      </c>
      <c r="G694" s="333"/>
      <c r="H694" s="348">
        <f>'Financial Req'!$M73</f>
        <v>0</v>
      </c>
      <c r="I694" s="349">
        <f>SUM(I689:I693)</f>
        <v>0</v>
      </c>
      <c r="J694" s="350">
        <f>SUM(J689:J693)</f>
        <v>0</v>
      </c>
      <c r="K694" s="366">
        <f>Government1!$M73</f>
        <v>0</v>
      </c>
      <c r="L694" s="366">
        <f>Government2!$M73</f>
        <v>0</v>
      </c>
      <c r="M694" s="366">
        <f>Government3!$M73</f>
        <v>0</v>
      </c>
      <c r="N694" s="366">
        <f>Government4!$M73</f>
        <v>0</v>
      </c>
      <c r="O694" s="366">
        <f>Government5!$M73</f>
        <v>0</v>
      </c>
      <c r="P694" s="366">
        <f>Government6!$M73</f>
        <v>0</v>
      </c>
      <c r="Q694" s="366">
        <f>Government7!$M73</f>
        <v>0</v>
      </c>
      <c r="R694" s="366">
        <f>Government8!$M73</f>
        <v>0</v>
      </c>
      <c r="S694" s="366">
        <f>Government9!$M73</f>
        <v>0</v>
      </c>
      <c r="T694" s="366">
        <f>Government10!$M73</f>
        <v>0</v>
      </c>
      <c r="U694" s="331">
        <f>Partner1!$M144</f>
        <v>0</v>
      </c>
      <c r="V694" s="331">
        <f>Partner2!$M144</f>
        <v>0</v>
      </c>
      <c r="W694" s="331">
        <f>Partner3!$M144</f>
        <v>0</v>
      </c>
      <c r="X694" s="331">
        <f>Partner4!$M144</f>
        <v>0</v>
      </c>
      <c r="Y694" s="331">
        <f>Partner5!$M144</f>
        <v>0</v>
      </c>
      <c r="Z694" s="331">
        <f>Partner6!$M144</f>
        <v>0</v>
      </c>
      <c r="AA694" s="331">
        <f>Partner7!$M144</f>
        <v>0</v>
      </c>
      <c r="AB694" s="331">
        <f>Partner8!$M144</f>
        <v>0</v>
      </c>
      <c r="AC694" s="331">
        <f>Partner9!$M144</f>
        <v>0</v>
      </c>
      <c r="AD694" s="331">
        <f>Partner10!$M144</f>
        <v>0</v>
      </c>
    </row>
    <row r="695" spans="5:30" ht="12" x14ac:dyDescent="0.2">
      <c r="E695" s="301" t="str">
        <f>Strategy10</f>
        <v>Objetivo estratégico 10: [No está en uso]</v>
      </c>
      <c r="G695" s="94"/>
      <c r="H695" s="343"/>
      <c r="I695" s="344"/>
      <c r="J695" s="345"/>
      <c r="K695" s="365"/>
      <c r="L695" s="365"/>
      <c r="M695" s="365"/>
      <c r="N695" s="365"/>
      <c r="O695" s="365"/>
      <c r="P695" s="365"/>
      <c r="Q695" s="365"/>
      <c r="R695" s="365"/>
      <c r="S695" s="365"/>
      <c r="T695" s="365"/>
      <c r="U695" s="179"/>
      <c r="V695" s="179"/>
      <c r="W695" s="179"/>
      <c r="X695" s="179"/>
      <c r="Y695" s="179"/>
      <c r="Z695" s="179"/>
      <c r="AA695" s="179"/>
      <c r="AB695" s="179"/>
      <c r="AC695" s="179"/>
      <c r="AD695" s="179"/>
    </row>
    <row r="696" spans="5:30" ht="12" x14ac:dyDescent="0.2">
      <c r="F696" s="94" t="str">
        <f>STRAT10_IND1</f>
        <v>Objetivo estratégico 10 Indicador 1</v>
      </c>
      <c r="G696" s="94" t="str">
        <f ca="1">OFFSET(Variables_Lu!$D$10,Basic_Setup!H88,0)</f>
        <v>Nutrition-specific</v>
      </c>
      <c r="H696" s="346">
        <f>'Financial Req'!$M74</f>
        <v>0</v>
      </c>
      <c r="I696" s="347">
        <f>H696-J696</f>
        <v>0</v>
      </c>
      <c r="J696" s="345">
        <f>SUM(K696:AD696)</f>
        <v>0</v>
      </c>
      <c r="K696" s="365">
        <f>Government1!$M74</f>
        <v>0</v>
      </c>
      <c r="L696" s="365">
        <f>Government2!$M74</f>
        <v>0</v>
      </c>
      <c r="M696" s="365">
        <f>Government3!$M74</f>
        <v>0</v>
      </c>
      <c r="N696" s="365">
        <f>Government4!$M74</f>
        <v>0</v>
      </c>
      <c r="O696" s="365">
        <f>Government5!$M74</f>
        <v>0</v>
      </c>
      <c r="P696" s="365">
        <f>Government6!$M74</f>
        <v>0</v>
      </c>
      <c r="Q696" s="365">
        <f>Government7!$M74</f>
        <v>0</v>
      </c>
      <c r="R696" s="365">
        <f>Government8!$M74</f>
        <v>0</v>
      </c>
      <c r="S696" s="365">
        <f>Government9!$M74</f>
        <v>0</v>
      </c>
      <c r="T696" s="365">
        <f>Government10!$M74</f>
        <v>0</v>
      </c>
      <c r="U696" s="179">
        <f>Partner1!$M145</f>
        <v>0</v>
      </c>
      <c r="V696" s="179">
        <f>Partner2!$M145</f>
        <v>0</v>
      </c>
      <c r="W696" s="179">
        <f>Partner3!$M145</f>
        <v>0</v>
      </c>
      <c r="X696" s="179">
        <f>Partner4!$M145</f>
        <v>0</v>
      </c>
      <c r="Y696" s="179">
        <f>Partner5!$M145</f>
        <v>0</v>
      </c>
      <c r="Z696" s="179">
        <f>Partner6!$M145</f>
        <v>0</v>
      </c>
      <c r="AA696" s="179">
        <f>Partner7!$M145</f>
        <v>0</v>
      </c>
      <c r="AB696" s="179">
        <f>Partner8!$M145</f>
        <v>0</v>
      </c>
      <c r="AC696" s="179">
        <f>Partner9!$M145</f>
        <v>0</v>
      </c>
      <c r="AD696" s="179">
        <f>Partner10!$M145</f>
        <v>0</v>
      </c>
    </row>
    <row r="697" spans="5:30" ht="12" x14ac:dyDescent="0.2">
      <c r="F697" s="94" t="str">
        <f>STRAT10_IND2</f>
        <v>Objetivo estratégico 10 Indicador 2</v>
      </c>
      <c r="G697" s="94" t="str">
        <f ca="1">OFFSET(Variables_Lu!$D$10,Basic_Setup!H89,0)</f>
        <v>Nutrition-specific</v>
      </c>
      <c r="H697" s="346">
        <f>'Financial Req'!$M75</f>
        <v>0</v>
      </c>
      <c r="I697" s="347">
        <f>H697-J697</f>
        <v>0</v>
      </c>
      <c r="J697" s="345">
        <f>SUM(K697:AD697)</f>
        <v>0</v>
      </c>
      <c r="K697" s="365">
        <f>Government1!$M75</f>
        <v>0</v>
      </c>
      <c r="L697" s="365">
        <f>Government2!$M75</f>
        <v>0</v>
      </c>
      <c r="M697" s="365">
        <f>Government3!$M75</f>
        <v>0</v>
      </c>
      <c r="N697" s="365">
        <f>Government4!$M75</f>
        <v>0</v>
      </c>
      <c r="O697" s="365">
        <f>Government5!$M75</f>
        <v>0</v>
      </c>
      <c r="P697" s="365">
        <f>Government6!$M75</f>
        <v>0</v>
      </c>
      <c r="Q697" s="365">
        <f>Government7!$M75</f>
        <v>0</v>
      </c>
      <c r="R697" s="365">
        <f>Government8!$M75</f>
        <v>0</v>
      </c>
      <c r="S697" s="365">
        <f>Government9!$M75</f>
        <v>0</v>
      </c>
      <c r="T697" s="365">
        <f>Government10!$M75</f>
        <v>0</v>
      </c>
      <c r="U697" s="179">
        <f>Partner1!$M146</f>
        <v>0</v>
      </c>
      <c r="V697" s="179">
        <f>Partner2!$M146</f>
        <v>0</v>
      </c>
      <c r="W697" s="179">
        <f>Partner3!$M146</f>
        <v>0</v>
      </c>
      <c r="X697" s="179">
        <f>Partner4!$M146</f>
        <v>0</v>
      </c>
      <c r="Y697" s="179">
        <f>Partner5!$M146</f>
        <v>0</v>
      </c>
      <c r="Z697" s="179">
        <f>Partner6!$M146</f>
        <v>0</v>
      </c>
      <c r="AA697" s="179">
        <f>Partner7!$M146</f>
        <v>0</v>
      </c>
      <c r="AB697" s="179">
        <f>Partner8!$M146</f>
        <v>0</v>
      </c>
      <c r="AC697" s="179">
        <f>Partner9!$M146</f>
        <v>0</v>
      </c>
      <c r="AD697" s="179">
        <f>Partner10!$M146</f>
        <v>0</v>
      </c>
    </row>
    <row r="698" spans="5:30" ht="12" x14ac:dyDescent="0.2">
      <c r="F698" s="94" t="str">
        <f>STRAT10_IND3</f>
        <v>Objetivo estratégico 10 Indicador 3</v>
      </c>
      <c r="G698" s="94" t="str">
        <f ca="1">OFFSET(Variables_Lu!$D$10,Basic_Setup!H90,0)</f>
        <v>Nutrition-specific</v>
      </c>
      <c r="H698" s="346">
        <f>'Financial Req'!$M76</f>
        <v>0</v>
      </c>
      <c r="I698" s="347">
        <f>H698-J698</f>
        <v>0</v>
      </c>
      <c r="J698" s="345">
        <f>SUM(K698:AD698)</f>
        <v>0</v>
      </c>
      <c r="K698" s="365">
        <f>Government1!$M76</f>
        <v>0</v>
      </c>
      <c r="L698" s="365">
        <f>Government2!$M76</f>
        <v>0</v>
      </c>
      <c r="M698" s="365">
        <f>Government3!$M76</f>
        <v>0</v>
      </c>
      <c r="N698" s="365">
        <f>Government4!$M76</f>
        <v>0</v>
      </c>
      <c r="O698" s="365">
        <f>Government5!$M76</f>
        <v>0</v>
      </c>
      <c r="P698" s="365">
        <f>Government6!$M76</f>
        <v>0</v>
      </c>
      <c r="Q698" s="365">
        <f>Government7!$M76</f>
        <v>0</v>
      </c>
      <c r="R698" s="365">
        <f>Government8!$M76</f>
        <v>0</v>
      </c>
      <c r="S698" s="365">
        <f>Government9!$M76</f>
        <v>0</v>
      </c>
      <c r="T698" s="365">
        <f>Government10!$M76</f>
        <v>0</v>
      </c>
      <c r="U698" s="179">
        <f>Partner1!$M147</f>
        <v>0</v>
      </c>
      <c r="V698" s="179">
        <f>Partner2!$M147</f>
        <v>0</v>
      </c>
      <c r="W698" s="179">
        <f>Partner3!$M147</f>
        <v>0</v>
      </c>
      <c r="X698" s="179">
        <f>Partner4!$M147</f>
        <v>0</v>
      </c>
      <c r="Y698" s="179">
        <f>Partner5!$M147</f>
        <v>0</v>
      </c>
      <c r="Z698" s="179">
        <f>Partner6!$M147</f>
        <v>0</v>
      </c>
      <c r="AA698" s="179">
        <f>Partner7!$M147</f>
        <v>0</v>
      </c>
      <c r="AB698" s="179">
        <f>Partner8!$M147</f>
        <v>0</v>
      </c>
      <c r="AC698" s="179">
        <f>Partner9!$M147</f>
        <v>0</v>
      </c>
      <c r="AD698" s="179">
        <f>Partner10!$M147</f>
        <v>0</v>
      </c>
    </row>
    <row r="699" spans="5:30" ht="12" x14ac:dyDescent="0.2">
      <c r="F699" s="94" t="str">
        <f>STRAT10_IND4</f>
        <v>Objetivo estratégico 10 Indicador 4</v>
      </c>
      <c r="G699" s="94" t="str">
        <f ca="1">OFFSET(Variables_Lu!$D$10,Basic_Setup!H91,0)</f>
        <v>Nutrition-specific</v>
      </c>
      <c r="H699" s="346">
        <f>'Financial Req'!$M77</f>
        <v>0</v>
      </c>
      <c r="I699" s="347">
        <f>H699-J699</f>
        <v>0</v>
      </c>
      <c r="J699" s="345">
        <f>SUM(K699:AD699)</f>
        <v>0</v>
      </c>
      <c r="K699" s="365">
        <f>Government1!$M77</f>
        <v>0</v>
      </c>
      <c r="L699" s="365">
        <f>Government2!$M77</f>
        <v>0</v>
      </c>
      <c r="M699" s="365">
        <f>Government3!$M77</f>
        <v>0</v>
      </c>
      <c r="N699" s="365">
        <f>Government4!$M77</f>
        <v>0</v>
      </c>
      <c r="O699" s="365">
        <f>Government5!$M77</f>
        <v>0</v>
      </c>
      <c r="P699" s="365">
        <f>Government6!$M77</f>
        <v>0</v>
      </c>
      <c r="Q699" s="365">
        <f>Government7!$M77</f>
        <v>0</v>
      </c>
      <c r="R699" s="365">
        <f>Government8!$M77</f>
        <v>0</v>
      </c>
      <c r="S699" s="365">
        <f>Government9!$M77</f>
        <v>0</v>
      </c>
      <c r="T699" s="365">
        <f>Government10!$M77</f>
        <v>0</v>
      </c>
      <c r="U699" s="179">
        <f>Partner1!$M148</f>
        <v>0</v>
      </c>
      <c r="V699" s="179">
        <f>Partner2!$M148</f>
        <v>0</v>
      </c>
      <c r="W699" s="179">
        <f>Partner3!$M148</f>
        <v>0</v>
      </c>
      <c r="X699" s="179">
        <f>Partner4!$M148</f>
        <v>0</v>
      </c>
      <c r="Y699" s="179">
        <f>Partner5!$M148</f>
        <v>0</v>
      </c>
      <c r="Z699" s="179">
        <f>Partner6!$M148</f>
        <v>0</v>
      </c>
      <c r="AA699" s="179">
        <f>Partner7!$M148</f>
        <v>0</v>
      </c>
      <c r="AB699" s="179">
        <f>Partner8!$M148</f>
        <v>0</v>
      </c>
      <c r="AC699" s="179">
        <f>Partner9!$M148</f>
        <v>0</v>
      </c>
      <c r="AD699" s="179">
        <f>Partner10!$M148</f>
        <v>0</v>
      </c>
    </row>
    <row r="700" spans="5:30" ht="12" x14ac:dyDescent="0.2">
      <c r="F700" s="94" t="str">
        <f>STRAT10_IND5</f>
        <v>Objetivo estratégico 10 Indicador 5</v>
      </c>
      <c r="G700" s="94" t="str">
        <f ca="1">OFFSET(Variables_Lu!$D$10,Basic_Setup!H92,0)</f>
        <v>Nutrition-specific</v>
      </c>
      <c r="H700" s="346">
        <f>'Financial Req'!$M78</f>
        <v>0</v>
      </c>
      <c r="I700" s="347">
        <f>H700-J700</f>
        <v>0</v>
      </c>
      <c r="J700" s="345">
        <f>SUM(K700:AD700)</f>
        <v>0</v>
      </c>
      <c r="K700" s="365">
        <f>Government1!$M78</f>
        <v>0</v>
      </c>
      <c r="L700" s="365">
        <f>Government2!$M78</f>
        <v>0</v>
      </c>
      <c r="M700" s="365">
        <f>Government3!$M78</f>
        <v>0</v>
      </c>
      <c r="N700" s="365">
        <f>Government4!$M78</f>
        <v>0</v>
      </c>
      <c r="O700" s="365">
        <f>Government5!$M78</f>
        <v>0</v>
      </c>
      <c r="P700" s="365">
        <f>Government6!$M78</f>
        <v>0</v>
      </c>
      <c r="Q700" s="365">
        <f>Government7!$M78</f>
        <v>0</v>
      </c>
      <c r="R700" s="365">
        <f>Government8!$M78</f>
        <v>0</v>
      </c>
      <c r="S700" s="365">
        <f>Government9!$M78</f>
        <v>0</v>
      </c>
      <c r="T700" s="365">
        <f>Government10!$M78</f>
        <v>0</v>
      </c>
      <c r="U700" s="179">
        <f>Partner1!$M149</f>
        <v>0</v>
      </c>
      <c r="V700" s="179">
        <f>Partner2!$M149</f>
        <v>0</v>
      </c>
      <c r="W700" s="179">
        <f>Partner3!$M149</f>
        <v>0</v>
      </c>
      <c r="X700" s="179">
        <f>Partner4!$M149</f>
        <v>0</v>
      </c>
      <c r="Y700" s="179">
        <f>Partner5!$M149</f>
        <v>0</v>
      </c>
      <c r="Z700" s="179">
        <f>Partner6!$M149</f>
        <v>0</v>
      </c>
      <c r="AA700" s="179">
        <f>Partner7!$M149</f>
        <v>0</v>
      </c>
      <c r="AB700" s="179">
        <f>Partner8!$M149</f>
        <v>0</v>
      </c>
      <c r="AC700" s="179">
        <f>Partner9!$M149</f>
        <v>0</v>
      </c>
      <c r="AD700" s="179">
        <f>Partner10!$M149</f>
        <v>0</v>
      </c>
    </row>
    <row r="701" spans="5:30" x14ac:dyDescent="0.2">
      <c r="F701" s="332" t="str">
        <f>"Subtotal: "&amp;E230</f>
        <v>Subtotal: Objetivo estratégico 10: [No está en uso]</v>
      </c>
      <c r="G701" s="333"/>
      <c r="H701" s="348">
        <f>'Financial Req'!$M79</f>
        <v>0</v>
      </c>
      <c r="I701" s="349">
        <f>SUM(I696:I700)</f>
        <v>0</v>
      </c>
      <c r="J701" s="350">
        <f>SUM(J696:J700)</f>
        <v>0</v>
      </c>
      <c r="K701" s="366">
        <f>Government1!$M79</f>
        <v>0</v>
      </c>
      <c r="L701" s="366">
        <f>Government2!$M79</f>
        <v>0</v>
      </c>
      <c r="M701" s="366">
        <f>Government3!$M79</f>
        <v>0</v>
      </c>
      <c r="N701" s="366">
        <f>Government4!$M79</f>
        <v>0</v>
      </c>
      <c r="O701" s="366">
        <f>Government5!$M79</f>
        <v>0</v>
      </c>
      <c r="P701" s="366">
        <f>Government6!$M79</f>
        <v>0</v>
      </c>
      <c r="Q701" s="366">
        <f>Government7!$M79</f>
        <v>0</v>
      </c>
      <c r="R701" s="366">
        <f>Government8!$M79</f>
        <v>0</v>
      </c>
      <c r="S701" s="366">
        <f>Government9!$M79</f>
        <v>0</v>
      </c>
      <c r="T701" s="366">
        <f>Government10!$M79</f>
        <v>0</v>
      </c>
      <c r="U701" s="331">
        <f>Partner1!$M150</f>
        <v>0</v>
      </c>
      <c r="V701" s="331">
        <f>Partner2!$M150</f>
        <v>0</v>
      </c>
      <c r="W701" s="331">
        <f>Partner3!$M150</f>
        <v>0</v>
      </c>
      <c r="X701" s="331">
        <f>Partner4!$M150</f>
        <v>0</v>
      </c>
      <c r="Y701" s="331">
        <f>Partner5!$M150</f>
        <v>0</v>
      </c>
      <c r="Z701" s="331">
        <f>Partner6!$M150</f>
        <v>0</v>
      </c>
      <c r="AA701" s="331">
        <f>Partner7!$M150</f>
        <v>0</v>
      </c>
      <c r="AB701" s="331">
        <f>Partner8!$M150</f>
        <v>0</v>
      </c>
      <c r="AC701" s="331">
        <f>Partner9!$M150</f>
        <v>0</v>
      </c>
      <c r="AD701" s="331">
        <f>Partner10!$M150</f>
        <v>0</v>
      </c>
    </row>
    <row r="702" spans="5:30" ht="12" x14ac:dyDescent="0.2">
      <c r="F702" s="142" t="str">
        <f>"Total "&amp;" ("&amp;E163&amp;")"</f>
        <v>Total  (GOZ)</v>
      </c>
      <c r="G702" s="142"/>
      <c r="H702" s="352">
        <f>SUM(H638,H645,H652,H659,H666,H673,H680,H687,H694,H701)</f>
        <v>161504442571.84381</v>
      </c>
      <c r="I702" s="362">
        <f>SUM(I638,I645,I652,I659,I666,I673,I680,I687,I694,I701)</f>
        <v>111106553128.84755</v>
      </c>
      <c r="J702" s="362">
        <f>SUM(J638,J645,J652,J659,J666,J673,J680,J687,J694,J701)</f>
        <v>50397889442.996246</v>
      </c>
      <c r="K702" s="367">
        <f t="shared" ref="K702:AD702" si="392">SUM(K638,K645,K652,K659,K666,K673,K680,K687,K694,K701)</f>
        <v>4274516100.0149999</v>
      </c>
      <c r="L702" s="367">
        <f t="shared" si="392"/>
        <v>490436535.45375007</v>
      </c>
      <c r="M702" s="367">
        <f t="shared" si="392"/>
        <v>1287000000</v>
      </c>
      <c r="N702" s="367">
        <f t="shared" si="392"/>
        <v>137767071.82499999</v>
      </c>
      <c r="O702" s="367">
        <f t="shared" si="392"/>
        <v>59269334.940000005</v>
      </c>
      <c r="P702" s="367">
        <f t="shared" si="392"/>
        <v>20829671743.252499</v>
      </c>
      <c r="Q702" s="367">
        <f t="shared" si="392"/>
        <v>2594288831.9400001</v>
      </c>
      <c r="R702" s="367">
        <f t="shared" si="392"/>
        <v>127539825.57000001</v>
      </c>
      <c r="S702" s="367">
        <f t="shared" si="392"/>
        <v>0</v>
      </c>
      <c r="T702" s="367">
        <f t="shared" si="392"/>
        <v>0</v>
      </c>
      <c r="U702" s="90">
        <f t="shared" si="392"/>
        <v>13694400000</v>
      </c>
      <c r="V702" s="90">
        <f t="shared" si="392"/>
        <v>18000000</v>
      </c>
      <c r="W702" s="90">
        <f t="shared" si="392"/>
        <v>0</v>
      </c>
      <c r="X702" s="90">
        <f t="shared" si="392"/>
        <v>0</v>
      </c>
      <c r="Y702" s="90">
        <f t="shared" si="392"/>
        <v>6885000000</v>
      </c>
      <c r="Z702" s="90">
        <f t="shared" si="392"/>
        <v>0</v>
      </c>
      <c r="AA702" s="90">
        <f t="shared" si="392"/>
        <v>0</v>
      </c>
      <c r="AB702" s="90">
        <f t="shared" si="392"/>
        <v>0</v>
      </c>
      <c r="AC702" s="90">
        <f t="shared" si="392"/>
        <v>0</v>
      </c>
      <c r="AD702" s="90">
        <f t="shared" si="392"/>
        <v>0</v>
      </c>
    </row>
    <row r="705" spans="5:30" ht="17.399999999999999" x14ac:dyDescent="0.2">
      <c r="E705" s="305" t="str">
        <f>CURR_INT_ABBR</f>
        <v>USD</v>
      </c>
    </row>
    <row r="707" spans="5:30" ht="84" x14ac:dyDescent="0.2">
      <c r="E707" s="303" t="s">
        <v>140</v>
      </c>
      <c r="F707" s="10"/>
      <c r="G707" s="302" t="s">
        <v>482</v>
      </c>
      <c r="H707" s="340" t="s">
        <v>143</v>
      </c>
      <c r="I707" s="341" t="s">
        <v>565</v>
      </c>
      <c r="J707" s="342" t="s">
        <v>141</v>
      </c>
      <c r="K707" s="339" t="str">
        <f>Government1</f>
        <v>Ministerio de Agricultura y Ganadería</v>
      </c>
      <c r="L707" s="339" t="str">
        <f>Government2</f>
        <v>Ministerio de Energía y Minas</v>
      </c>
      <c r="M707" s="339" t="str">
        <f>Government3</f>
        <v>Ministerio de Educación Nacional, de Educación Superior e Investigación Científica</v>
      </c>
      <c r="N707" s="339" t="str">
        <f>Government4</f>
        <v>Ministerio de Medioambiente</v>
      </c>
      <c r="O707" s="339" t="str">
        <f>Government5</f>
        <v>Ministerio de Servicio Público</v>
      </c>
      <c r="P707" s="339" t="str">
        <f>Government6</f>
        <v>Ministerio de Salud Pública y Lucha contra el SIDA</v>
      </c>
      <c r="Q707" s="339" t="str">
        <f>Government7</f>
        <v xml:space="preserve">Ministerio de Derechos Humanos, Asuntos Sociales y Género </v>
      </c>
      <c r="R707" s="339" t="str">
        <f>Government8</f>
        <v>Ministerio de Desarrollo Municipal</v>
      </c>
      <c r="S707" s="339" t="str">
        <f>Government9</f>
        <v>[No está en uso]</v>
      </c>
      <c r="T707" s="339" t="str">
        <f>Government10</f>
        <v>[No está en uso]</v>
      </c>
      <c r="U707" s="97" t="str">
        <f>Partner1</f>
        <v>UNICEF</v>
      </c>
      <c r="V707" s="97" t="str">
        <f>Partner2</f>
        <v>Organización Mundial de la Salud</v>
      </c>
      <c r="W707" s="97" t="str">
        <f>Partner3</f>
        <v>Banco Mundial</v>
      </c>
      <c r="X707" s="97" t="str">
        <f>Partner4</f>
        <v>Organización de las Naciones Unidas para la Alimentación y la Agricultura</v>
      </c>
      <c r="Y707" s="97" t="str">
        <f>Partner5</f>
        <v>Programa Mundial de Alimentos</v>
      </c>
      <c r="Z707" s="97" t="str">
        <f>Partner6</f>
        <v>[No está en uso]</v>
      </c>
      <c r="AA707" s="97" t="str">
        <f>Partner7</f>
        <v>[No está en uso]</v>
      </c>
      <c r="AB707" s="97" t="str">
        <f>Partner8</f>
        <v>[No está en uso]</v>
      </c>
      <c r="AC707" s="97" t="str">
        <f>Partner9</f>
        <v>[No está en uso]</v>
      </c>
      <c r="AD707" s="97" t="str">
        <f>Partner10</f>
        <v>[No está en uso]</v>
      </c>
    </row>
    <row r="708" spans="5:30" x14ac:dyDescent="0.2">
      <c r="H708" s="372"/>
      <c r="I708" s="372"/>
      <c r="J708" s="372"/>
    </row>
    <row r="709" spans="5:30" ht="12" x14ac:dyDescent="0.2">
      <c r="E709" s="301" t="str">
        <f>Strategy1</f>
        <v>Objetivo estratégico 1: Fortalecer la gobernanza de la nutrición</v>
      </c>
      <c r="G709" s="94"/>
      <c r="H709" s="363"/>
      <c r="I709" s="364"/>
      <c r="J709" s="356"/>
      <c r="K709" s="369"/>
      <c r="L709" s="369"/>
      <c r="M709" s="369"/>
      <c r="N709" s="369"/>
      <c r="O709" s="369"/>
      <c r="P709" s="369"/>
      <c r="Q709" s="369"/>
      <c r="R709" s="369"/>
      <c r="S709" s="369"/>
      <c r="T709" s="369"/>
      <c r="U709" s="96"/>
      <c r="V709" s="96"/>
      <c r="W709" s="96"/>
      <c r="X709" s="96"/>
      <c r="Y709" s="96"/>
      <c r="Z709" s="96"/>
      <c r="AA709" s="96"/>
      <c r="AB709" s="96"/>
      <c r="AC709" s="96"/>
      <c r="AD709" s="96"/>
    </row>
    <row r="710" spans="5:30" ht="12" x14ac:dyDescent="0.2">
      <c r="E710" s="301"/>
      <c r="F710" s="94" t="str">
        <f>STRAT1_IND1</f>
        <v>Se refuerza la coordinación multisectorial en materia de nutrición</v>
      </c>
      <c r="G710" s="94" t="str">
        <f ca="1">OFFSET(Variables_Lu!$D$10,Basic_Setup!H34,0)</f>
        <v>Governance</v>
      </c>
      <c r="H710" s="354">
        <f t="shared" ref="H710:AD710" si="393">H633/EXCHANGE_RATE</f>
        <v>144507.59722222222</v>
      </c>
      <c r="I710" s="355">
        <f t="shared" si="393"/>
        <v>-21914.733765110275</v>
      </c>
      <c r="J710" s="356">
        <f t="shared" si="393"/>
        <v>166422.33098733251</v>
      </c>
      <c r="K710" s="369">
        <f t="shared" si="393"/>
        <v>949.89246666999998</v>
      </c>
      <c r="L710" s="369">
        <f t="shared" si="393"/>
        <v>108.98589676750001</v>
      </c>
      <c r="M710" s="369">
        <f t="shared" si="393"/>
        <v>286</v>
      </c>
      <c r="N710" s="369">
        <f t="shared" si="393"/>
        <v>30.614904850000002</v>
      </c>
      <c r="O710" s="369">
        <f t="shared" si="393"/>
        <v>13.17096332</v>
      </c>
      <c r="P710" s="369">
        <f t="shared" si="393"/>
        <v>4628.8159429449997</v>
      </c>
      <c r="Q710" s="369">
        <f t="shared" si="393"/>
        <v>576.50862932000007</v>
      </c>
      <c r="R710" s="369">
        <f t="shared" si="393"/>
        <v>28.342183459999998</v>
      </c>
      <c r="S710" s="369">
        <f t="shared" si="393"/>
        <v>0</v>
      </c>
      <c r="T710" s="369">
        <f t="shared" si="393"/>
        <v>0</v>
      </c>
      <c r="U710" s="96">
        <f t="shared" si="393"/>
        <v>4800</v>
      </c>
      <c r="V710" s="96">
        <f t="shared" si="393"/>
        <v>5000</v>
      </c>
      <c r="W710" s="96">
        <f t="shared" si="393"/>
        <v>0</v>
      </c>
      <c r="X710" s="96">
        <f t="shared" si="393"/>
        <v>0</v>
      </c>
      <c r="Y710" s="96">
        <f t="shared" si="393"/>
        <v>150000</v>
      </c>
      <c r="Z710" s="96">
        <f t="shared" si="393"/>
        <v>0</v>
      </c>
      <c r="AA710" s="96">
        <f t="shared" si="393"/>
        <v>0</v>
      </c>
      <c r="AB710" s="96">
        <f t="shared" si="393"/>
        <v>0</v>
      </c>
      <c r="AC710" s="96">
        <f t="shared" si="393"/>
        <v>0</v>
      </c>
      <c r="AD710" s="96">
        <f t="shared" si="393"/>
        <v>0</v>
      </c>
    </row>
    <row r="711" spans="5:30" ht="22.8" x14ac:dyDescent="0.2">
      <c r="E711" s="301"/>
      <c r="F711" s="94" t="str">
        <f>STRAT1_IND2</f>
        <v>Está en funcionamiento el sistema multisectorial de información sobre nutrición para la adopción de decisiones eficaces.</v>
      </c>
      <c r="G711" s="94" t="str">
        <f ca="1">OFFSET(Variables_Lu!$D$10,Basic_Setup!H35,0)</f>
        <v>Governance</v>
      </c>
      <c r="H711" s="354">
        <f t="shared" ref="H711:AD711" si="394">H634/EXCHANGE_RATE</f>
        <v>144507.59722222222</v>
      </c>
      <c r="I711" s="355">
        <f t="shared" si="394"/>
        <v>137085.26623488971</v>
      </c>
      <c r="J711" s="356">
        <f t="shared" si="394"/>
        <v>7422.3309873325006</v>
      </c>
      <c r="K711" s="369">
        <f t="shared" si="394"/>
        <v>949.89246666999998</v>
      </c>
      <c r="L711" s="369">
        <f t="shared" si="394"/>
        <v>108.98589676750001</v>
      </c>
      <c r="M711" s="369">
        <f t="shared" si="394"/>
        <v>286</v>
      </c>
      <c r="N711" s="369">
        <f t="shared" si="394"/>
        <v>30.614904850000002</v>
      </c>
      <c r="O711" s="369">
        <f t="shared" si="394"/>
        <v>13.17096332</v>
      </c>
      <c r="P711" s="369">
        <f t="shared" si="394"/>
        <v>4628.8159429449997</v>
      </c>
      <c r="Q711" s="369">
        <f t="shared" si="394"/>
        <v>576.50862932000007</v>
      </c>
      <c r="R711" s="369">
        <f t="shared" si="394"/>
        <v>28.342183459999998</v>
      </c>
      <c r="S711" s="369">
        <f t="shared" si="394"/>
        <v>0</v>
      </c>
      <c r="T711" s="369">
        <f t="shared" si="394"/>
        <v>0</v>
      </c>
      <c r="U711" s="96">
        <f t="shared" si="394"/>
        <v>800</v>
      </c>
      <c r="V711" s="96">
        <f t="shared" si="394"/>
        <v>0</v>
      </c>
      <c r="W711" s="96">
        <f t="shared" si="394"/>
        <v>0</v>
      </c>
      <c r="X711" s="96">
        <f t="shared" si="394"/>
        <v>0</v>
      </c>
      <c r="Y711" s="96">
        <f t="shared" si="394"/>
        <v>0</v>
      </c>
      <c r="Z711" s="96">
        <f t="shared" si="394"/>
        <v>0</v>
      </c>
      <c r="AA711" s="96">
        <f t="shared" si="394"/>
        <v>0</v>
      </c>
      <c r="AB711" s="96">
        <f t="shared" si="394"/>
        <v>0</v>
      </c>
      <c r="AC711" s="96">
        <f t="shared" si="394"/>
        <v>0</v>
      </c>
      <c r="AD711" s="96">
        <f t="shared" si="394"/>
        <v>0</v>
      </c>
    </row>
    <row r="712" spans="5:30" ht="22.8" x14ac:dyDescent="0.2">
      <c r="E712" s="301"/>
      <c r="F712" s="94" t="str">
        <f>STRAT1_IND3</f>
        <v>La investigación en nutrición se utiliza para aclarar que la toma de decisiones se mejora y se refuerza.</v>
      </c>
      <c r="G712" s="94" t="str">
        <f ca="1">OFFSET(Variables_Lu!$D$10,Basic_Setup!H36,0)</f>
        <v>Governance</v>
      </c>
      <c r="H712" s="354">
        <f t="shared" ref="H712:AD712" si="395">H635/EXCHANGE_RATE</f>
        <v>144507.59722222222</v>
      </c>
      <c r="I712" s="355">
        <f t="shared" si="395"/>
        <v>136285.26623488971</v>
      </c>
      <c r="J712" s="356">
        <f t="shared" si="395"/>
        <v>8222.3309873324997</v>
      </c>
      <c r="K712" s="369">
        <f t="shared" si="395"/>
        <v>949.89246666999998</v>
      </c>
      <c r="L712" s="369">
        <f t="shared" si="395"/>
        <v>108.98589676750001</v>
      </c>
      <c r="M712" s="369">
        <f t="shared" si="395"/>
        <v>286</v>
      </c>
      <c r="N712" s="369">
        <f t="shared" si="395"/>
        <v>30.614904850000002</v>
      </c>
      <c r="O712" s="369">
        <f t="shared" si="395"/>
        <v>13.17096332</v>
      </c>
      <c r="P712" s="369">
        <f t="shared" si="395"/>
        <v>4628.8159429449997</v>
      </c>
      <c r="Q712" s="369">
        <f t="shared" si="395"/>
        <v>576.50862932000007</v>
      </c>
      <c r="R712" s="369">
        <f t="shared" si="395"/>
        <v>28.342183459999998</v>
      </c>
      <c r="S712" s="369">
        <f t="shared" si="395"/>
        <v>0</v>
      </c>
      <c r="T712" s="369">
        <f t="shared" si="395"/>
        <v>0</v>
      </c>
      <c r="U712" s="96">
        <f t="shared" si="395"/>
        <v>1600</v>
      </c>
      <c r="V712" s="96">
        <f t="shared" si="395"/>
        <v>0</v>
      </c>
      <c r="W712" s="96">
        <f t="shared" si="395"/>
        <v>0</v>
      </c>
      <c r="X712" s="96">
        <f t="shared" si="395"/>
        <v>0</v>
      </c>
      <c r="Y712" s="96">
        <f t="shared" si="395"/>
        <v>0</v>
      </c>
      <c r="Z712" s="96">
        <f t="shared" si="395"/>
        <v>0</v>
      </c>
      <c r="AA712" s="96">
        <f t="shared" si="395"/>
        <v>0</v>
      </c>
      <c r="AB712" s="96">
        <f t="shared" si="395"/>
        <v>0</v>
      </c>
      <c r="AC712" s="96">
        <f t="shared" si="395"/>
        <v>0</v>
      </c>
      <c r="AD712" s="96">
        <f t="shared" si="395"/>
        <v>0</v>
      </c>
    </row>
    <row r="713" spans="5:30" ht="22.8" x14ac:dyDescent="0.2">
      <c r="E713" s="301"/>
      <c r="F713" s="94" t="str">
        <f>STRAT1_IND4</f>
        <v>El marco legislativo y reglamentario de la nutrición se ha fortalecido y está en funcionamiento.</v>
      </c>
      <c r="G713" s="94" t="str">
        <f ca="1">OFFSET(Variables_Lu!$D$10,Basic_Setup!H37,0)</f>
        <v>Governance</v>
      </c>
      <c r="H713" s="354">
        <f t="shared" ref="H713:AD713" si="396">H636/EXCHANGE_RATE</f>
        <v>144507.59722222222</v>
      </c>
      <c r="I713" s="355">
        <f t="shared" si="396"/>
        <v>137085.26623488971</v>
      </c>
      <c r="J713" s="356">
        <f t="shared" si="396"/>
        <v>7422.3309873325006</v>
      </c>
      <c r="K713" s="369">
        <f t="shared" si="396"/>
        <v>949.89246666999998</v>
      </c>
      <c r="L713" s="369">
        <f t="shared" si="396"/>
        <v>108.98589676750001</v>
      </c>
      <c r="M713" s="369">
        <f t="shared" si="396"/>
        <v>286</v>
      </c>
      <c r="N713" s="369">
        <f t="shared" si="396"/>
        <v>30.614904850000002</v>
      </c>
      <c r="O713" s="369">
        <f t="shared" si="396"/>
        <v>13.17096332</v>
      </c>
      <c r="P713" s="369">
        <f t="shared" si="396"/>
        <v>4628.8159429449997</v>
      </c>
      <c r="Q713" s="369">
        <f t="shared" si="396"/>
        <v>576.50862932000007</v>
      </c>
      <c r="R713" s="369">
        <f t="shared" si="396"/>
        <v>28.342183459999998</v>
      </c>
      <c r="S713" s="369">
        <f t="shared" si="396"/>
        <v>0</v>
      </c>
      <c r="T713" s="369">
        <f t="shared" si="396"/>
        <v>0</v>
      </c>
      <c r="U713" s="96">
        <f t="shared" si="396"/>
        <v>800</v>
      </c>
      <c r="V713" s="96">
        <f t="shared" si="396"/>
        <v>0</v>
      </c>
      <c r="W713" s="96">
        <f t="shared" si="396"/>
        <v>0</v>
      </c>
      <c r="X713" s="96">
        <f t="shared" si="396"/>
        <v>0</v>
      </c>
      <c r="Y713" s="96">
        <f t="shared" si="396"/>
        <v>0</v>
      </c>
      <c r="Z713" s="96">
        <f t="shared" si="396"/>
        <v>0</v>
      </c>
      <c r="AA713" s="96">
        <f t="shared" si="396"/>
        <v>0</v>
      </c>
      <c r="AB713" s="96">
        <f t="shared" si="396"/>
        <v>0</v>
      </c>
      <c r="AC713" s="96">
        <f t="shared" si="396"/>
        <v>0</v>
      </c>
      <c r="AD713" s="96">
        <f t="shared" si="396"/>
        <v>0</v>
      </c>
    </row>
    <row r="714" spans="5:30" ht="12" x14ac:dyDescent="0.2">
      <c r="E714" s="301"/>
      <c r="F714" s="94" t="str">
        <f>STRAT1_IND5</f>
        <v>Objetivo estratégico 1 Indicador 5</v>
      </c>
      <c r="G714" s="94" t="str">
        <f ca="1">OFFSET(Variables_Lu!$D$10,Basic_Setup!H38,0)</f>
        <v>Governance</v>
      </c>
      <c r="H714" s="354">
        <f t="shared" ref="H714:AD714" si="397">H637/EXCHANGE_RATE</f>
        <v>0</v>
      </c>
      <c r="I714" s="355">
        <f t="shared" si="397"/>
        <v>0</v>
      </c>
      <c r="J714" s="356">
        <f t="shared" si="397"/>
        <v>0</v>
      </c>
      <c r="K714" s="369">
        <f t="shared" si="397"/>
        <v>0</v>
      </c>
      <c r="L714" s="369">
        <f t="shared" si="397"/>
        <v>0</v>
      </c>
      <c r="M714" s="369">
        <f t="shared" si="397"/>
        <v>0</v>
      </c>
      <c r="N714" s="369">
        <f t="shared" si="397"/>
        <v>0</v>
      </c>
      <c r="O714" s="369">
        <f t="shared" si="397"/>
        <v>0</v>
      </c>
      <c r="P714" s="369">
        <f t="shared" si="397"/>
        <v>0</v>
      </c>
      <c r="Q714" s="369">
        <f t="shared" si="397"/>
        <v>0</v>
      </c>
      <c r="R714" s="369">
        <f t="shared" si="397"/>
        <v>0</v>
      </c>
      <c r="S714" s="369">
        <f t="shared" si="397"/>
        <v>0</v>
      </c>
      <c r="T714" s="369">
        <f t="shared" si="397"/>
        <v>0</v>
      </c>
      <c r="U714" s="96">
        <f t="shared" si="397"/>
        <v>0</v>
      </c>
      <c r="V714" s="96">
        <f t="shared" si="397"/>
        <v>0</v>
      </c>
      <c r="W714" s="96">
        <f t="shared" si="397"/>
        <v>0</v>
      </c>
      <c r="X714" s="96">
        <f t="shared" si="397"/>
        <v>0</v>
      </c>
      <c r="Y714" s="96">
        <f t="shared" si="397"/>
        <v>0</v>
      </c>
      <c r="Z714" s="96">
        <f t="shared" si="397"/>
        <v>0</v>
      </c>
      <c r="AA714" s="96">
        <f t="shared" si="397"/>
        <v>0</v>
      </c>
      <c r="AB714" s="96">
        <f t="shared" si="397"/>
        <v>0</v>
      </c>
      <c r="AC714" s="96">
        <f t="shared" si="397"/>
        <v>0</v>
      </c>
      <c r="AD714" s="96">
        <f t="shared" si="397"/>
        <v>0</v>
      </c>
    </row>
    <row r="715" spans="5:30" ht="24" x14ac:dyDescent="0.2">
      <c r="E715" s="301"/>
      <c r="F715" s="338" t="str">
        <f>"Subtotal: "&amp;E244</f>
        <v>Subtotal: Objetivo estratégico 1: Fortalecer la gobernanza de la nutrición</v>
      </c>
      <c r="G715" s="333"/>
      <c r="H715" s="357">
        <f t="shared" ref="H715:AD715" si="398">H638/EXCHANGE_RATE</f>
        <v>578030.38888888888</v>
      </c>
      <c r="I715" s="358">
        <f t="shared" si="398"/>
        <v>388541.06493955891</v>
      </c>
      <c r="J715" s="358">
        <f t="shared" si="398"/>
        <v>189489.32394932999</v>
      </c>
      <c r="K715" s="370">
        <f t="shared" si="398"/>
        <v>3799.5698666799999</v>
      </c>
      <c r="L715" s="370">
        <f t="shared" si="398"/>
        <v>435.94358707000004</v>
      </c>
      <c r="M715" s="370">
        <f t="shared" si="398"/>
        <v>1144</v>
      </c>
      <c r="N715" s="370">
        <f t="shared" si="398"/>
        <v>122.45961940000001</v>
      </c>
      <c r="O715" s="370">
        <f t="shared" si="398"/>
        <v>52.683853280000001</v>
      </c>
      <c r="P715" s="370">
        <f t="shared" si="398"/>
        <v>18515.263771779999</v>
      </c>
      <c r="Q715" s="370">
        <f t="shared" si="398"/>
        <v>2306.0345172800003</v>
      </c>
      <c r="R715" s="370">
        <f t="shared" si="398"/>
        <v>113.36873383999999</v>
      </c>
      <c r="S715" s="370">
        <f t="shared" si="398"/>
        <v>0</v>
      </c>
      <c r="T715" s="370">
        <f t="shared" si="398"/>
        <v>0</v>
      </c>
      <c r="U715" s="337">
        <f t="shared" si="398"/>
        <v>8000</v>
      </c>
      <c r="V715" s="337">
        <f t="shared" si="398"/>
        <v>5000</v>
      </c>
      <c r="W715" s="337">
        <f t="shared" si="398"/>
        <v>0</v>
      </c>
      <c r="X715" s="337">
        <f t="shared" si="398"/>
        <v>0</v>
      </c>
      <c r="Y715" s="337">
        <f t="shared" si="398"/>
        <v>150000</v>
      </c>
      <c r="Z715" s="337">
        <f t="shared" si="398"/>
        <v>0</v>
      </c>
      <c r="AA715" s="337">
        <f t="shared" si="398"/>
        <v>0</v>
      </c>
      <c r="AB715" s="337">
        <f t="shared" si="398"/>
        <v>0</v>
      </c>
      <c r="AC715" s="337">
        <f t="shared" si="398"/>
        <v>0</v>
      </c>
      <c r="AD715" s="337">
        <f t="shared" si="398"/>
        <v>0</v>
      </c>
    </row>
    <row r="716" spans="5:30" ht="12" x14ac:dyDescent="0.2">
      <c r="E716" s="301" t="str">
        <f>Strategy2</f>
        <v>Objetivo estratégico 2: Fortalecer el acceso al tratamiento y a los servicios de salud y nutrición de calidad, así como al tratamiento de todas las formas de malnutrición</v>
      </c>
      <c r="G716" s="94"/>
      <c r="H716" s="363"/>
      <c r="I716" s="364"/>
      <c r="J716" s="356"/>
      <c r="K716" s="369"/>
      <c r="L716" s="369"/>
      <c r="M716" s="369"/>
      <c r="N716" s="369"/>
      <c r="O716" s="369"/>
      <c r="P716" s="369"/>
      <c r="Q716" s="369"/>
      <c r="R716" s="369"/>
      <c r="S716" s="369"/>
      <c r="T716" s="369"/>
      <c r="U716" s="96"/>
      <c r="V716" s="96"/>
      <c r="W716" s="96"/>
      <c r="X716" s="96"/>
      <c r="Y716" s="96"/>
      <c r="Z716" s="96"/>
      <c r="AA716" s="96"/>
      <c r="AB716" s="96"/>
      <c r="AC716" s="96"/>
      <c r="AD716" s="96"/>
    </row>
    <row r="717" spans="5:30" ht="34.200000000000003" x14ac:dyDescent="0.2">
      <c r="E717" s="301"/>
      <c r="F717" s="94" t="str">
        <f>STRAT2_IND1</f>
        <v>Se fortalece el acceso y la utilización sostenible de los servicios de salud y nutrición para los niños menores de 5 años, los adolescentes, las mujeres embarazadas y lactantes, y los demás grupos vulnerables</v>
      </c>
      <c r="G717" s="94" t="str">
        <f ca="1">OFFSET(Variables_Lu!$D$10,Basic_Setup!H40,0)</f>
        <v>Nutrition-specific</v>
      </c>
      <c r="H717" s="354">
        <f t="shared" ref="H717:AD717" si="399">H640/EXCHANGE_RATE</f>
        <v>4415065.1334234076</v>
      </c>
      <c r="I717" s="355">
        <f t="shared" si="399"/>
        <v>-435366.54798960418</v>
      </c>
      <c r="J717" s="356">
        <f t="shared" si="399"/>
        <v>4850431.6814130116</v>
      </c>
      <c r="K717" s="369">
        <f t="shared" si="399"/>
        <v>50265.143027954167</v>
      </c>
      <c r="L717" s="369">
        <f t="shared" si="399"/>
        <v>5767.1703706135422</v>
      </c>
      <c r="M717" s="369">
        <f t="shared" si="399"/>
        <v>15134.166666666666</v>
      </c>
      <c r="N717" s="369">
        <f t="shared" si="399"/>
        <v>1620.0387149791666</v>
      </c>
      <c r="O717" s="369">
        <f t="shared" si="399"/>
        <v>696.96347568333329</v>
      </c>
      <c r="P717" s="369">
        <f t="shared" si="399"/>
        <v>244941.51031417289</v>
      </c>
      <c r="Q717" s="369">
        <f t="shared" si="399"/>
        <v>30506.914968183333</v>
      </c>
      <c r="R717" s="369">
        <f t="shared" si="399"/>
        <v>1499.7738747583332</v>
      </c>
      <c r="S717" s="369">
        <f t="shared" si="399"/>
        <v>0</v>
      </c>
      <c r="T717" s="369">
        <f t="shared" si="399"/>
        <v>0</v>
      </c>
      <c r="U717" s="96">
        <f t="shared" si="399"/>
        <v>3000000</v>
      </c>
      <c r="V717" s="96">
        <f t="shared" si="399"/>
        <v>0</v>
      </c>
      <c r="W717" s="96">
        <f t="shared" si="399"/>
        <v>0</v>
      </c>
      <c r="X717" s="96">
        <f t="shared" si="399"/>
        <v>0</v>
      </c>
      <c r="Y717" s="96">
        <f t="shared" si="399"/>
        <v>1500000</v>
      </c>
      <c r="Z717" s="96">
        <f t="shared" si="399"/>
        <v>0</v>
      </c>
      <c r="AA717" s="96">
        <f t="shared" si="399"/>
        <v>0</v>
      </c>
      <c r="AB717" s="96">
        <f t="shared" si="399"/>
        <v>0</v>
      </c>
      <c r="AC717" s="96">
        <f t="shared" si="399"/>
        <v>0</v>
      </c>
      <c r="AD717" s="96">
        <f t="shared" si="399"/>
        <v>0</v>
      </c>
    </row>
    <row r="718" spans="5:30" ht="45.6" x14ac:dyDescent="0.2">
      <c r="E718" s="301"/>
      <c r="F718" s="94" t="str">
        <f>STRAT2_IND2</f>
        <v xml:space="preserve">Se reduce la prevalencia de enfermedades relacionadas con la prevalencia de la malnutrición (paludismo, diarrea, neumonía, parásitos intestinales, VIH, TNM) en lactantes, adolescentes y mujeres en edad reproductiva. </v>
      </c>
      <c r="G718" s="94" t="str">
        <f ca="1">OFFSET(Variables_Lu!$D$10,Basic_Setup!H41,0)</f>
        <v>Nutrition-sensitive</v>
      </c>
      <c r="H718" s="354">
        <f t="shared" ref="H718:AD718" si="400">H641/EXCHANGE_RATE</f>
        <v>4415065.1334234076</v>
      </c>
      <c r="I718" s="355">
        <f t="shared" si="400"/>
        <v>3559633.4520103959</v>
      </c>
      <c r="J718" s="356">
        <f t="shared" si="400"/>
        <v>855431.68141301139</v>
      </c>
      <c r="K718" s="369">
        <f t="shared" si="400"/>
        <v>50265.143027954167</v>
      </c>
      <c r="L718" s="369">
        <f t="shared" si="400"/>
        <v>5767.1703706135422</v>
      </c>
      <c r="M718" s="369">
        <f t="shared" si="400"/>
        <v>15134.166666666666</v>
      </c>
      <c r="N718" s="369">
        <f t="shared" si="400"/>
        <v>1620.0387149791666</v>
      </c>
      <c r="O718" s="369">
        <f t="shared" si="400"/>
        <v>696.96347568333329</v>
      </c>
      <c r="P718" s="369">
        <f t="shared" si="400"/>
        <v>244941.51031417289</v>
      </c>
      <c r="Q718" s="369">
        <f t="shared" si="400"/>
        <v>30506.914968183333</v>
      </c>
      <c r="R718" s="369">
        <f t="shared" si="400"/>
        <v>1499.7738747583332</v>
      </c>
      <c r="S718" s="369">
        <f t="shared" si="400"/>
        <v>0</v>
      </c>
      <c r="T718" s="369">
        <f t="shared" si="400"/>
        <v>0</v>
      </c>
      <c r="U718" s="96">
        <f t="shared" si="400"/>
        <v>500000</v>
      </c>
      <c r="V718" s="96">
        <f t="shared" si="400"/>
        <v>5000</v>
      </c>
      <c r="W718" s="96">
        <f t="shared" si="400"/>
        <v>0</v>
      </c>
      <c r="X718" s="96">
        <f t="shared" si="400"/>
        <v>0</v>
      </c>
      <c r="Y718" s="96">
        <f t="shared" si="400"/>
        <v>0</v>
      </c>
      <c r="Z718" s="96">
        <f t="shared" si="400"/>
        <v>0</v>
      </c>
      <c r="AA718" s="96">
        <f t="shared" si="400"/>
        <v>0</v>
      </c>
      <c r="AB718" s="96">
        <f t="shared" si="400"/>
        <v>0</v>
      </c>
      <c r="AC718" s="96">
        <f t="shared" si="400"/>
        <v>0</v>
      </c>
      <c r="AD718" s="96">
        <f t="shared" si="400"/>
        <v>0</v>
      </c>
    </row>
    <row r="719" spans="5:30" ht="12" x14ac:dyDescent="0.2">
      <c r="E719" s="301"/>
      <c r="F719" s="94" t="str">
        <f>STRAT2_IND3</f>
        <v>Se refuerzan las intervenciones comunitarias en materia de nutrición.</v>
      </c>
      <c r="G719" s="94" t="str">
        <f ca="1">OFFSET(Variables_Lu!$D$10,Basic_Setup!H42,0)</f>
        <v>Nutrition-specific</v>
      </c>
      <c r="H719" s="354">
        <f t="shared" ref="H719:AD719" si="401">H642/EXCHANGE_RATE</f>
        <v>4415065.1334234076</v>
      </c>
      <c r="I719" s="355">
        <f t="shared" si="401"/>
        <v>2764633.4520103959</v>
      </c>
      <c r="J719" s="356">
        <f t="shared" si="401"/>
        <v>1650431.6814130116</v>
      </c>
      <c r="K719" s="369">
        <f t="shared" si="401"/>
        <v>50265.143027954167</v>
      </c>
      <c r="L719" s="369">
        <f t="shared" si="401"/>
        <v>5767.1703706135422</v>
      </c>
      <c r="M719" s="369">
        <f t="shared" si="401"/>
        <v>15134.166666666666</v>
      </c>
      <c r="N719" s="369">
        <f t="shared" si="401"/>
        <v>1620.0387149791666</v>
      </c>
      <c r="O719" s="369">
        <f t="shared" si="401"/>
        <v>696.96347568333329</v>
      </c>
      <c r="P719" s="369">
        <f t="shared" si="401"/>
        <v>244941.51031417289</v>
      </c>
      <c r="Q719" s="369">
        <f t="shared" si="401"/>
        <v>30506.914968183333</v>
      </c>
      <c r="R719" s="369">
        <f t="shared" si="401"/>
        <v>1499.7738747583332</v>
      </c>
      <c r="S719" s="369">
        <f t="shared" si="401"/>
        <v>0</v>
      </c>
      <c r="T719" s="369">
        <f t="shared" si="401"/>
        <v>0</v>
      </c>
      <c r="U719" s="96">
        <f t="shared" si="401"/>
        <v>1300000</v>
      </c>
      <c r="V719" s="96">
        <f t="shared" si="401"/>
        <v>0</v>
      </c>
      <c r="W719" s="96">
        <f t="shared" si="401"/>
        <v>0</v>
      </c>
      <c r="X719" s="96">
        <f t="shared" si="401"/>
        <v>0</v>
      </c>
      <c r="Y719" s="96">
        <f t="shared" si="401"/>
        <v>0</v>
      </c>
      <c r="Z719" s="96">
        <f t="shared" si="401"/>
        <v>0</v>
      </c>
      <c r="AA719" s="96">
        <f t="shared" si="401"/>
        <v>0</v>
      </c>
      <c r="AB719" s="96">
        <f t="shared" si="401"/>
        <v>0</v>
      </c>
      <c r="AC719" s="96">
        <f t="shared" si="401"/>
        <v>0</v>
      </c>
      <c r="AD719" s="96">
        <f t="shared" si="401"/>
        <v>0</v>
      </c>
    </row>
    <row r="720" spans="5:30" ht="12" x14ac:dyDescent="0.2">
      <c r="E720" s="301"/>
      <c r="F720" s="94" t="str">
        <f>STRAT2_IND4</f>
        <v>Objetivo estratégico 2 Indicador 4</v>
      </c>
      <c r="G720" s="94" t="str">
        <f ca="1">OFFSET(Variables_Lu!$D$10,Basic_Setup!H43,0)</f>
        <v>Nutrition-specific</v>
      </c>
      <c r="H720" s="354">
        <f t="shared" ref="H720:AD720" si="402">H643/EXCHANGE_RATE</f>
        <v>0</v>
      </c>
      <c r="I720" s="355">
        <f t="shared" si="402"/>
        <v>0</v>
      </c>
      <c r="J720" s="356">
        <f t="shared" si="402"/>
        <v>0</v>
      </c>
      <c r="K720" s="369">
        <f t="shared" si="402"/>
        <v>0</v>
      </c>
      <c r="L720" s="369">
        <f t="shared" si="402"/>
        <v>0</v>
      </c>
      <c r="M720" s="369">
        <f t="shared" si="402"/>
        <v>0</v>
      </c>
      <c r="N720" s="369">
        <f t="shared" si="402"/>
        <v>0</v>
      </c>
      <c r="O720" s="369">
        <f t="shared" si="402"/>
        <v>0</v>
      </c>
      <c r="P720" s="369">
        <f t="shared" si="402"/>
        <v>0</v>
      </c>
      <c r="Q720" s="369">
        <f t="shared" si="402"/>
        <v>0</v>
      </c>
      <c r="R720" s="369">
        <f t="shared" si="402"/>
        <v>0</v>
      </c>
      <c r="S720" s="369">
        <f t="shared" si="402"/>
        <v>0</v>
      </c>
      <c r="T720" s="369">
        <f t="shared" si="402"/>
        <v>0</v>
      </c>
      <c r="U720" s="96">
        <f t="shared" si="402"/>
        <v>0</v>
      </c>
      <c r="V720" s="96">
        <f t="shared" si="402"/>
        <v>0</v>
      </c>
      <c r="W720" s="96">
        <f t="shared" si="402"/>
        <v>0</v>
      </c>
      <c r="X720" s="96">
        <f t="shared" si="402"/>
        <v>0</v>
      </c>
      <c r="Y720" s="96">
        <f t="shared" si="402"/>
        <v>0</v>
      </c>
      <c r="Z720" s="96">
        <f t="shared" si="402"/>
        <v>0</v>
      </c>
      <c r="AA720" s="96">
        <f t="shared" si="402"/>
        <v>0</v>
      </c>
      <c r="AB720" s="96">
        <f t="shared" si="402"/>
        <v>0</v>
      </c>
      <c r="AC720" s="96">
        <f t="shared" si="402"/>
        <v>0</v>
      </c>
      <c r="AD720" s="96">
        <f t="shared" si="402"/>
        <v>0</v>
      </c>
    </row>
    <row r="721" spans="5:30" ht="12" x14ac:dyDescent="0.2">
      <c r="E721" s="301"/>
      <c r="F721" s="94" t="str">
        <f>STRAT2_IND5</f>
        <v>Objetivo estratégico 2 Indicador 5</v>
      </c>
      <c r="G721" s="94" t="str">
        <f ca="1">OFFSET(Variables_Lu!$D$10,Basic_Setup!H44,0)</f>
        <v>Nutrition-specific</v>
      </c>
      <c r="H721" s="354">
        <f t="shared" ref="H721:AD721" si="403">H644/EXCHANGE_RATE</f>
        <v>0</v>
      </c>
      <c r="I721" s="355">
        <f t="shared" si="403"/>
        <v>0</v>
      </c>
      <c r="J721" s="356">
        <f t="shared" si="403"/>
        <v>0</v>
      </c>
      <c r="K721" s="369">
        <f t="shared" si="403"/>
        <v>0</v>
      </c>
      <c r="L721" s="369">
        <f t="shared" si="403"/>
        <v>0</v>
      </c>
      <c r="M721" s="369">
        <f t="shared" si="403"/>
        <v>0</v>
      </c>
      <c r="N721" s="369">
        <f t="shared" si="403"/>
        <v>0</v>
      </c>
      <c r="O721" s="369">
        <f t="shared" si="403"/>
        <v>0</v>
      </c>
      <c r="P721" s="369">
        <f t="shared" si="403"/>
        <v>0</v>
      </c>
      <c r="Q721" s="369">
        <f t="shared" si="403"/>
        <v>0</v>
      </c>
      <c r="R721" s="369">
        <f t="shared" si="403"/>
        <v>0</v>
      </c>
      <c r="S721" s="369">
        <f t="shared" si="403"/>
        <v>0</v>
      </c>
      <c r="T721" s="369">
        <f t="shared" si="403"/>
        <v>0</v>
      </c>
      <c r="U721" s="96">
        <f t="shared" si="403"/>
        <v>0</v>
      </c>
      <c r="V721" s="96">
        <f t="shared" si="403"/>
        <v>0</v>
      </c>
      <c r="W721" s="96">
        <f t="shared" si="403"/>
        <v>0</v>
      </c>
      <c r="X721" s="96">
        <f t="shared" si="403"/>
        <v>0</v>
      </c>
      <c r="Y721" s="96">
        <f t="shared" si="403"/>
        <v>0</v>
      </c>
      <c r="Z721" s="96">
        <f t="shared" si="403"/>
        <v>0</v>
      </c>
      <c r="AA721" s="96">
        <f t="shared" si="403"/>
        <v>0</v>
      </c>
      <c r="AB721" s="96">
        <f t="shared" si="403"/>
        <v>0</v>
      </c>
      <c r="AC721" s="96">
        <f t="shared" si="403"/>
        <v>0</v>
      </c>
      <c r="AD721" s="96">
        <f t="shared" si="403"/>
        <v>0</v>
      </c>
    </row>
    <row r="722" spans="5:30" ht="30.75" customHeight="1" x14ac:dyDescent="0.2">
      <c r="E722" s="301"/>
      <c r="F722" s="338" t="str">
        <f>"Subtotal: "&amp;E251</f>
        <v>Subtotal: Objetivo estratégico 2: Fortalecer el acceso al tratamiento y a los servicios de salud y nutrición de calidad, así como al tratamiento de todas las formas de malnutrición</v>
      </c>
      <c r="G722" s="333"/>
      <c r="H722" s="357">
        <f t="shared" ref="H722:AD722" si="404">H645/EXCHANGE_RATE</f>
        <v>13245195.400270222</v>
      </c>
      <c r="I722" s="358">
        <f t="shared" si="404"/>
        <v>5888900.3560311869</v>
      </c>
      <c r="J722" s="358">
        <f t="shared" si="404"/>
        <v>7356295.0442390349</v>
      </c>
      <c r="K722" s="370">
        <f t="shared" si="404"/>
        <v>150795.42908386252</v>
      </c>
      <c r="L722" s="370">
        <f t="shared" si="404"/>
        <v>17301.511111840628</v>
      </c>
      <c r="M722" s="370">
        <f t="shared" si="404"/>
        <v>45402.5</v>
      </c>
      <c r="N722" s="370">
        <f t="shared" si="404"/>
        <v>4860.1161449374995</v>
      </c>
      <c r="O722" s="370">
        <f t="shared" si="404"/>
        <v>2090.8904270499997</v>
      </c>
      <c r="P722" s="370">
        <f t="shared" si="404"/>
        <v>734824.53094251873</v>
      </c>
      <c r="Q722" s="370">
        <f t="shared" si="404"/>
        <v>91520.744904549996</v>
      </c>
      <c r="R722" s="370">
        <f t="shared" si="404"/>
        <v>4499.3216242749995</v>
      </c>
      <c r="S722" s="370">
        <f t="shared" si="404"/>
        <v>0</v>
      </c>
      <c r="T722" s="370">
        <f t="shared" si="404"/>
        <v>0</v>
      </c>
      <c r="U722" s="337">
        <f t="shared" si="404"/>
        <v>4800000</v>
      </c>
      <c r="V722" s="337">
        <f t="shared" si="404"/>
        <v>5000</v>
      </c>
      <c r="W722" s="337">
        <f t="shared" si="404"/>
        <v>0</v>
      </c>
      <c r="X722" s="337">
        <f t="shared" si="404"/>
        <v>0</v>
      </c>
      <c r="Y722" s="337">
        <f t="shared" si="404"/>
        <v>1500000</v>
      </c>
      <c r="Z722" s="337">
        <f t="shared" si="404"/>
        <v>0</v>
      </c>
      <c r="AA722" s="337">
        <f t="shared" si="404"/>
        <v>0</v>
      </c>
      <c r="AB722" s="337">
        <f t="shared" si="404"/>
        <v>0</v>
      </c>
      <c r="AC722" s="337">
        <f t="shared" si="404"/>
        <v>0</v>
      </c>
      <c r="AD722" s="337">
        <f t="shared" si="404"/>
        <v>0</v>
      </c>
    </row>
    <row r="723" spans="5:30" ht="12" x14ac:dyDescent="0.2">
      <c r="E723" s="301" t="str">
        <f>Strategy3</f>
        <v>Objetivo estratégico 3: Aumentar la disponibilidad y el acceso a alimentos nutritivos de alto valor, seguros y diversificados</v>
      </c>
      <c r="G723" s="94"/>
      <c r="H723" s="363"/>
      <c r="I723" s="364"/>
      <c r="J723" s="356"/>
      <c r="K723" s="369"/>
      <c r="L723" s="369"/>
      <c r="M723" s="369"/>
      <c r="N723" s="369"/>
      <c r="O723" s="369"/>
      <c r="P723" s="369"/>
      <c r="Q723" s="369"/>
      <c r="R723" s="369"/>
      <c r="S723" s="369"/>
      <c r="T723" s="369"/>
      <c r="U723" s="96"/>
      <c r="V723" s="96"/>
      <c r="W723" s="96"/>
      <c r="X723" s="96"/>
      <c r="Y723" s="96"/>
      <c r="Z723" s="96"/>
      <c r="AA723" s="96"/>
      <c r="AB723" s="96"/>
      <c r="AC723" s="96"/>
      <c r="AD723" s="96"/>
    </row>
    <row r="724" spans="5:30" ht="22.8" x14ac:dyDescent="0.2">
      <c r="F724" s="94" t="str">
        <f>STRAT3_IND1</f>
        <v xml:space="preserve">Aumenta la disponibilidad y el acceso a alimentos de alto valor nutritivo en los hogares. </v>
      </c>
      <c r="G724" s="94" t="str">
        <f ca="1">OFFSET(Variables_Lu!$D$10,Basic_Setup!H46,0)</f>
        <v>Nutrition-specific</v>
      </c>
      <c r="H724" s="354">
        <f t="shared" ref="H724:AD724" si="405">H647/EXCHANGE_RATE</f>
        <v>23444009.987710804</v>
      </c>
      <c r="I724" s="355">
        <f t="shared" si="405"/>
        <v>18675086.372387491</v>
      </c>
      <c r="J724" s="356">
        <f t="shared" si="405"/>
        <v>4768923.6153233116</v>
      </c>
      <c r="K724" s="369">
        <f t="shared" si="405"/>
        <v>594395.21101875254</v>
      </c>
      <c r="L724" s="369">
        <f t="shared" si="405"/>
        <v>68197.924902263141</v>
      </c>
      <c r="M724" s="369">
        <f t="shared" si="405"/>
        <v>178964.5</v>
      </c>
      <c r="N724" s="369">
        <f t="shared" si="405"/>
        <v>19157.276709887501</v>
      </c>
      <c r="O724" s="369">
        <f t="shared" si="405"/>
        <v>8241.7302974899994</v>
      </c>
      <c r="P724" s="369">
        <f t="shared" si="405"/>
        <v>2896481.5762978336</v>
      </c>
      <c r="Q724" s="369">
        <f t="shared" si="405"/>
        <v>360750.27479699004</v>
      </c>
      <c r="R724" s="369">
        <f t="shared" si="405"/>
        <v>17735.121300095001</v>
      </c>
      <c r="S724" s="369">
        <f t="shared" si="405"/>
        <v>0</v>
      </c>
      <c r="T724" s="369">
        <f t="shared" si="405"/>
        <v>0</v>
      </c>
      <c r="U724" s="96">
        <f t="shared" si="405"/>
        <v>0</v>
      </c>
      <c r="V724" s="96">
        <f t="shared" si="405"/>
        <v>0</v>
      </c>
      <c r="W724" s="96">
        <f t="shared" si="405"/>
        <v>0</v>
      </c>
      <c r="X724" s="96">
        <f t="shared" si="405"/>
        <v>0</v>
      </c>
      <c r="Y724" s="96">
        <f t="shared" si="405"/>
        <v>625000</v>
      </c>
      <c r="Z724" s="96">
        <f t="shared" si="405"/>
        <v>0</v>
      </c>
      <c r="AA724" s="96">
        <f t="shared" si="405"/>
        <v>0</v>
      </c>
      <c r="AB724" s="96">
        <f t="shared" si="405"/>
        <v>0</v>
      </c>
      <c r="AC724" s="96">
        <f t="shared" si="405"/>
        <v>0</v>
      </c>
      <c r="AD724" s="96">
        <f t="shared" si="405"/>
        <v>0</v>
      </c>
    </row>
    <row r="725" spans="5:30" ht="12" x14ac:dyDescent="0.2">
      <c r="E725" s="301"/>
      <c r="F725" s="94" t="str">
        <f>STRAT3_IND2</f>
        <v xml:space="preserve"> La seguridad alimentaria está garantizada para toda la nación.</v>
      </c>
      <c r="G725" s="94" t="str">
        <f ca="1">OFFSET(Variables_Lu!$D$10,Basic_Setup!H47,0)</f>
        <v>Nutrition-sensitive</v>
      </c>
      <c r="H725" s="354">
        <f t="shared" ref="H725:AD725" si="406">H648/EXCHANGE_RATE</f>
        <v>23444009.987710804</v>
      </c>
      <c r="I725" s="355">
        <f t="shared" si="406"/>
        <v>19300086.372387491</v>
      </c>
      <c r="J725" s="356">
        <f t="shared" si="406"/>
        <v>4143923.6153233121</v>
      </c>
      <c r="K725" s="369">
        <f t="shared" si="406"/>
        <v>594395.21101875254</v>
      </c>
      <c r="L725" s="369">
        <f t="shared" si="406"/>
        <v>68197.924902263141</v>
      </c>
      <c r="M725" s="369">
        <f t="shared" si="406"/>
        <v>178964.5</v>
      </c>
      <c r="N725" s="369">
        <f t="shared" si="406"/>
        <v>19157.276709887501</v>
      </c>
      <c r="O725" s="369">
        <f t="shared" si="406"/>
        <v>8241.7302974899994</v>
      </c>
      <c r="P725" s="369">
        <f t="shared" si="406"/>
        <v>2896481.5762978336</v>
      </c>
      <c r="Q725" s="369">
        <f t="shared" si="406"/>
        <v>360750.27479699004</v>
      </c>
      <c r="R725" s="369">
        <f t="shared" si="406"/>
        <v>17735.121300095001</v>
      </c>
      <c r="S725" s="369">
        <f t="shared" si="406"/>
        <v>0</v>
      </c>
      <c r="T725" s="369">
        <f t="shared" si="406"/>
        <v>0</v>
      </c>
      <c r="U725" s="96">
        <f t="shared" si="406"/>
        <v>0</v>
      </c>
      <c r="V725" s="96">
        <f t="shared" si="406"/>
        <v>0</v>
      </c>
      <c r="W725" s="96">
        <f t="shared" si="406"/>
        <v>0</v>
      </c>
      <c r="X725" s="96">
        <f t="shared" si="406"/>
        <v>0</v>
      </c>
      <c r="Y725" s="96">
        <f t="shared" si="406"/>
        <v>0</v>
      </c>
      <c r="Z725" s="96">
        <f t="shared" si="406"/>
        <v>0</v>
      </c>
      <c r="AA725" s="96">
        <f t="shared" si="406"/>
        <v>0</v>
      </c>
      <c r="AB725" s="96">
        <f t="shared" si="406"/>
        <v>0</v>
      </c>
      <c r="AC725" s="96">
        <f t="shared" si="406"/>
        <v>0</v>
      </c>
      <c r="AD725" s="96">
        <f t="shared" si="406"/>
        <v>0</v>
      </c>
    </row>
    <row r="726" spans="5:30" ht="12" x14ac:dyDescent="0.2">
      <c r="E726" s="301"/>
      <c r="F726" s="94" t="str">
        <f>STRAT3_IND3</f>
        <v>Objetivo estratégico 3 Indicador 3</v>
      </c>
      <c r="G726" s="94" t="str">
        <f ca="1">OFFSET(Variables_Lu!$D$10,Basic_Setup!H48,0)</f>
        <v>Nutrition-specific</v>
      </c>
      <c r="H726" s="354">
        <f t="shared" ref="H726:AD726" si="407">H649/EXCHANGE_RATE</f>
        <v>0</v>
      </c>
      <c r="I726" s="355">
        <f t="shared" si="407"/>
        <v>0</v>
      </c>
      <c r="J726" s="356">
        <f t="shared" si="407"/>
        <v>0</v>
      </c>
      <c r="K726" s="369">
        <f t="shared" si="407"/>
        <v>0</v>
      </c>
      <c r="L726" s="369">
        <f t="shared" si="407"/>
        <v>0</v>
      </c>
      <c r="M726" s="369">
        <f t="shared" si="407"/>
        <v>0</v>
      </c>
      <c r="N726" s="369">
        <f t="shared" si="407"/>
        <v>0</v>
      </c>
      <c r="O726" s="369">
        <f t="shared" si="407"/>
        <v>0</v>
      </c>
      <c r="P726" s="369">
        <f t="shared" si="407"/>
        <v>0</v>
      </c>
      <c r="Q726" s="369">
        <f t="shared" si="407"/>
        <v>0</v>
      </c>
      <c r="R726" s="369">
        <f t="shared" si="407"/>
        <v>0</v>
      </c>
      <c r="S726" s="369">
        <f t="shared" si="407"/>
        <v>0</v>
      </c>
      <c r="T726" s="369">
        <f t="shared" si="407"/>
        <v>0</v>
      </c>
      <c r="U726" s="96">
        <f t="shared" si="407"/>
        <v>0</v>
      </c>
      <c r="V726" s="96">
        <f t="shared" si="407"/>
        <v>0</v>
      </c>
      <c r="W726" s="96">
        <f t="shared" si="407"/>
        <v>0</v>
      </c>
      <c r="X726" s="96">
        <f t="shared" si="407"/>
        <v>0</v>
      </c>
      <c r="Y726" s="96">
        <f t="shared" si="407"/>
        <v>0</v>
      </c>
      <c r="Z726" s="96">
        <f t="shared" si="407"/>
        <v>0</v>
      </c>
      <c r="AA726" s="96">
        <f t="shared" si="407"/>
        <v>0</v>
      </c>
      <c r="AB726" s="96">
        <f t="shared" si="407"/>
        <v>0</v>
      </c>
      <c r="AC726" s="96">
        <f t="shared" si="407"/>
        <v>0</v>
      </c>
      <c r="AD726" s="96">
        <f t="shared" si="407"/>
        <v>0</v>
      </c>
    </row>
    <row r="727" spans="5:30" ht="12" x14ac:dyDescent="0.2">
      <c r="E727" s="301"/>
      <c r="F727" s="94" t="str">
        <f>STRAT3_IND4</f>
        <v>Objetivo estratégico 3 Indicador 4</v>
      </c>
      <c r="G727" s="94" t="str">
        <f ca="1">OFFSET(Variables_Lu!$D$10,Basic_Setup!H49,0)</f>
        <v>Nutrition-specific</v>
      </c>
      <c r="H727" s="354">
        <f t="shared" ref="H727:AD727" si="408">H650/EXCHANGE_RATE</f>
        <v>0</v>
      </c>
      <c r="I727" s="355">
        <f t="shared" si="408"/>
        <v>0</v>
      </c>
      <c r="J727" s="356">
        <f t="shared" si="408"/>
        <v>0</v>
      </c>
      <c r="K727" s="369">
        <f t="shared" si="408"/>
        <v>0</v>
      </c>
      <c r="L727" s="369">
        <f t="shared" si="408"/>
        <v>0</v>
      </c>
      <c r="M727" s="369">
        <f t="shared" si="408"/>
        <v>0</v>
      </c>
      <c r="N727" s="369">
        <f t="shared" si="408"/>
        <v>0</v>
      </c>
      <c r="O727" s="369">
        <f t="shared" si="408"/>
        <v>0</v>
      </c>
      <c r="P727" s="369">
        <f t="shared" si="408"/>
        <v>0</v>
      </c>
      <c r="Q727" s="369">
        <f t="shared" si="408"/>
        <v>0</v>
      </c>
      <c r="R727" s="369">
        <f t="shared" si="408"/>
        <v>0</v>
      </c>
      <c r="S727" s="369">
        <f t="shared" si="408"/>
        <v>0</v>
      </c>
      <c r="T727" s="369">
        <f t="shared" si="408"/>
        <v>0</v>
      </c>
      <c r="U727" s="96">
        <f t="shared" si="408"/>
        <v>0</v>
      </c>
      <c r="V727" s="96">
        <f t="shared" si="408"/>
        <v>0</v>
      </c>
      <c r="W727" s="96">
        <f t="shared" si="408"/>
        <v>0</v>
      </c>
      <c r="X727" s="96">
        <f t="shared" si="408"/>
        <v>0</v>
      </c>
      <c r="Y727" s="96">
        <f t="shared" si="408"/>
        <v>0</v>
      </c>
      <c r="Z727" s="96">
        <f t="shared" si="408"/>
        <v>0</v>
      </c>
      <c r="AA727" s="96">
        <f t="shared" si="408"/>
        <v>0</v>
      </c>
      <c r="AB727" s="96">
        <f t="shared" si="408"/>
        <v>0</v>
      </c>
      <c r="AC727" s="96">
        <f t="shared" si="408"/>
        <v>0</v>
      </c>
      <c r="AD727" s="96">
        <f t="shared" si="408"/>
        <v>0</v>
      </c>
    </row>
    <row r="728" spans="5:30" ht="12" x14ac:dyDescent="0.2">
      <c r="E728" s="301"/>
      <c r="F728" s="94" t="str">
        <f>STRAT3_IND5</f>
        <v>Objetivo estratégico 3 Indicador 5</v>
      </c>
      <c r="G728" s="94" t="str">
        <f ca="1">OFFSET(Variables_Lu!$D$10,Basic_Setup!H50,0)</f>
        <v>Nutrition-specific</v>
      </c>
      <c r="H728" s="354">
        <f t="shared" ref="H728:AD728" si="409">H651/EXCHANGE_RATE</f>
        <v>0</v>
      </c>
      <c r="I728" s="355">
        <f t="shared" si="409"/>
        <v>0</v>
      </c>
      <c r="J728" s="356">
        <f t="shared" si="409"/>
        <v>0</v>
      </c>
      <c r="K728" s="369">
        <f t="shared" si="409"/>
        <v>0</v>
      </c>
      <c r="L728" s="369">
        <f t="shared" si="409"/>
        <v>0</v>
      </c>
      <c r="M728" s="369">
        <f t="shared" si="409"/>
        <v>0</v>
      </c>
      <c r="N728" s="369">
        <f t="shared" si="409"/>
        <v>0</v>
      </c>
      <c r="O728" s="369">
        <f t="shared" si="409"/>
        <v>0</v>
      </c>
      <c r="P728" s="369">
        <f t="shared" si="409"/>
        <v>0</v>
      </c>
      <c r="Q728" s="369">
        <f t="shared" si="409"/>
        <v>0</v>
      </c>
      <c r="R728" s="369">
        <f t="shared" si="409"/>
        <v>0</v>
      </c>
      <c r="S728" s="369">
        <f t="shared" si="409"/>
        <v>0</v>
      </c>
      <c r="T728" s="369">
        <f t="shared" si="409"/>
        <v>0</v>
      </c>
      <c r="U728" s="96">
        <f t="shared" si="409"/>
        <v>0</v>
      </c>
      <c r="V728" s="96">
        <f t="shared" si="409"/>
        <v>0</v>
      </c>
      <c r="W728" s="96">
        <f t="shared" si="409"/>
        <v>0</v>
      </c>
      <c r="X728" s="96">
        <f t="shared" si="409"/>
        <v>0</v>
      </c>
      <c r="Y728" s="96">
        <f t="shared" si="409"/>
        <v>0</v>
      </c>
      <c r="Z728" s="96">
        <f t="shared" si="409"/>
        <v>0</v>
      </c>
      <c r="AA728" s="96">
        <f t="shared" si="409"/>
        <v>0</v>
      </c>
      <c r="AB728" s="96">
        <f t="shared" si="409"/>
        <v>0</v>
      </c>
      <c r="AC728" s="96">
        <f t="shared" si="409"/>
        <v>0</v>
      </c>
      <c r="AD728" s="96">
        <f t="shared" si="409"/>
        <v>0</v>
      </c>
    </row>
    <row r="729" spans="5:30" ht="36" x14ac:dyDescent="0.2">
      <c r="E729" s="301"/>
      <c r="F729" s="338" t="str">
        <f>"Subtotal: "&amp;E258</f>
        <v>Subtotal: Objetivo estratégico 3: Aumentar la disponibilidad y el acceso a alimentos nutritivos de alto valor, seguros y diversificados</v>
      </c>
      <c r="G729" s="333"/>
      <c r="H729" s="357">
        <f t="shared" ref="H729:AD729" si="410">H652/EXCHANGE_RATE</f>
        <v>46888019.975421607</v>
      </c>
      <c r="I729" s="358">
        <f t="shared" si="410"/>
        <v>37975172.744774982</v>
      </c>
      <c r="J729" s="358">
        <f t="shared" si="410"/>
        <v>8912847.2306466233</v>
      </c>
      <c r="K729" s="370">
        <f t="shared" si="410"/>
        <v>1188790.4220375051</v>
      </c>
      <c r="L729" s="370">
        <f t="shared" si="410"/>
        <v>136395.84980452628</v>
      </c>
      <c r="M729" s="370">
        <f t="shared" si="410"/>
        <v>357929</v>
      </c>
      <c r="N729" s="370">
        <f t="shared" si="410"/>
        <v>38314.553419775002</v>
      </c>
      <c r="O729" s="370">
        <f t="shared" si="410"/>
        <v>16483.460594979999</v>
      </c>
      <c r="P729" s="370">
        <f t="shared" si="410"/>
        <v>5792963.1525956672</v>
      </c>
      <c r="Q729" s="370">
        <f t="shared" si="410"/>
        <v>721500.54959398007</v>
      </c>
      <c r="R729" s="370">
        <f t="shared" si="410"/>
        <v>35470.242600190002</v>
      </c>
      <c r="S729" s="370">
        <f t="shared" si="410"/>
        <v>0</v>
      </c>
      <c r="T729" s="370">
        <f t="shared" si="410"/>
        <v>0</v>
      </c>
      <c r="U729" s="337">
        <f t="shared" si="410"/>
        <v>0</v>
      </c>
      <c r="V729" s="337">
        <f t="shared" si="410"/>
        <v>0</v>
      </c>
      <c r="W729" s="337">
        <f t="shared" si="410"/>
        <v>0</v>
      </c>
      <c r="X729" s="337">
        <f t="shared" si="410"/>
        <v>0</v>
      </c>
      <c r="Y729" s="337">
        <f t="shared" si="410"/>
        <v>625000</v>
      </c>
      <c r="Z729" s="337">
        <f t="shared" si="410"/>
        <v>0</v>
      </c>
      <c r="AA729" s="337">
        <f t="shared" si="410"/>
        <v>0</v>
      </c>
      <c r="AB729" s="337">
        <f t="shared" si="410"/>
        <v>0</v>
      </c>
      <c r="AC729" s="337">
        <f t="shared" si="410"/>
        <v>0</v>
      </c>
      <c r="AD729" s="337">
        <f t="shared" si="410"/>
        <v>0</v>
      </c>
    </row>
    <row r="730" spans="5:30" ht="12" x14ac:dyDescent="0.2">
      <c r="E730" s="301" t="str">
        <f>Strategy4</f>
        <v>Objetivo estratégico 4: Fortalecer la protección social, la resiliencia de la respuesta a las emergencias y los desastres naturales.</v>
      </c>
      <c r="G730" s="94"/>
      <c r="H730" s="363"/>
      <c r="I730" s="364"/>
      <c r="J730" s="356"/>
      <c r="K730" s="369"/>
      <c r="L730" s="369"/>
      <c r="M730" s="369"/>
      <c r="N730" s="369"/>
      <c r="O730" s="369"/>
      <c r="P730" s="369"/>
      <c r="Q730" s="369"/>
      <c r="R730" s="369"/>
      <c r="S730" s="369"/>
      <c r="T730" s="369"/>
      <c r="U730" s="96"/>
      <c r="V730" s="96"/>
      <c r="W730" s="96"/>
      <c r="X730" s="96"/>
      <c r="Y730" s="96"/>
      <c r="Z730" s="96"/>
      <c r="AA730" s="96"/>
      <c r="AB730" s="96"/>
      <c r="AC730" s="96"/>
      <c r="AD730" s="96"/>
    </row>
    <row r="731" spans="5:30" ht="22.8" x14ac:dyDescent="0.2">
      <c r="F731" s="94" t="str">
        <f>STRAT4_IND1</f>
        <v xml:space="preserve">Se garantiza la protección social de los niños menores de 5 años, los adolescentes, FE/FA y otros grupos vulnerables. </v>
      </c>
      <c r="G731" s="94" t="str">
        <f ca="1">OFFSET(Variables_Lu!$D$10,Basic_Setup!H52,0)</f>
        <v>Nutrition-sensitive</v>
      </c>
      <c r="H731" s="354">
        <f t="shared" ref="H731:AD731" si="411">H654/EXCHANGE_RATE</f>
        <v>7191092.4309750367</v>
      </c>
      <c r="I731" s="355">
        <f t="shared" si="411"/>
        <v>4318376.3406871641</v>
      </c>
      <c r="J731" s="356">
        <f t="shared" si="411"/>
        <v>2872716.0902878731</v>
      </c>
      <c r="K731" s="369">
        <f t="shared" si="411"/>
        <v>334599.62138450751</v>
      </c>
      <c r="L731" s="369">
        <f t="shared" si="411"/>
        <v>38390.282136351881</v>
      </c>
      <c r="M731" s="369">
        <f t="shared" si="411"/>
        <v>100743.5</v>
      </c>
      <c r="N731" s="369">
        <f t="shared" si="411"/>
        <v>10784.100233412499</v>
      </c>
      <c r="O731" s="369">
        <f t="shared" si="411"/>
        <v>4639.4718294700006</v>
      </c>
      <c r="P731" s="369">
        <f t="shared" si="411"/>
        <v>1630500.4159023762</v>
      </c>
      <c r="Q731" s="369">
        <f t="shared" si="411"/>
        <v>203075.16467797002</v>
      </c>
      <c r="R731" s="369">
        <f t="shared" si="411"/>
        <v>9983.5341237850007</v>
      </c>
      <c r="S731" s="369">
        <f t="shared" si="411"/>
        <v>0</v>
      </c>
      <c r="T731" s="369">
        <f t="shared" si="411"/>
        <v>0</v>
      </c>
      <c r="U731" s="96">
        <f t="shared" si="411"/>
        <v>40000</v>
      </c>
      <c r="V731" s="96">
        <f t="shared" si="411"/>
        <v>0</v>
      </c>
      <c r="W731" s="96">
        <f t="shared" si="411"/>
        <v>0</v>
      </c>
      <c r="X731" s="96">
        <f t="shared" si="411"/>
        <v>0</v>
      </c>
      <c r="Y731" s="96">
        <f t="shared" si="411"/>
        <v>500000</v>
      </c>
      <c r="Z731" s="96">
        <f t="shared" si="411"/>
        <v>0</v>
      </c>
      <c r="AA731" s="96">
        <f t="shared" si="411"/>
        <v>0</v>
      </c>
      <c r="AB731" s="96">
        <f t="shared" si="411"/>
        <v>0</v>
      </c>
      <c r="AC731" s="96">
        <f t="shared" si="411"/>
        <v>0</v>
      </c>
      <c r="AD731" s="96">
        <f t="shared" si="411"/>
        <v>0</v>
      </c>
    </row>
    <row r="732" spans="5:30" ht="34.200000000000003" x14ac:dyDescent="0.2">
      <c r="E732" s="301"/>
      <c r="F732" s="94" t="str">
        <f>STRAT4_IND2</f>
        <v xml:space="preserve">Se fortalece la capacidad de resiliencia y el estado nutricional de las poblaciones vulnerables, incluidos los niños de las zonas desfavorecidas.  </v>
      </c>
      <c r="G732" s="94" t="str">
        <f ca="1">OFFSET(Variables_Lu!$D$10,Basic_Setup!H53,0)</f>
        <v>Nutrition-specific</v>
      </c>
      <c r="H732" s="354">
        <f t="shared" ref="H732:AD732" si="412">H655/EXCHANGE_RATE</f>
        <v>7191092.4309750367</v>
      </c>
      <c r="I732" s="355">
        <f t="shared" si="412"/>
        <v>4768376.3406871641</v>
      </c>
      <c r="J732" s="356">
        <f t="shared" si="412"/>
        <v>2422716.0902878731</v>
      </c>
      <c r="K732" s="369">
        <f t="shared" si="412"/>
        <v>334599.62138450751</v>
      </c>
      <c r="L732" s="369">
        <f t="shared" si="412"/>
        <v>38390.282136351881</v>
      </c>
      <c r="M732" s="369">
        <f t="shared" si="412"/>
        <v>100743.5</v>
      </c>
      <c r="N732" s="369">
        <f t="shared" si="412"/>
        <v>10784.100233412499</v>
      </c>
      <c r="O732" s="369">
        <f t="shared" si="412"/>
        <v>4639.4718294700006</v>
      </c>
      <c r="P732" s="369">
        <f t="shared" si="412"/>
        <v>1630500.4159023762</v>
      </c>
      <c r="Q732" s="369">
        <f t="shared" si="412"/>
        <v>203075.16467797002</v>
      </c>
      <c r="R732" s="369">
        <f t="shared" si="412"/>
        <v>9983.5341237850007</v>
      </c>
      <c r="S732" s="369">
        <f t="shared" si="412"/>
        <v>0</v>
      </c>
      <c r="T732" s="369">
        <f t="shared" si="412"/>
        <v>0</v>
      </c>
      <c r="U732" s="96">
        <f t="shared" si="412"/>
        <v>40000</v>
      </c>
      <c r="V732" s="96">
        <f t="shared" si="412"/>
        <v>0</v>
      </c>
      <c r="W732" s="96">
        <f t="shared" si="412"/>
        <v>0</v>
      </c>
      <c r="X732" s="96">
        <f t="shared" si="412"/>
        <v>0</v>
      </c>
      <c r="Y732" s="96">
        <f t="shared" si="412"/>
        <v>50000</v>
      </c>
      <c r="Z732" s="96">
        <f t="shared" si="412"/>
        <v>0</v>
      </c>
      <c r="AA732" s="96">
        <f t="shared" si="412"/>
        <v>0</v>
      </c>
      <c r="AB732" s="96">
        <f t="shared" si="412"/>
        <v>0</v>
      </c>
      <c r="AC732" s="96">
        <f t="shared" si="412"/>
        <v>0</v>
      </c>
      <c r="AD732" s="96">
        <f t="shared" si="412"/>
        <v>0</v>
      </c>
    </row>
    <row r="733" spans="5:30" ht="22.8" x14ac:dyDescent="0.2">
      <c r="E733" s="301"/>
      <c r="F733" s="94" t="str">
        <f>STRAT4_IND3</f>
        <v xml:space="preserve"> Se introducen eficazmente intervenciones para emergencias y catástrofes naturales integrales de la nutrición.</v>
      </c>
      <c r="G733" s="94" t="str">
        <f ca="1">OFFSET(Variables_Lu!$D$10,Basic_Setup!H54,0)</f>
        <v>Nutrition-specific</v>
      </c>
      <c r="H733" s="354">
        <f t="shared" ref="H733:AD733" si="413">H656/EXCHANGE_RATE</f>
        <v>7191092.4309750367</v>
      </c>
      <c r="I733" s="355">
        <f t="shared" si="413"/>
        <v>4538376.3406871641</v>
      </c>
      <c r="J733" s="356">
        <f t="shared" si="413"/>
        <v>2652716.0902878731</v>
      </c>
      <c r="K733" s="369">
        <f t="shared" si="413"/>
        <v>334599.62138450751</v>
      </c>
      <c r="L733" s="369">
        <f t="shared" si="413"/>
        <v>38390.282136351881</v>
      </c>
      <c r="M733" s="369">
        <f t="shared" si="413"/>
        <v>100743.5</v>
      </c>
      <c r="N733" s="369">
        <f t="shared" si="413"/>
        <v>10784.100233412499</v>
      </c>
      <c r="O733" s="369">
        <f t="shared" si="413"/>
        <v>4639.4718294700006</v>
      </c>
      <c r="P733" s="369">
        <f t="shared" si="413"/>
        <v>1630500.4159023762</v>
      </c>
      <c r="Q733" s="369">
        <f t="shared" si="413"/>
        <v>203075.16467797002</v>
      </c>
      <c r="R733" s="369">
        <f t="shared" si="413"/>
        <v>9983.5341237850007</v>
      </c>
      <c r="S733" s="369">
        <f t="shared" si="413"/>
        <v>0</v>
      </c>
      <c r="T733" s="369">
        <f t="shared" si="413"/>
        <v>0</v>
      </c>
      <c r="U733" s="96">
        <f t="shared" si="413"/>
        <v>320000</v>
      </c>
      <c r="V733" s="96">
        <f t="shared" si="413"/>
        <v>0</v>
      </c>
      <c r="W733" s="96">
        <f t="shared" si="413"/>
        <v>0</v>
      </c>
      <c r="X733" s="96">
        <f t="shared" si="413"/>
        <v>0</v>
      </c>
      <c r="Y733" s="96">
        <f t="shared" si="413"/>
        <v>0</v>
      </c>
      <c r="Z733" s="96">
        <f t="shared" si="413"/>
        <v>0</v>
      </c>
      <c r="AA733" s="96">
        <f t="shared" si="413"/>
        <v>0</v>
      </c>
      <c r="AB733" s="96">
        <f t="shared" si="413"/>
        <v>0</v>
      </c>
      <c r="AC733" s="96">
        <f t="shared" si="413"/>
        <v>0</v>
      </c>
      <c r="AD733" s="96">
        <f t="shared" si="413"/>
        <v>0</v>
      </c>
    </row>
    <row r="734" spans="5:30" ht="12" x14ac:dyDescent="0.2">
      <c r="E734" s="301"/>
      <c r="F734" s="94" t="str">
        <f>STRAT4_IND4</f>
        <v>Objetivo estratégico 4 Indicador 4</v>
      </c>
      <c r="G734" s="94" t="str">
        <f ca="1">OFFSET(Variables_Lu!$D$10,Basic_Setup!H55,0)</f>
        <v>Nutrition-specific</v>
      </c>
      <c r="H734" s="354">
        <f t="shared" ref="H734:AD734" si="414">H657/EXCHANGE_RATE</f>
        <v>0</v>
      </c>
      <c r="I734" s="355">
        <f t="shared" si="414"/>
        <v>0</v>
      </c>
      <c r="J734" s="356">
        <f t="shared" si="414"/>
        <v>0</v>
      </c>
      <c r="K734" s="369">
        <f t="shared" si="414"/>
        <v>0</v>
      </c>
      <c r="L734" s="369">
        <f t="shared" si="414"/>
        <v>0</v>
      </c>
      <c r="M734" s="369">
        <f t="shared" si="414"/>
        <v>0</v>
      </c>
      <c r="N734" s="369">
        <f t="shared" si="414"/>
        <v>0</v>
      </c>
      <c r="O734" s="369">
        <f t="shared" si="414"/>
        <v>0</v>
      </c>
      <c r="P734" s="369">
        <f t="shared" si="414"/>
        <v>0</v>
      </c>
      <c r="Q734" s="369">
        <f t="shared" si="414"/>
        <v>0</v>
      </c>
      <c r="R734" s="369">
        <f t="shared" si="414"/>
        <v>0</v>
      </c>
      <c r="S734" s="369">
        <f t="shared" si="414"/>
        <v>0</v>
      </c>
      <c r="T734" s="369">
        <f t="shared" si="414"/>
        <v>0</v>
      </c>
      <c r="U734" s="96">
        <f t="shared" si="414"/>
        <v>0</v>
      </c>
      <c r="V734" s="96">
        <f t="shared" si="414"/>
        <v>0</v>
      </c>
      <c r="W734" s="96">
        <f t="shared" si="414"/>
        <v>0</v>
      </c>
      <c r="X734" s="96">
        <f t="shared" si="414"/>
        <v>0</v>
      </c>
      <c r="Y734" s="96">
        <f t="shared" si="414"/>
        <v>0</v>
      </c>
      <c r="Z734" s="96">
        <f t="shared" si="414"/>
        <v>0</v>
      </c>
      <c r="AA734" s="96">
        <f t="shared" si="414"/>
        <v>0</v>
      </c>
      <c r="AB734" s="96">
        <f t="shared" si="414"/>
        <v>0</v>
      </c>
      <c r="AC734" s="96">
        <f t="shared" si="414"/>
        <v>0</v>
      </c>
      <c r="AD734" s="96">
        <f t="shared" si="414"/>
        <v>0</v>
      </c>
    </row>
    <row r="735" spans="5:30" ht="12" x14ac:dyDescent="0.2">
      <c r="E735" s="301"/>
      <c r="F735" s="94" t="str">
        <f>STRAT4_IND5</f>
        <v>Objetivo estratégico 4 Indicador 5</v>
      </c>
      <c r="G735" s="94" t="str">
        <f ca="1">OFFSET(Variables_Lu!$D$10,Basic_Setup!H56,0)</f>
        <v>Nutrition-specific</v>
      </c>
      <c r="H735" s="354">
        <f t="shared" ref="H735:AD735" si="415">H658/EXCHANGE_RATE</f>
        <v>0</v>
      </c>
      <c r="I735" s="355">
        <f t="shared" si="415"/>
        <v>0</v>
      </c>
      <c r="J735" s="356">
        <f t="shared" si="415"/>
        <v>0</v>
      </c>
      <c r="K735" s="369">
        <f t="shared" si="415"/>
        <v>0</v>
      </c>
      <c r="L735" s="369">
        <f t="shared" si="415"/>
        <v>0</v>
      </c>
      <c r="M735" s="369">
        <f t="shared" si="415"/>
        <v>0</v>
      </c>
      <c r="N735" s="369">
        <f t="shared" si="415"/>
        <v>0</v>
      </c>
      <c r="O735" s="369">
        <f t="shared" si="415"/>
        <v>0</v>
      </c>
      <c r="P735" s="369">
        <f t="shared" si="415"/>
        <v>0</v>
      </c>
      <c r="Q735" s="369">
        <f t="shared" si="415"/>
        <v>0</v>
      </c>
      <c r="R735" s="369">
        <f t="shared" si="415"/>
        <v>0</v>
      </c>
      <c r="S735" s="369">
        <f t="shared" si="415"/>
        <v>0</v>
      </c>
      <c r="T735" s="369">
        <f t="shared" si="415"/>
        <v>0</v>
      </c>
      <c r="U735" s="96">
        <f t="shared" si="415"/>
        <v>0</v>
      </c>
      <c r="V735" s="96">
        <f t="shared" si="415"/>
        <v>0</v>
      </c>
      <c r="W735" s="96">
        <f t="shared" si="415"/>
        <v>0</v>
      </c>
      <c r="X735" s="96">
        <f t="shared" si="415"/>
        <v>0</v>
      </c>
      <c r="Y735" s="96">
        <f t="shared" si="415"/>
        <v>0</v>
      </c>
      <c r="Z735" s="96">
        <f t="shared" si="415"/>
        <v>0</v>
      </c>
      <c r="AA735" s="96">
        <f t="shared" si="415"/>
        <v>0</v>
      </c>
      <c r="AB735" s="96">
        <f t="shared" si="415"/>
        <v>0</v>
      </c>
      <c r="AC735" s="96">
        <f t="shared" si="415"/>
        <v>0</v>
      </c>
      <c r="AD735" s="96">
        <f t="shared" si="415"/>
        <v>0</v>
      </c>
    </row>
    <row r="736" spans="5:30" ht="36" x14ac:dyDescent="0.2">
      <c r="E736" s="301"/>
      <c r="F736" s="338" t="str">
        <f>"Subtotal: "&amp;E265</f>
        <v>Subtotal: Objetivo estratégico 4: Fortalecer la protección social, la resiliencia de la respuesta a las emergencias y los desastres naturales.</v>
      </c>
      <c r="G736" s="333"/>
      <c r="H736" s="357">
        <f t="shared" ref="H736:AD736" si="416">H659/EXCHANGE_RATE</f>
        <v>21573277.292925108</v>
      </c>
      <c r="I736" s="358">
        <f t="shared" si="416"/>
        <v>13625129.022061491</v>
      </c>
      <c r="J736" s="358">
        <f t="shared" si="416"/>
        <v>7948148.2708636187</v>
      </c>
      <c r="K736" s="370">
        <f t="shared" si="416"/>
        <v>1003798.8641535224</v>
      </c>
      <c r="L736" s="370">
        <f t="shared" si="416"/>
        <v>115170.84640905564</v>
      </c>
      <c r="M736" s="370">
        <f t="shared" si="416"/>
        <v>302230.5</v>
      </c>
      <c r="N736" s="370">
        <f t="shared" si="416"/>
        <v>32352.300700237494</v>
      </c>
      <c r="O736" s="370">
        <f t="shared" si="416"/>
        <v>13918.415488410001</v>
      </c>
      <c r="P736" s="370">
        <f t="shared" si="416"/>
        <v>4891501.2477071285</v>
      </c>
      <c r="Q736" s="370">
        <f t="shared" si="416"/>
        <v>609225.49403390998</v>
      </c>
      <c r="R736" s="370">
        <f t="shared" si="416"/>
        <v>29950.602371355006</v>
      </c>
      <c r="S736" s="370">
        <f t="shared" si="416"/>
        <v>0</v>
      </c>
      <c r="T736" s="370">
        <f t="shared" si="416"/>
        <v>0</v>
      </c>
      <c r="U736" s="337">
        <f t="shared" si="416"/>
        <v>400000</v>
      </c>
      <c r="V736" s="337">
        <f t="shared" si="416"/>
        <v>0</v>
      </c>
      <c r="W736" s="337">
        <f t="shared" si="416"/>
        <v>0</v>
      </c>
      <c r="X736" s="337">
        <f t="shared" si="416"/>
        <v>0</v>
      </c>
      <c r="Y736" s="337">
        <f t="shared" si="416"/>
        <v>550000</v>
      </c>
      <c r="Z736" s="337">
        <f t="shared" si="416"/>
        <v>0</v>
      </c>
      <c r="AA736" s="337">
        <f t="shared" si="416"/>
        <v>0</v>
      </c>
      <c r="AB736" s="337">
        <f t="shared" si="416"/>
        <v>0</v>
      </c>
      <c r="AC736" s="337">
        <f t="shared" si="416"/>
        <v>0</v>
      </c>
      <c r="AD736" s="337">
        <f t="shared" si="416"/>
        <v>0</v>
      </c>
    </row>
    <row r="737" spans="5:30" ht="12" x14ac:dyDescent="0.2">
      <c r="E737" s="301" t="str">
        <f>Strategy5</f>
        <v xml:space="preserve">Objetivo estratégico 5: Promoción de prácticas favorables a una nutrición óptima, de higiene y saneamiento básico. </v>
      </c>
      <c r="G737" s="94"/>
      <c r="H737" s="363"/>
      <c r="I737" s="364"/>
      <c r="J737" s="356"/>
      <c r="K737" s="369"/>
      <c r="L737" s="369"/>
      <c r="M737" s="369"/>
      <c r="N737" s="369"/>
      <c r="O737" s="369"/>
      <c r="P737" s="369"/>
      <c r="Q737" s="369"/>
      <c r="R737" s="369"/>
      <c r="S737" s="369"/>
      <c r="T737" s="369"/>
      <c r="U737" s="96"/>
      <c r="V737" s="96"/>
      <c r="W737" s="96"/>
      <c r="X737" s="96"/>
      <c r="Y737" s="96"/>
      <c r="Z737" s="96"/>
      <c r="AA737" s="96"/>
      <c r="AB737" s="96"/>
      <c r="AC737" s="96"/>
      <c r="AD737" s="96"/>
    </row>
    <row r="738" spans="5:30" ht="34.200000000000003" x14ac:dyDescent="0.2">
      <c r="F738" s="94" t="str">
        <f>STRAT5_IND1</f>
        <v>Se mejoran las prácticas nutricionales favorables para los niños menores de 5 años, los adolescentes, las mujeres embarazadas y lactantes, y otros grupos vulnerables.</v>
      </c>
      <c r="G738" s="94" t="str">
        <f ca="1">OFFSET(Variables_Lu!$D$10,Basic_Setup!H58,0)</f>
        <v>Nutrition-specific</v>
      </c>
      <c r="H738" s="354">
        <f t="shared" ref="H738:AD738" si="417">H661/EXCHANGE_RATE</f>
        <v>2480055.7533950559</v>
      </c>
      <c r="I738" s="355">
        <f t="shared" si="417"/>
        <v>216039.88718417485</v>
      </c>
      <c r="J738" s="356">
        <f t="shared" si="417"/>
        <v>2264015.8662108807</v>
      </c>
      <c r="K738" s="369">
        <f t="shared" si="417"/>
        <v>9182.2938444766642</v>
      </c>
      <c r="L738" s="369">
        <f t="shared" si="417"/>
        <v>1053.5303354191667</v>
      </c>
      <c r="M738" s="369">
        <f t="shared" si="417"/>
        <v>2764.6666666666661</v>
      </c>
      <c r="N738" s="369">
        <f t="shared" si="417"/>
        <v>295.94408021666658</v>
      </c>
      <c r="O738" s="369">
        <f t="shared" si="417"/>
        <v>127.31931209333331</v>
      </c>
      <c r="P738" s="369">
        <f t="shared" si="417"/>
        <v>44745.220781801669</v>
      </c>
      <c r="Q738" s="369">
        <f t="shared" si="417"/>
        <v>5572.9167500933336</v>
      </c>
      <c r="R738" s="369">
        <f t="shared" si="417"/>
        <v>273.97444011333329</v>
      </c>
      <c r="S738" s="369">
        <f t="shared" si="417"/>
        <v>0</v>
      </c>
      <c r="T738" s="369">
        <f t="shared" si="417"/>
        <v>0</v>
      </c>
      <c r="U738" s="96">
        <f t="shared" si="417"/>
        <v>1200000</v>
      </c>
      <c r="V738" s="96">
        <f t="shared" si="417"/>
        <v>0</v>
      </c>
      <c r="W738" s="96">
        <f t="shared" si="417"/>
        <v>0</v>
      </c>
      <c r="X738" s="96">
        <f t="shared" si="417"/>
        <v>0</v>
      </c>
      <c r="Y738" s="96">
        <f t="shared" si="417"/>
        <v>1000000</v>
      </c>
      <c r="Z738" s="96">
        <f t="shared" si="417"/>
        <v>0</v>
      </c>
      <c r="AA738" s="96">
        <f t="shared" si="417"/>
        <v>0</v>
      </c>
      <c r="AB738" s="96">
        <f t="shared" si="417"/>
        <v>0</v>
      </c>
      <c r="AC738" s="96">
        <f t="shared" si="417"/>
        <v>0</v>
      </c>
      <c r="AD738" s="96">
        <f t="shared" si="417"/>
        <v>0</v>
      </c>
    </row>
    <row r="739" spans="5:30" ht="22.8" x14ac:dyDescent="0.2">
      <c r="E739" s="301"/>
      <c r="F739" s="94" t="str">
        <f>STRAT5_IND2</f>
        <v>Se promueven dietas saludables y estilos de vida saludables para las personas.</v>
      </c>
      <c r="G739" s="94" t="str">
        <f ca="1">OFFSET(Variables_Lu!$D$10,Basic_Setup!H59,0)</f>
        <v>Nutrition-specific</v>
      </c>
      <c r="H739" s="354">
        <f t="shared" ref="H739:AD739" si="418">H662/EXCHANGE_RATE</f>
        <v>2480055.7533950559</v>
      </c>
      <c r="I739" s="355">
        <f t="shared" si="418"/>
        <v>1936039.887184175</v>
      </c>
      <c r="J739" s="356">
        <f t="shared" si="418"/>
        <v>544015.86621088081</v>
      </c>
      <c r="K739" s="369">
        <f t="shared" si="418"/>
        <v>9182.2938444766642</v>
      </c>
      <c r="L739" s="369">
        <f t="shared" si="418"/>
        <v>1053.5303354191667</v>
      </c>
      <c r="M739" s="369">
        <f t="shared" si="418"/>
        <v>2764.6666666666661</v>
      </c>
      <c r="N739" s="369">
        <f t="shared" si="418"/>
        <v>295.94408021666658</v>
      </c>
      <c r="O739" s="369">
        <f t="shared" si="418"/>
        <v>127.31931209333331</v>
      </c>
      <c r="P739" s="369">
        <f t="shared" si="418"/>
        <v>44745.220781801669</v>
      </c>
      <c r="Q739" s="369">
        <f t="shared" si="418"/>
        <v>5572.9167500933336</v>
      </c>
      <c r="R739" s="369">
        <f t="shared" si="418"/>
        <v>273.97444011333329</v>
      </c>
      <c r="S739" s="369">
        <f t="shared" si="418"/>
        <v>0</v>
      </c>
      <c r="T739" s="369">
        <f t="shared" si="418"/>
        <v>0</v>
      </c>
      <c r="U739" s="96">
        <f t="shared" si="418"/>
        <v>480000</v>
      </c>
      <c r="V739" s="96">
        <f t="shared" si="418"/>
        <v>0</v>
      </c>
      <c r="W739" s="96">
        <f t="shared" si="418"/>
        <v>0</v>
      </c>
      <c r="X739" s="96">
        <f t="shared" si="418"/>
        <v>0</v>
      </c>
      <c r="Y739" s="96">
        <f t="shared" si="418"/>
        <v>0</v>
      </c>
      <c r="Z739" s="96">
        <f t="shared" si="418"/>
        <v>0</v>
      </c>
      <c r="AA739" s="96">
        <f t="shared" si="418"/>
        <v>0</v>
      </c>
      <c r="AB739" s="96">
        <f t="shared" si="418"/>
        <v>0</v>
      </c>
      <c r="AC739" s="96">
        <f t="shared" si="418"/>
        <v>0</v>
      </c>
      <c r="AD739" s="96">
        <f t="shared" si="418"/>
        <v>0</v>
      </c>
    </row>
    <row r="740" spans="5:30" ht="22.8" x14ac:dyDescent="0.2">
      <c r="E740" s="301"/>
      <c r="F740" s="94" t="str">
        <f>STRAT5_IND3</f>
        <v>Se promueven las buenas prácticas WASH a nivel comunitario y doméstico</v>
      </c>
      <c r="G740" s="94" t="str">
        <f ca="1">OFFSET(Variables_Lu!$D$10,Basic_Setup!H60,0)</f>
        <v>Nutrition-sensitive</v>
      </c>
      <c r="H740" s="354">
        <f t="shared" ref="H740:AD740" si="419">H663/EXCHANGE_RATE</f>
        <v>2480055.7533950559</v>
      </c>
      <c r="I740" s="355">
        <f t="shared" si="419"/>
        <v>1696039.887184175</v>
      </c>
      <c r="J740" s="356">
        <f t="shared" si="419"/>
        <v>784015.86621088081</v>
      </c>
      <c r="K740" s="369">
        <f t="shared" si="419"/>
        <v>9182.2938444766642</v>
      </c>
      <c r="L740" s="369">
        <f t="shared" si="419"/>
        <v>1053.5303354191667</v>
      </c>
      <c r="M740" s="369">
        <f t="shared" si="419"/>
        <v>2764.6666666666661</v>
      </c>
      <c r="N740" s="369">
        <f t="shared" si="419"/>
        <v>295.94408021666658</v>
      </c>
      <c r="O740" s="369">
        <f t="shared" si="419"/>
        <v>127.31931209333331</v>
      </c>
      <c r="P740" s="369">
        <f t="shared" si="419"/>
        <v>44745.220781801669</v>
      </c>
      <c r="Q740" s="369">
        <f t="shared" si="419"/>
        <v>5572.9167500933336</v>
      </c>
      <c r="R740" s="369">
        <f t="shared" si="419"/>
        <v>273.97444011333329</v>
      </c>
      <c r="S740" s="369">
        <f t="shared" si="419"/>
        <v>0</v>
      </c>
      <c r="T740" s="369">
        <f t="shared" si="419"/>
        <v>0</v>
      </c>
      <c r="U740" s="96">
        <f t="shared" si="419"/>
        <v>720000</v>
      </c>
      <c r="V740" s="96">
        <f t="shared" si="419"/>
        <v>0</v>
      </c>
      <c r="W740" s="96">
        <f t="shared" si="419"/>
        <v>0</v>
      </c>
      <c r="X740" s="96">
        <f t="shared" si="419"/>
        <v>0</v>
      </c>
      <c r="Y740" s="96">
        <f t="shared" si="419"/>
        <v>0</v>
      </c>
      <c r="Z740" s="96">
        <f t="shared" si="419"/>
        <v>0</v>
      </c>
      <c r="AA740" s="96">
        <f t="shared" si="419"/>
        <v>0</v>
      </c>
      <c r="AB740" s="96">
        <f t="shared" si="419"/>
        <v>0</v>
      </c>
      <c r="AC740" s="96">
        <f t="shared" si="419"/>
        <v>0</v>
      </c>
      <c r="AD740" s="96">
        <f t="shared" si="419"/>
        <v>0</v>
      </c>
    </row>
    <row r="741" spans="5:30" ht="12" x14ac:dyDescent="0.2">
      <c r="E741" s="301"/>
      <c r="F741" s="94" t="str">
        <f>STRAT5_IND4</f>
        <v>Objetivo estratégico 5 Indicador 4</v>
      </c>
      <c r="G741" s="94" t="str">
        <f ca="1">OFFSET(Variables_Lu!$D$10,Basic_Setup!H61,0)</f>
        <v>Nutrition-specific</v>
      </c>
      <c r="H741" s="354">
        <f t="shared" ref="H741:AD741" si="420">H664/EXCHANGE_RATE</f>
        <v>0</v>
      </c>
      <c r="I741" s="355">
        <f t="shared" si="420"/>
        <v>0</v>
      </c>
      <c r="J741" s="356">
        <f t="shared" si="420"/>
        <v>0</v>
      </c>
      <c r="K741" s="369">
        <f t="shared" si="420"/>
        <v>0</v>
      </c>
      <c r="L741" s="369">
        <f t="shared" si="420"/>
        <v>0</v>
      </c>
      <c r="M741" s="369">
        <f t="shared" si="420"/>
        <v>0</v>
      </c>
      <c r="N741" s="369">
        <f t="shared" si="420"/>
        <v>0</v>
      </c>
      <c r="O741" s="369">
        <f t="shared" si="420"/>
        <v>0</v>
      </c>
      <c r="P741" s="369">
        <f t="shared" si="420"/>
        <v>0</v>
      </c>
      <c r="Q741" s="369">
        <f t="shared" si="420"/>
        <v>0</v>
      </c>
      <c r="R741" s="369">
        <f t="shared" si="420"/>
        <v>0</v>
      </c>
      <c r="S741" s="369">
        <f t="shared" si="420"/>
        <v>0</v>
      </c>
      <c r="T741" s="369">
        <f t="shared" si="420"/>
        <v>0</v>
      </c>
      <c r="U741" s="96">
        <f t="shared" si="420"/>
        <v>0</v>
      </c>
      <c r="V741" s="96">
        <f t="shared" si="420"/>
        <v>0</v>
      </c>
      <c r="W741" s="96">
        <f t="shared" si="420"/>
        <v>0</v>
      </c>
      <c r="X741" s="96">
        <f t="shared" si="420"/>
        <v>0</v>
      </c>
      <c r="Y741" s="96">
        <f t="shared" si="420"/>
        <v>0</v>
      </c>
      <c r="Z741" s="96">
        <f t="shared" si="420"/>
        <v>0</v>
      </c>
      <c r="AA741" s="96">
        <f t="shared" si="420"/>
        <v>0</v>
      </c>
      <c r="AB741" s="96">
        <f t="shared" si="420"/>
        <v>0</v>
      </c>
      <c r="AC741" s="96">
        <f t="shared" si="420"/>
        <v>0</v>
      </c>
      <c r="AD741" s="96">
        <f t="shared" si="420"/>
        <v>0</v>
      </c>
    </row>
    <row r="742" spans="5:30" ht="12" x14ac:dyDescent="0.2">
      <c r="E742" s="301"/>
      <c r="F742" s="94" t="str">
        <f>STRAT5_IND5</f>
        <v>Objetivo estratégico 5 Indicador 5</v>
      </c>
      <c r="G742" s="94" t="str">
        <f ca="1">OFFSET(Variables_Lu!$D$10,Basic_Setup!H62,0)</f>
        <v>Nutrition-specific</v>
      </c>
      <c r="H742" s="354">
        <f t="shared" ref="H742:AD742" si="421">H665/EXCHANGE_RATE</f>
        <v>0</v>
      </c>
      <c r="I742" s="355">
        <f t="shared" si="421"/>
        <v>0</v>
      </c>
      <c r="J742" s="356">
        <f t="shared" si="421"/>
        <v>0</v>
      </c>
      <c r="K742" s="369">
        <f t="shared" si="421"/>
        <v>0</v>
      </c>
      <c r="L742" s="369">
        <f t="shared" si="421"/>
        <v>0</v>
      </c>
      <c r="M742" s="369">
        <f t="shared" si="421"/>
        <v>0</v>
      </c>
      <c r="N742" s="369">
        <f t="shared" si="421"/>
        <v>0</v>
      </c>
      <c r="O742" s="369">
        <f t="shared" si="421"/>
        <v>0</v>
      </c>
      <c r="P742" s="369">
        <f t="shared" si="421"/>
        <v>0</v>
      </c>
      <c r="Q742" s="369">
        <f t="shared" si="421"/>
        <v>0</v>
      </c>
      <c r="R742" s="369">
        <f t="shared" si="421"/>
        <v>0</v>
      </c>
      <c r="S742" s="369">
        <f t="shared" si="421"/>
        <v>0</v>
      </c>
      <c r="T742" s="369">
        <f t="shared" si="421"/>
        <v>0</v>
      </c>
      <c r="U742" s="96">
        <f t="shared" si="421"/>
        <v>0</v>
      </c>
      <c r="V742" s="96">
        <f t="shared" si="421"/>
        <v>0</v>
      </c>
      <c r="W742" s="96">
        <f t="shared" si="421"/>
        <v>0</v>
      </c>
      <c r="X742" s="96">
        <f t="shared" si="421"/>
        <v>0</v>
      </c>
      <c r="Y742" s="96">
        <f t="shared" si="421"/>
        <v>0</v>
      </c>
      <c r="Z742" s="96">
        <f t="shared" si="421"/>
        <v>0</v>
      </c>
      <c r="AA742" s="96">
        <f t="shared" si="421"/>
        <v>0</v>
      </c>
      <c r="AB742" s="96">
        <f t="shared" si="421"/>
        <v>0</v>
      </c>
      <c r="AC742" s="96">
        <f t="shared" si="421"/>
        <v>0</v>
      </c>
      <c r="AD742" s="96">
        <f t="shared" si="421"/>
        <v>0</v>
      </c>
    </row>
    <row r="743" spans="5:30" ht="36" x14ac:dyDescent="0.2">
      <c r="E743" s="301"/>
      <c r="F743" s="338" t="str">
        <f>"Subtotal: "&amp;E272</f>
        <v xml:space="preserve">Subtotal: Objetivo estratégico 5: Promoción de prácticas favorables a una nutrición óptima, de higiene y saneamiento básico. </v>
      </c>
      <c r="G743" s="333"/>
      <c r="H743" s="357">
        <f t="shared" ref="H743:AD743" si="422">H666/EXCHANGE_RATE</f>
        <v>7440167.2601851672</v>
      </c>
      <c r="I743" s="358">
        <f t="shared" si="422"/>
        <v>3848119.6615525247</v>
      </c>
      <c r="J743" s="358">
        <f t="shared" si="422"/>
        <v>3592047.5986326425</v>
      </c>
      <c r="K743" s="370">
        <f t="shared" si="422"/>
        <v>27546.881533429994</v>
      </c>
      <c r="L743" s="370">
        <f t="shared" si="422"/>
        <v>3160.5910062574999</v>
      </c>
      <c r="M743" s="370">
        <f t="shared" si="422"/>
        <v>8293.9999999999982</v>
      </c>
      <c r="N743" s="370">
        <f t="shared" si="422"/>
        <v>887.83224064999979</v>
      </c>
      <c r="O743" s="370">
        <f t="shared" si="422"/>
        <v>381.95793627999996</v>
      </c>
      <c r="P743" s="370">
        <f t="shared" si="422"/>
        <v>134235.662345405</v>
      </c>
      <c r="Q743" s="370">
        <f t="shared" si="422"/>
        <v>16718.750250279998</v>
      </c>
      <c r="R743" s="370">
        <f t="shared" si="422"/>
        <v>821.92332033999992</v>
      </c>
      <c r="S743" s="370">
        <f t="shared" si="422"/>
        <v>0</v>
      </c>
      <c r="T743" s="370">
        <f t="shared" si="422"/>
        <v>0</v>
      </c>
      <c r="U743" s="337">
        <f t="shared" si="422"/>
        <v>2400000</v>
      </c>
      <c r="V743" s="337">
        <f t="shared" si="422"/>
        <v>0</v>
      </c>
      <c r="W743" s="337">
        <f t="shared" si="422"/>
        <v>0</v>
      </c>
      <c r="X743" s="337">
        <f t="shared" si="422"/>
        <v>0</v>
      </c>
      <c r="Y743" s="337">
        <f t="shared" si="422"/>
        <v>1000000</v>
      </c>
      <c r="Z743" s="337">
        <f t="shared" si="422"/>
        <v>0</v>
      </c>
      <c r="AA743" s="337">
        <f t="shared" si="422"/>
        <v>0</v>
      </c>
      <c r="AB743" s="337">
        <f t="shared" si="422"/>
        <v>0</v>
      </c>
      <c r="AC743" s="337">
        <f t="shared" si="422"/>
        <v>0</v>
      </c>
      <c r="AD743" s="337">
        <f t="shared" si="422"/>
        <v>0</v>
      </c>
    </row>
    <row r="744" spans="5:30" ht="12" x14ac:dyDescent="0.2">
      <c r="E744" s="301" t="str">
        <f>Strategy6</f>
        <v>Objetivo estratégico 6: [No está en uso]</v>
      </c>
      <c r="G744" s="94"/>
      <c r="H744" s="363"/>
      <c r="I744" s="364"/>
      <c r="J744" s="356"/>
      <c r="K744" s="369"/>
      <c r="L744" s="369"/>
      <c r="M744" s="369"/>
      <c r="N744" s="369"/>
      <c r="O744" s="369"/>
      <c r="P744" s="369"/>
      <c r="Q744" s="369"/>
      <c r="R744" s="369"/>
      <c r="S744" s="369"/>
      <c r="T744" s="369"/>
      <c r="U744" s="96"/>
      <c r="V744" s="96"/>
      <c r="W744" s="96"/>
      <c r="X744" s="96"/>
      <c r="Y744" s="96"/>
      <c r="Z744" s="96"/>
      <c r="AA744" s="96"/>
      <c r="AB744" s="96"/>
      <c r="AC744" s="96"/>
      <c r="AD744" s="96"/>
    </row>
    <row r="745" spans="5:30" ht="12" x14ac:dyDescent="0.2">
      <c r="E745" s="301"/>
      <c r="F745" s="94" t="str">
        <f>STRAT6_IND1</f>
        <v>Objetivo estratégico 6 Indicador 1</v>
      </c>
      <c r="G745" s="94" t="str">
        <f ca="1">OFFSET(Variables_Lu!$D$10,Basic_Setup!H64,0)</f>
        <v>Nutrition-specific</v>
      </c>
      <c r="H745" s="354">
        <f t="shared" ref="H745:AD745" si="423">H668/EXCHANGE_RATE</f>
        <v>0</v>
      </c>
      <c r="I745" s="355">
        <f t="shared" si="423"/>
        <v>0</v>
      </c>
      <c r="J745" s="356">
        <f t="shared" si="423"/>
        <v>0</v>
      </c>
      <c r="K745" s="369">
        <f t="shared" si="423"/>
        <v>0</v>
      </c>
      <c r="L745" s="369">
        <f t="shared" si="423"/>
        <v>0</v>
      </c>
      <c r="M745" s="369">
        <f t="shared" si="423"/>
        <v>0</v>
      </c>
      <c r="N745" s="369">
        <f t="shared" si="423"/>
        <v>0</v>
      </c>
      <c r="O745" s="369">
        <f t="shared" si="423"/>
        <v>0</v>
      </c>
      <c r="P745" s="369">
        <f t="shared" si="423"/>
        <v>0</v>
      </c>
      <c r="Q745" s="369">
        <f t="shared" si="423"/>
        <v>0</v>
      </c>
      <c r="R745" s="369">
        <f t="shared" si="423"/>
        <v>0</v>
      </c>
      <c r="S745" s="369">
        <f t="shared" si="423"/>
        <v>0</v>
      </c>
      <c r="T745" s="369">
        <f t="shared" si="423"/>
        <v>0</v>
      </c>
      <c r="U745" s="96">
        <f t="shared" si="423"/>
        <v>0</v>
      </c>
      <c r="V745" s="96">
        <f t="shared" si="423"/>
        <v>0</v>
      </c>
      <c r="W745" s="96">
        <f t="shared" si="423"/>
        <v>0</v>
      </c>
      <c r="X745" s="96">
        <f t="shared" si="423"/>
        <v>0</v>
      </c>
      <c r="Y745" s="96">
        <f t="shared" si="423"/>
        <v>0</v>
      </c>
      <c r="Z745" s="96">
        <f t="shared" si="423"/>
        <v>0</v>
      </c>
      <c r="AA745" s="96">
        <f t="shared" si="423"/>
        <v>0</v>
      </c>
      <c r="AB745" s="96">
        <f t="shared" si="423"/>
        <v>0</v>
      </c>
      <c r="AC745" s="96">
        <f t="shared" si="423"/>
        <v>0</v>
      </c>
      <c r="AD745" s="96">
        <f t="shared" si="423"/>
        <v>0</v>
      </c>
    </row>
    <row r="746" spans="5:30" ht="12" x14ac:dyDescent="0.2">
      <c r="E746" s="301"/>
      <c r="F746" s="94" t="str">
        <f>STRAT6_IND2</f>
        <v>Objetivo estratégico 6 Indicador 2</v>
      </c>
      <c r="G746" s="94" t="str">
        <f ca="1">OFFSET(Variables_Lu!$D$10,Basic_Setup!H65,0)</f>
        <v>Nutrition-specific</v>
      </c>
      <c r="H746" s="354">
        <f t="shared" ref="H746:AD746" si="424">H669/EXCHANGE_RATE</f>
        <v>0</v>
      </c>
      <c r="I746" s="355">
        <f t="shared" si="424"/>
        <v>0</v>
      </c>
      <c r="J746" s="356">
        <f t="shared" si="424"/>
        <v>0</v>
      </c>
      <c r="K746" s="369">
        <f t="shared" si="424"/>
        <v>0</v>
      </c>
      <c r="L746" s="369">
        <f t="shared" si="424"/>
        <v>0</v>
      </c>
      <c r="M746" s="369">
        <f t="shared" si="424"/>
        <v>0</v>
      </c>
      <c r="N746" s="369">
        <f t="shared" si="424"/>
        <v>0</v>
      </c>
      <c r="O746" s="369">
        <f t="shared" si="424"/>
        <v>0</v>
      </c>
      <c r="P746" s="369">
        <f t="shared" si="424"/>
        <v>0</v>
      </c>
      <c r="Q746" s="369">
        <f t="shared" si="424"/>
        <v>0</v>
      </c>
      <c r="R746" s="369">
        <f t="shared" si="424"/>
        <v>0</v>
      </c>
      <c r="S746" s="369">
        <f t="shared" si="424"/>
        <v>0</v>
      </c>
      <c r="T746" s="369">
        <f t="shared" si="424"/>
        <v>0</v>
      </c>
      <c r="U746" s="96">
        <f t="shared" si="424"/>
        <v>0</v>
      </c>
      <c r="V746" s="96">
        <f t="shared" si="424"/>
        <v>0</v>
      </c>
      <c r="W746" s="96">
        <f t="shared" si="424"/>
        <v>0</v>
      </c>
      <c r="X746" s="96">
        <f t="shared" si="424"/>
        <v>0</v>
      </c>
      <c r="Y746" s="96">
        <f t="shared" si="424"/>
        <v>0</v>
      </c>
      <c r="Z746" s="96">
        <f t="shared" si="424"/>
        <v>0</v>
      </c>
      <c r="AA746" s="96">
        <f t="shared" si="424"/>
        <v>0</v>
      </c>
      <c r="AB746" s="96">
        <f t="shared" si="424"/>
        <v>0</v>
      </c>
      <c r="AC746" s="96">
        <f t="shared" si="424"/>
        <v>0</v>
      </c>
      <c r="AD746" s="96">
        <f t="shared" si="424"/>
        <v>0</v>
      </c>
    </row>
    <row r="747" spans="5:30" ht="12" x14ac:dyDescent="0.2">
      <c r="E747" s="301"/>
      <c r="F747" s="94" t="str">
        <f>STRAT6_IND3</f>
        <v>Objetivo estratégico 6 Indicador 3</v>
      </c>
      <c r="G747" s="94" t="str">
        <f ca="1">OFFSET(Variables_Lu!$D$10,Basic_Setup!H66,0)</f>
        <v>Nutrition-specific</v>
      </c>
      <c r="H747" s="354">
        <f t="shared" ref="H747:AD747" si="425">H670/EXCHANGE_RATE</f>
        <v>0</v>
      </c>
      <c r="I747" s="355">
        <f t="shared" si="425"/>
        <v>0</v>
      </c>
      <c r="J747" s="356">
        <f t="shared" si="425"/>
        <v>0</v>
      </c>
      <c r="K747" s="369">
        <f t="shared" si="425"/>
        <v>0</v>
      </c>
      <c r="L747" s="369">
        <f t="shared" si="425"/>
        <v>0</v>
      </c>
      <c r="M747" s="369">
        <f t="shared" si="425"/>
        <v>0</v>
      </c>
      <c r="N747" s="369">
        <f t="shared" si="425"/>
        <v>0</v>
      </c>
      <c r="O747" s="369">
        <f t="shared" si="425"/>
        <v>0</v>
      </c>
      <c r="P747" s="369">
        <f t="shared" si="425"/>
        <v>0</v>
      </c>
      <c r="Q747" s="369">
        <f t="shared" si="425"/>
        <v>0</v>
      </c>
      <c r="R747" s="369">
        <f t="shared" si="425"/>
        <v>0</v>
      </c>
      <c r="S747" s="369">
        <f t="shared" si="425"/>
        <v>0</v>
      </c>
      <c r="T747" s="369">
        <f t="shared" si="425"/>
        <v>0</v>
      </c>
      <c r="U747" s="96">
        <f t="shared" si="425"/>
        <v>0</v>
      </c>
      <c r="V747" s="96">
        <f t="shared" si="425"/>
        <v>0</v>
      </c>
      <c r="W747" s="96">
        <f t="shared" si="425"/>
        <v>0</v>
      </c>
      <c r="X747" s="96">
        <f t="shared" si="425"/>
        <v>0</v>
      </c>
      <c r="Y747" s="96">
        <f t="shared" si="425"/>
        <v>0</v>
      </c>
      <c r="Z747" s="96">
        <f t="shared" si="425"/>
        <v>0</v>
      </c>
      <c r="AA747" s="96">
        <f t="shared" si="425"/>
        <v>0</v>
      </c>
      <c r="AB747" s="96">
        <f t="shared" si="425"/>
        <v>0</v>
      </c>
      <c r="AC747" s="96">
        <f t="shared" si="425"/>
        <v>0</v>
      </c>
      <c r="AD747" s="96">
        <f t="shared" si="425"/>
        <v>0</v>
      </c>
    </row>
    <row r="748" spans="5:30" ht="12" x14ac:dyDescent="0.2">
      <c r="E748" s="301"/>
      <c r="F748" s="94" t="str">
        <f>STRAT6_IND4</f>
        <v>Objetivo estratégico 6 Indicador 4</v>
      </c>
      <c r="G748" s="94" t="str">
        <f ca="1">OFFSET(Variables_Lu!$D$10,Basic_Setup!H67,0)</f>
        <v>Nutrition-specific</v>
      </c>
      <c r="H748" s="354">
        <f t="shared" ref="H748:AD748" si="426">H671/EXCHANGE_RATE</f>
        <v>0</v>
      </c>
      <c r="I748" s="355">
        <f t="shared" si="426"/>
        <v>0</v>
      </c>
      <c r="J748" s="356">
        <f t="shared" si="426"/>
        <v>0</v>
      </c>
      <c r="K748" s="369">
        <f t="shared" si="426"/>
        <v>0</v>
      </c>
      <c r="L748" s="369">
        <f t="shared" si="426"/>
        <v>0</v>
      </c>
      <c r="M748" s="369">
        <f t="shared" si="426"/>
        <v>0</v>
      </c>
      <c r="N748" s="369">
        <f t="shared" si="426"/>
        <v>0</v>
      </c>
      <c r="O748" s="369">
        <f t="shared" si="426"/>
        <v>0</v>
      </c>
      <c r="P748" s="369">
        <f t="shared" si="426"/>
        <v>0</v>
      </c>
      <c r="Q748" s="369">
        <f t="shared" si="426"/>
        <v>0</v>
      </c>
      <c r="R748" s="369">
        <f t="shared" si="426"/>
        <v>0</v>
      </c>
      <c r="S748" s="369">
        <f t="shared" si="426"/>
        <v>0</v>
      </c>
      <c r="T748" s="369">
        <f t="shared" si="426"/>
        <v>0</v>
      </c>
      <c r="U748" s="96">
        <f t="shared" si="426"/>
        <v>0</v>
      </c>
      <c r="V748" s="96">
        <f t="shared" si="426"/>
        <v>0</v>
      </c>
      <c r="W748" s="96">
        <f t="shared" si="426"/>
        <v>0</v>
      </c>
      <c r="X748" s="96">
        <f t="shared" si="426"/>
        <v>0</v>
      </c>
      <c r="Y748" s="96">
        <f t="shared" si="426"/>
        <v>0</v>
      </c>
      <c r="Z748" s="96">
        <f t="shared" si="426"/>
        <v>0</v>
      </c>
      <c r="AA748" s="96">
        <f t="shared" si="426"/>
        <v>0</v>
      </c>
      <c r="AB748" s="96">
        <f t="shared" si="426"/>
        <v>0</v>
      </c>
      <c r="AC748" s="96">
        <f t="shared" si="426"/>
        <v>0</v>
      </c>
      <c r="AD748" s="96">
        <f t="shared" si="426"/>
        <v>0</v>
      </c>
    </row>
    <row r="749" spans="5:30" ht="12" x14ac:dyDescent="0.2">
      <c r="E749" s="301"/>
      <c r="F749" s="94" t="str">
        <f>STRAT6_IND5</f>
        <v>Objetivo estratégico 6 Indicador 5</v>
      </c>
      <c r="G749" s="94" t="str">
        <f ca="1">OFFSET(Variables_Lu!$D$10,Basic_Setup!H68,0)</f>
        <v>Nutrition-specific</v>
      </c>
      <c r="H749" s="354">
        <f t="shared" ref="H749:AD749" si="427">H672/EXCHANGE_RATE</f>
        <v>0</v>
      </c>
      <c r="I749" s="355">
        <f t="shared" si="427"/>
        <v>0</v>
      </c>
      <c r="J749" s="356">
        <f t="shared" si="427"/>
        <v>0</v>
      </c>
      <c r="K749" s="369">
        <f t="shared" si="427"/>
        <v>0</v>
      </c>
      <c r="L749" s="369">
        <f t="shared" si="427"/>
        <v>0</v>
      </c>
      <c r="M749" s="369">
        <f t="shared" si="427"/>
        <v>0</v>
      </c>
      <c r="N749" s="369">
        <f t="shared" si="427"/>
        <v>0</v>
      </c>
      <c r="O749" s="369">
        <f t="shared" si="427"/>
        <v>0</v>
      </c>
      <c r="P749" s="369">
        <f t="shared" si="427"/>
        <v>0</v>
      </c>
      <c r="Q749" s="369">
        <f t="shared" si="427"/>
        <v>0</v>
      </c>
      <c r="R749" s="369">
        <f t="shared" si="427"/>
        <v>0</v>
      </c>
      <c r="S749" s="369">
        <f t="shared" si="427"/>
        <v>0</v>
      </c>
      <c r="T749" s="369">
        <f t="shared" si="427"/>
        <v>0</v>
      </c>
      <c r="U749" s="96">
        <f t="shared" si="427"/>
        <v>0</v>
      </c>
      <c r="V749" s="96">
        <f t="shared" si="427"/>
        <v>0</v>
      </c>
      <c r="W749" s="96">
        <f t="shared" si="427"/>
        <v>0</v>
      </c>
      <c r="X749" s="96">
        <f t="shared" si="427"/>
        <v>0</v>
      </c>
      <c r="Y749" s="96">
        <f t="shared" si="427"/>
        <v>0</v>
      </c>
      <c r="Z749" s="96">
        <f t="shared" si="427"/>
        <v>0</v>
      </c>
      <c r="AA749" s="96">
        <f t="shared" si="427"/>
        <v>0</v>
      </c>
      <c r="AB749" s="96">
        <f t="shared" si="427"/>
        <v>0</v>
      </c>
      <c r="AC749" s="96">
        <f t="shared" si="427"/>
        <v>0</v>
      </c>
      <c r="AD749" s="96">
        <f t="shared" si="427"/>
        <v>0</v>
      </c>
    </row>
    <row r="750" spans="5:30" ht="12" x14ac:dyDescent="0.2">
      <c r="E750" s="301"/>
      <c r="F750" s="338" t="str">
        <f>"Subtotal: "&amp;E279</f>
        <v>Subtotal: Objetivo estratégico 6: [No está en uso]</v>
      </c>
      <c r="G750" s="333"/>
      <c r="H750" s="357">
        <f t="shared" ref="H750:AD750" si="428">H673/EXCHANGE_RATE</f>
        <v>0</v>
      </c>
      <c r="I750" s="358">
        <f t="shared" si="428"/>
        <v>0</v>
      </c>
      <c r="J750" s="358">
        <f t="shared" si="428"/>
        <v>0</v>
      </c>
      <c r="K750" s="370">
        <f t="shared" si="428"/>
        <v>0</v>
      </c>
      <c r="L750" s="370">
        <f t="shared" si="428"/>
        <v>0</v>
      </c>
      <c r="M750" s="370">
        <f t="shared" si="428"/>
        <v>0</v>
      </c>
      <c r="N750" s="370">
        <f t="shared" si="428"/>
        <v>0</v>
      </c>
      <c r="O750" s="370">
        <f t="shared" si="428"/>
        <v>0</v>
      </c>
      <c r="P750" s="370">
        <f t="shared" si="428"/>
        <v>0</v>
      </c>
      <c r="Q750" s="370">
        <f t="shared" si="428"/>
        <v>0</v>
      </c>
      <c r="R750" s="370">
        <f t="shared" si="428"/>
        <v>0</v>
      </c>
      <c r="S750" s="370">
        <f t="shared" si="428"/>
        <v>0</v>
      </c>
      <c r="T750" s="370">
        <f t="shared" si="428"/>
        <v>0</v>
      </c>
      <c r="U750" s="337">
        <f t="shared" si="428"/>
        <v>0</v>
      </c>
      <c r="V750" s="337">
        <f t="shared" si="428"/>
        <v>0</v>
      </c>
      <c r="W750" s="337">
        <f t="shared" si="428"/>
        <v>0</v>
      </c>
      <c r="X750" s="337">
        <f t="shared" si="428"/>
        <v>0</v>
      </c>
      <c r="Y750" s="337">
        <f t="shared" si="428"/>
        <v>0</v>
      </c>
      <c r="Z750" s="337">
        <f t="shared" si="428"/>
        <v>0</v>
      </c>
      <c r="AA750" s="337">
        <f t="shared" si="428"/>
        <v>0</v>
      </c>
      <c r="AB750" s="337">
        <f t="shared" si="428"/>
        <v>0</v>
      </c>
      <c r="AC750" s="337">
        <f t="shared" si="428"/>
        <v>0</v>
      </c>
      <c r="AD750" s="337">
        <f t="shared" si="428"/>
        <v>0</v>
      </c>
    </row>
    <row r="751" spans="5:30" ht="12" x14ac:dyDescent="0.2">
      <c r="E751" s="301" t="str">
        <f>Strategy7</f>
        <v>Objetivo estratégico 7: [No está en uso]</v>
      </c>
      <c r="G751" s="94"/>
      <c r="H751" s="363"/>
      <c r="I751" s="364"/>
      <c r="J751" s="356"/>
      <c r="K751" s="369"/>
      <c r="L751" s="369"/>
      <c r="M751" s="369"/>
      <c r="N751" s="369"/>
      <c r="O751" s="369"/>
      <c r="P751" s="369"/>
      <c r="Q751" s="369"/>
      <c r="R751" s="369"/>
      <c r="S751" s="369"/>
      <c r="T751" s="369"/>
      <c r="U751" s="96"/>
      <c r="V751" s="96"/>
      <c r="W751" s="96"/>
      <c r="X751" s="96"/>
      <c r="Y751" s="96"/>
      <c r="Z751" s="96"/>
      <c r="AA751" s="96"/>
      <c r="AB751" s="96"/>
      <c r="AC751" s="96"/>
      <c r="AD751" s="96"/>
    </row>
    <row r="752" spans="5:30" ht="12" x14ac:dyDescent="0.2">
      <c r="E752" s="301"/>
      <c r="F752" s="94" t="str">
        <f>STRAT7_IND1</f>
        <v>Objetivo estratégico 7 Indicador 1</v>
      </c>
      <c r="G752" s="94" t="str">
        <f ca="1">OFFSET(Variables_Lu!$D$10,Basic_Setup!H70,0)</f>
        <v>Nutrition-specific</v>
      </c>
      <c r="H752" s="354">
        <f t="shared" ref="H752:AD752" si="429">H675/EXCHANGE_RATE</f>
        <v>0</v>
      </c>
      <c r="I752" s="355">
        <f t="shared" si="429"/>
        <v>0</v>
      </c>
      <c r="J752" s="356">
        <f t="shared" si="429"/>
        <v>0</v>
      </c>
      <c r="K752" s="369">
        <f t="shared" si="429"/>
        <v>0</v>
      </c>
      <c r="L752" s="369">
        <f t="shared" si="429"/>
        <v>0</v>
      </c>
      <c r="M752" s="369">
        <f t="shared" si="429"/>
        <v>0</v>
      </c>
      <c r="N752" s="369">
        <f t="shared" si="429"/>
        <v>0</v>
      </c>
      <c r="O752" s="369">
        <f t="shared" si="429"/>
        <v>0</v>
      </c>
      <c r="P752" s="369">
        <f t="shared" si="429"/>
        <v>0</v>
      </c>
      <c r="Q752" s="369">
        <f t="shared" si="429"/>
        <v>0</v>
      </c>
      <c r="R752" s="369">
        <f t="shared" si="429"/>
        <v>0</v>
      </c>
      <c r="S752" s="369">
        <f t="shared" si="429"/>
        <v>0</v>
      </c>
      <c r="T752" s="369">
        <f t="shared" si="429"/>
        <v>0</v>
      </c>
      <c r="U752" s="96">
        <f t="shared" si="429"/>
        <v>0</v>
      </c>
      <c r="V752" s="96">
        <f t="shared" si="429"/>
        <v>0</v>
      </c>
      <c r="W752" s="96">
        <f t="shared" si="429"/>
        <v>0</v>
      </c>
      <c r="X752" s="96">
        <f t="shared" si="429"/>
        <v>0</v>
      </c>
      <c r="Y752" s="96">
        <f t="shared" si="429"/>
        <v>0</v>
      </c>
      <c r="Z752" s="96">
        <f t="shared" si="429"/>
        <v>0</v>
      </c>
      <c r="AA752" s="96">
        <f t="shared" si="429"/>
        <v>0</v>
      </c>
      <c r="AB752" s="96">
        <f t="shared" si="429"/>
        <v>0</v>
      </c>
      <c r="AC752" s="96">
        <f t="shared" si="429"/>
        <v>0</v>
      </c>
      <c r="AD752" s="96">
        <f t="shared" si="429"/>
        <v>0</v>
      </c>
    </row>
    <row r="753" spans="5:30" ht="12" x14ac:dyDescent="0.2">
      <c r="E753" s="301"/>
      <c r="F753" s="94" t="str">
        <f>STRAT7_IND2</f>
        <v>Objetivo estratégico 7 Indicador 2</v>
      </c>
      <c r="G753" s="94" t="str">
        <f ca="1">OFFSET(Variables_Lu!$D$10,Basic_Setup!H71,0)</f>
        <v>Nutrition-specific</v>
      </c>
      <c r="H753" s="354">
        <f t="shared" ref="H753:AD753" si="430">H676/EXCHANGE_RATE</f>
        <v>0</v>
      </c>
      <c r="I753" s="355">
        <f t="shared" si="430"/>
        <v>0</v>
      </c>
      <c r="J753" s="356">
        <f t="shared" si="430"/>
        <v>0</v>
      </c>
      <c r="K753" s="369">
        <f t="shared" si="430"/>
        <v>0</v>
      </c>
      <c r="L753" s="369">
        <f t="shared" si="430"/>
        <v>0</v>
      </c>
      <c r="M753" s="369">
        <f t="shared" si="430"/>
        <v>0</v>
      </c>
      <c r="N753" s="369">
        <f t="shared" si="430"/>
        <v>0</v>
      </c>
      <c r="O753" s="369">
        <f t="shared" si="430"/>
        <v>0</v>
      </c>
      <c r="P753" s="369">
        <f t="shared" si="430"/>
        <v>0</v>
      </c>
      <c r="Q753" s="369">
        <f t="shared" si="430"/>
        <v>0</v>
      </c>
      <c r="R753" s="369">
        <f t="shared" si="430"/>
        <v>0</v>
      </c>
      <c r="S753" s="369">
        <f t="shared" si="430"/>
        <v>0</v>
      </c>
      <c r="T753" s="369">
        <f t="shared" si="430"/>
        <v>0</v>
      </c>
      <c r="U753" s="96">
        <f t="shared" si="430"/>
        <v>0</v>
      </c>
      <c r="V753" s="96">
        <f t="shared" si="430"/>
        <v>0</v>
      </c>
      <c r="W753" s="96">
        <f t="shared" si="430"/>
        <v>0</v>
      </c>
      <c r="X753" s="96">
        <f t="shared" si="430"/>
        <v>0</v>
      </c>
      <c r="Y753" s="96">
        <f t="shared" si="430"/>
        <v>0</v>
      </c>
      <c r="Z753" s="96">
        <f t="shared" si="430"/>
        <v>0</v>
      </c>
      <c r="AA753" s="96">
        <f t="shared" si="430"/>
        <v>0</v>
      </c>
      <c r="AB753" s="96">
        <f t="shared" si="430"/>
        <v>0</v>
      </c>
      <c r="AC753" s="96">
        <f t="shared" si="430"/>
        <v>0</v>
      </c>
      <c r="AD753" s="96">
        <f t="shared" si="430"/>
        <v>0</v>
      </c>
    </row>
    <row r="754" spans="5:30" ht="12" x14ac:dyDescent="0.2">
      <c r="E754" s="301"/>
      <c r="F754" s="94" t="str">
        <f>STRAT7_IND3</f>
        <v>Objetivo estratégico 7 Indicador 3</v>
      </c>
      <c r="G754" s="94" t="str">
        <f ca="1">OFFSET(Variables_Lu!$D$10,Basic_Setup!H72,0)</f>
        <v>Nutrition-specific</v>
      </c>
      <c r="H754" s="354">
        <f t="shared" ref="H754:AD754" si="431">H677/EXCHANGE_RATE</f>
        <v>0</v>
      </c>
      <c r="I754" s="355">
        <f t="shared" si="431"/>
        <v>0</v>
      </c>
      <c r="J754" s="356">
        <f t="shared" si="431"/>
        <v>0</v>
      </c>
      <c r="K754" s="369">
        <f t="shared" si="431"/>
        <v>0</v>
      </c>
      <c r="L754" s="369">
        <f t="shared" si="431"/>
        <v>0</v>
      </c>
      <c r="M754" s="369">
        <f t="shared" si="431"/>
        <v>0</v>
      </c>
      <c r="N754" s="369">
        <f t="shared" si="431"/>
        <v>0</v>
      </c>
      <c r="O754" s="369">
        <f t="shared" si="431"/>
        <v>0</v>
      </c>
      <c r="P754" s="369">
        <f t="shared" si="431"/>
        <v>0</v>
      </c>
      <c r="Q754" s="369">
        <f t="shared" si="431"/>
        <v>0</v>
      </c>
      <c r="R754" s="369">
        <f t="shared" si="431"/>
        <v>0</v>
      </c>
      <c r="S754" s="369">
        <f t="shared" si="431"/>
        <v>0</v>
      </c>
      <c r="T754" s="369">
        <f t="shared" si="431"/>
        <v>0</v>
      </c>
      <c r="U754" s="96">
        <f t="shared" si="431"/>
        <v>0</v>
      </c>
      <c r="V754" s="96">
        <f t="shared" si="431"/>
        <v>0</v>
      </c>
      <c r="W754" s="96">
        <f t="shared" si="431"/>
        <v>0</v>
      </c>
      <c r="X754" s="96">
        <f t="shared" si="431"/>
        <v>0</v>
      </c>
      <c r="Y754" s="96">
        <f t="shared" si="431"/>
        <v>0</v>
      </c>
      <c r="Z754" s="96">
        <f t="shared" si="431"/>
        <v>0</v>
      </c>
      <c r="AA754" s="96">
        <f t="shared" si="431"/>
        <v>0</v>
      </c>
      <c r="AB754" s="96">
        <f t="shared" si="431"/>
        <v>0</v>
      </c>
      <c r="AC754" s="96">
        <f t="shared" si="431"/>
        <v>0</v>
      </c>
      <c r="AD754" s="96">
        <f t="shared" si="431"/>
        <v>0</v>
      </c>
    </row>
    <row r="755" spans="5:30" ht="12" x14ac:dyDescent="0.2">
      <c r="E755" s="301"/>
      <c r="F755" s="94" t="str">
        <f>STRAT7_IND4</f>
        <v>Objetivo estratégico 7 Indicador 4</v>
      </c>
      <c r="G755" s="94" t="str">
        <f ca="1">OFFSET(Variables_Lu!$D$10,Basic_Setup!H73,0)</f>
        <v>Nutrition-specific</v>
      </c>
      <c r="H755" s="354">
        <f t="shared" ref="H755:AD755" si="432">H678/EXCHANGE_RATE</f>
        <v>0</v>
      </c>
      <c r="I755" s="355">
        <f t="shared" si="432"/>
        <v>0</v>
      </c>
      <c r="J755" s="356">
        <f t="shared" si="432"/>
        <v>0</v>
      </c>
      <c r="K755" s="369">
        <f t="shared" si="432"/>
        <v>0</v>
      </c>
      <c r="L755" s="369">
        <f t="shared" si="432"/>
        <v>0</v>
      </c>
      <c r="M755" s="369">
        <f t="shared" si="432"/>
        <v>0</v>
      </c>
      <c r="N755" s="369">
        <f t="shared" si="432"/>
        <v>0</v>
      </c>
      <c r="O755" s="369">
        <f t="shared" si="432"/>
        <v>0</v>
      </c>
      <c r="P755" s="369">
        <f t="shared" si="432"/>
        <v>0</v>
      </c>
      <c r="Q755" s="369">
        <f t="shared" si="432"/>
        <v>0</v>
      </c>
      <c r="R755" s="369">
        <f t="shared" si="432"/>
        <v>0</v>
      </c>
      <c r="S755" s="369">
        <f t="shared" si="432"/>
        <v>0</v>
      </c>
      <c r="T755" s="369">
        <f t="shared" si="432"/>
        <v>0</v>
      </c>
      <c r="U755" s="96">
        <f t="shared" si="432"/>
        <v>0</v>
      </c>
      <c r="V755" s="96">
        <f t="shared" si="432"/>
        <v>0</v>
      </c>
      <c r="W755" s="96">
        <f t="shared" si="432"/>
        <v>0</v>
      </c>
      <c r="X755" s="96">
        <f t="shared" si="432"/>
        <v>0</v>
      </c>
      <c r="Y755" s="96">
        <f t="shared" si="432"/>
        <v>0</v>
      </c>
      <c r="Z755" s="96">
        <f t="shared" si="432"/>
        <v>0</v>
      </c>
      <c r="AA755" s="96">
        <f t="shared" si="432"/>
        <v>0</v>
      </c>
      <c r="AB755" s="96">
        <f t="shared" si="432"/>
        <v>0</v>
      </c>
      <c r="AC755" s="96">
        <f t="shared" si="432"/>
        <v>0</v>
      </c>
      <c r="AD755" s="96">
        <f t="shared" si="432"/>
        <v>0</v>
      </c>
    </row>
    <row r="756" spans="5:30" ht="12" x14ac:dyDescent="0.2">
      <c r="E756" s="301"/>
      <c r="F756" s="94" t="str">
        <f>STRAT7_IND5</f>
        <v>Objetivo estratégico 7 Indicador 5</v>
      </c>
      <c r="G756" s="94" t="str">
        <f ca="1">OFFSET(Variables_Lu!$D$10,Basic_Setup!H74,0)</f>
        <v>Nutrition-specific</v>
      </c>
      <c r="H756" s="354">
        <f t="shared" ref="H756:AD756" si="433">H679/EXCHANGE_RATE</f>
        <v>0</v>
      </c>
      <c r="I756" s="355">
        <f t="shared" si="433"/>
        <v>0</v>
      </c>
      <c r="J756" s="356">
        <f t="shared" si="433"/>
        <v>0</v>
      </c>
      <c r="K756" s="369">
        <f t="shared" si="433"/>
        <v>0</v>
      </c>
      <c r="L756" s="369">
        <f t="shared" si="433"/>
        <v>0</v>
      </c>
      <c r="M756" s="369">
        <f t="shared" si="433"/>
        <v>0</v>
      </c>
      <c r="N756" s="369">
        <f t="shared" si="433"/>
        <v>0</v>
      </c>
      <c r="O756" s="369">
        <f t="shared" si="433"/>
        <v>0</v>
      </c>
      <c r="P756" s="369">
        <f t="shared" si="433"/>
        <v>0</v>
      </c>
      <c r="Q756" s="369">
        <f t="shared" si="433"/>
        <v>0</v>
      </c>
      <c r="R756" s="369">
        <f t="shared" si="433"/>
        <v>0</v>
      </c>
      <c r="S756" s="369">
        <f t="shared" si="433"/>
        <v>0</v>
      </c>
      <c r="T756" s="369">
        <f t="shared" si="433"/>
        <v>0</v>
      </c>
      <c r="U756" s="96">
        <f t="shared" si="433"/>
        <v>0</v>
      </c>
      <c r="V756" s="96">
        <f t="shared" si="433"/>
        <v>0</v>
      </c>
      <c r="W756" s="96">
        <f t="shared" si="433"/>
        <v>0</v>
      </c>
      <c r="X756" s="96">
        <f t="shared" si="433"/>
        <v>0</v>
      </c>
      <c r="Y756" s="96">
        <f t="shared" si="433"/>
        <v>0</v>
      </c>
      <c r="Z756" s="96">
        <f t="shared" si="433"/>
        <v>0</v>
      </c>
      <c r="AA756" s="96">
        <f t="shared" si="433"/>
        <v>0</v>
      </c>
      <c r="AB756" s="96">
        <f t="shared" si="433"/>
        <v>0</v>
      </c>
      <c r="AC756" s="96">
        <f t="shared" si="433"/>
        <v>0</v>
      </c>
      <c r="AD756" s="96">
        <f t="shared" si="433"/>
        <v>0</v>
      </c>
    </row>
    <row r="757" spans="5:30" ht="12" x14ac:dyDescent="0.2">
      <c r="E757" s="301"/>
      <c r="F757" s="338" t="str">
        <f>"Subtotal: "&amp;E286</f>
        <v>Subtotal: Objetivo estratégico 7: [No está en uso]</v>
      </c>
      <c r="G757" s="333"/>
      <c r="H757" s="357">
        <f t="shared" ref="H757:AD757" si="434">H680/EXCHANGE_RATE</f>
        <v>0</v>
      </c>
      <c r="I757" s="358">
        <f t="shared" si="434"/>
        <v>0</v>
      </c>
      <c r="J757" s="358">
        <f t="shared" si="434"/>
        <v>0</v>
      </c>
      <c r="K757" s="370">
        <f t="shared" si="434"/>
        <v>0</v>
      </c>
      <c r="L757" s="370">
        <f t="shared" si="434"/>
        <v>0</v>
      </c>
      <c r="M757" s="370">
        <f t="shared" si="434"/>
        <v>0</v>
      </c>
      <c r="N757" s="370">
        <f t="shared" si="434"/>
        <v>0</v>
      </c>
      <c r="O757" s="370">
        <f t="shared" si="434"/>
        <v>0</v>
      </c>
      <c r="P757" s="370">
        <f t="shared" si="434"/>
        <v>0</v>
      </c>
      <c r="Q757" s="370">
        <f t="shared" si="434"/>
        <v>0</v>
      </c>
      <c r="R757" s="370">
        <f t="shared" si="434"/>
        <v>0</v>
      </c>
      <c r="S757" s="370">
        <f t="shared" si="434"/>
        <v>0</v>
      </c>
      <c r="T757" s="370">
        <f t="shared" si="434"/>
        <v>0</v>
      </c>
      <c r="U757" s="337">
        <f t="shared" si="434"/>
        <v>0</v>
      </c>
      <c r="V757" s="337">
        <f t="shared" si="434"/>
        <v>0</v>
      </c>
      <c r="W757" s="337">
        <f t="shared" si="434"/>
        <v>0</v>
      </c>
      <c r="X757" s="337">
        <f t="shared" si="434"/>
        <v>0</v>
      </c>
      <c r="Y757" s="337">
        <f t="shared" si="434"/>
        <v>0</v>
      </c>
      <c r="Z757" s="337">
        <f t="shared" si="434"/>
        <v>0</v>
      </c>
      <c r="AA757" s="337">
        <f t="shared" si="434"/>
        <v>0</v>
      </c>
      <c r="AB757" s="337">
        <f t="shared" si="434"/>
        <v>0</v>
      </c>
      <c r="AC757" s="337">
        <f t="shared" si="434"/>
        <v>0</v>
      </c>
      <c r="AD757" s="337">
        <f t="shared" si="434"/>
        <v>0</v>
      </c>
    </row>
    <row r="758" spans="5:30" ht="12" x14ac:dyDescent="0.2">
      <c r="E758" s="301" t="str">
        <f>Strategy8</f>
        <v>Objetivo estratégico 8: [No está en uso]</v>
      </c>
      <c r="G758" s="94"/>
      <c r="H758" s="363"/>
      <c r="I758" s="364"/>
      <c r="J758" s="356"/>
      <c r="K758" s="369"/>
      <c r="L758" s="369"/>
      <c r="M758" s="369"/>
      <c r="N758" s="369"/>
      <c r="O758" s="369"/>
      <c r="P758" s="369"/>
      <c r="Q758" s="369"/>
      <c r="R758" s="369"/>
      <c r="S758" s="369"/>
      <c r="T758" s="369"/>
      <c r="U758" s="96"/>
      <c r="V758" s="96"/>
      <c r="W758" s="96"/>
      <c r="X758" s="96"/>
      <c r="Y758" s="96"/>
      <c r="Z758" s="96"/>
      <c r="AA758" s="96"/>
      <c r="AB758" s="96"/>
      <c r="AC758" s="96"/>
      <c r="AD758" s="96"/>
    </row>
    <row r="759" spans="5:30" ht="12" x14ac:dyDescent="0.2">
      <c r="E759" s="301"/>
      <c r="F759" s="94" t="str">
        <f>STRAT8_IND1</f>
        <v>Objetivo estratégico 8 Indicador 1</v>
      </c>
      <c r="G759" s="94" t="str">
        <f ca="1">OFFSET(Variables_Lu!$D$10,Basic_Setup!H76,0)</f>
        <v>Nutrition-specific</v>
      </c>
      <c r="H759" s="354">
        <f t="shared" ref="H759:AD759" si="435">H682/EXCHANGE_RATE</f>
        <v>0</v>
      </c>
      <c r="I759" s="355">
        <f t="shared" si="435"/>
        <v>0</v>
      </c>
      <c r="J759" s="356">
        <f t="shared" si="435"/>
        <v>0</v>
      </c>
      <c r="K759" s="369">
        <f t="shared" si="435"/>
        <v>0</v>
      </c>
      <c r="L759" s="369">
        <f t="shared" si="435"/>
        <v>0</v>
      </c>
      <c r="M759" s="369">
        <f t="shared" si="435"/>
        <v>0</v>
      </c>
      <c r="N759" s="369">
        <f t="shared" si="435"/>
        <v>0</v>
      </c>
      <c r="O759" s="369">
        <f t="shared" si="435"/>
        <v>0</v>
      </c>
      <c r="P759" s="369">
        <f t="shared" si="435"/>
        <v>0</v>
      </c>
      <c r="Q759" s="369">
        <f t="shared" si="435"/>
        <v>0</v>
      </c>
      <c r="R759" s="369">
        <f t="shared" si="435"/>
        <v>0</v>
      </c>
      <c r="S759" s="369">
        <f t="shared" si="435"/>
        <v>0</v>
      </c>
      <c r="T759" s="369">
        <f t="shared" si="435"/>
        <v>0</v>
      </c>
      <c r="U759" s="96">
        <f t="shared" si="435"/>
        <v>0</v>
      </c>
      <c r="V759" s="96">
        <f t="shared" si="435"/>
        <v>0</v>
      </c>
      <c r="W759" s="96">
        <f t="shared" si="435"/>
        <v>0</v>
      </c>
      <c r="X759" s="96">
        <f t="shared" si="435"/>
        <v>0</v>
      </c>
      <c r="Y759" s="96">
        <f t="shared" si="435"/>
        <v>0</v>
      </c>
      <c r="Z759" s="96">
        <f t="shared" si="435"/>
        <v>0</v>
      </c>
      <c r="AA759" s="96">
        <f t="shared" si="435"/>
        <v>0</v>
      </c>
      <c r="AB759" s="96">
        <f t="shared" si="435"/>
        <v>0</v>
      </c>
      <c r="AC759" s="96">
        <f t="shared" si="435"/>
        <v>0</v>
      </c>
      <c r="AD759" s="96">
        <f t="shared" si="435"/>
        <v>0</v>
      </c>
    </row>
    <row r="760" spans="5:30" ht="12" x14ac:dyDescent="0.2">
      <c r="E760" s="301"/>
      <c r="F760" s="94" t="str">
        <f>STRAT8_IND2</f>
        <v>Objetivo estratégico 8 Indicador 2</v>
      </c>
      <c r="G760" s="94" t="str">
        <f ca="1">OFFSET(Variables_Lu!$D$10,Basic_Setup!H77,0)</f>
        <v>Nutrition-specific</v>
      </c>
      <c r="H760" s="354">
        <f t="shared" ref="H760:AD760" si="436">H683/EXCHANGE_RATE</f>
        <v>0</v>
      </c>
      <c r="I760" s="355">
        <f t="shared" si="436"/>
        <v>0</v>
      </c>
      <c r="J760" s="356">
        <f t="shared" si="436"/>
        <v>0</v>
      </c>
      <c r="K760" s="369">
        <f t="shared" si="436"/>
        <v>0</v>
      </c>
      <c r="L760" s="369">
        <f t="shared" si="436"/>
        <v>0</v>
      </c>
      <c r="M760" s="369">
        <f t="shared" si="436"/>
        <v>0</v>
      </c>
      <c r="N760" s="369">
        <f t="shared" si="436"/>
        <v>0</v>
      </c>
      <c r="O760" s="369">
        <f t="shared" si="436"/>
        <v>0</v>
      </c>
      <c r="P760" s="369">
        <f t="shared" si="436"/>
        <v>0</v>
      </c>
      <c r="Q760" s="369">
        <f t="shared" si="436"/>
        <v>0</v>
      </c>
      <c r="R760" s="369">
        <f t="shared" si="436"/>
        <v>0</v>
      </c>
      <c r="S760" s="369">
        <f t="shared" si="436"/>
        <v>0</v>
      </c>
      <c r="T760" s="369">
        <f t="shared" si="436"/>
        <v>0</v>
      </c>
      <c r="U760" s="96">
        <f t="shared" si="436"/>
        <v>0</v>
      </c>
      <c r="V760" s="96">
        <f t="shared" si="436"/>
        <v>0</v>
      </c>
      <c r="W760" s="96">
        <f t="shared" si="436"/>
        <v>0</v>
      </c>
      <c r="X760" s="96">
        <f t="shared" si="436"/>
        <v>0</v>
      </c>
      <c r="Y760" s="96">
        <f t="shared" si="436"/>
        <v>0</v>
      </c>
      <c r="Z760" s="96">
        <f t="shared" si="436"/>
        <v>0</v>
      </c>
      <c r="AA760" s="96">
        <f t="shared" si="436"/>
        <v>0</v>
      </c>
      <c r="AB760" s="96">
        <f t="shared" si="436"/>
        <v>0</v>
      </c>
      <c r="AC760" s="96">
        <f t="shared" si="436"/>
        <v>0</v>
      </c>
      <c r="AD760" s="96">
        <f t="shared" si="436"/>
        <v>0</v>
      </c>
    </row>
    <row r="761" spans="5:30" ht="12" x14ac:dyDescent="0.2">
      <c r="E761" s="301"/>
      <c r="F761" s="94" t="str">
        <f>STRAT8_IND3</f>
        <v>Objetivo estratégico 8 Indicador 3</v>
      </c>
      <c r="G761" s="94" t="str">
        <f ca="1">OFFSET(Variables_Lu!$D$10,Basic_Setup!H78,0)</f>
        <v>Nutrition-specific</v>
      </c>
      <c r="H761" s="354">
        <f t="shared" ref="H761:AD761" si="437">H684/EXCHANGE_RATE</f>
        <v>0</v>
      </c>
      <c r="I761" s="355">
        <f t="shared" si="437"/>
        <v>0</v>
      </c>
      <c r="J761" s="356">
        <f t="shared" si="437"/>
        <v>0</v>
      </c>
      <c r="K761" s="369">
        <f t="shared" si="437"/>
        <v>0</v>
      </c>
      <c r="L761" s="369">
        <f t="shared" si="437"/>
        <v>0</v>
      </c>
      <c r="M761" s="369">
        <f t="shared" si="437"/>
        <v>0</v>
      </c>
      <c r="N761" s="369">
        <f t="shared" si="437"/>
        <v>0</v>
      </c>
      <c r="O761" s="369">
        <f t="shared" si="437"/>
        <v>0</v>
      </c>
      <c r="P761" s="369">
        <f t="shared" si="437"/>
        <v>0</v>
      </c>
      <c r="Q761" s="369">
        <f t="shared" si="437"/>
        <v>0</v>
      </c>
      <c r="R761" s="369">
        <f t="shared" si="437"/>
        <v>0</v>
      </c>
      <c r="S761" s="369">
        <f t="shared" si="437"/>
        <v>0</v>
      </c>
      <c r="T761" s="369">
        <f t="shared" si="437"/>
        <v>0</v>
      </c>
      <c r="U761" s="96">
        <f t="shared" si="437"/>
        <v>0</v>
      </c>
      <c r="V761" s="96">
        <f t="shared" si="437"/>
        <v>0</v>
      </c>
      <c r="W761" s="96">
        <f t="shared" si="437"/>
        <v>0</v>
      </c>
      <c r="X761" s="96">
        <f t="shared" si="437"/>
        <v>0</v>
      </c>
      <c r="Y761" s="96">
        <f t="shared" si="437"/>
        <v>0</v>
      </c>
      <c r="Z761" s="96">
        <f t="shared" si="437"/>
        <v>0</v>
      </c>
      <c r="AA761" s="96">
        <f t="shared" si="437"/>
        <v>0</v>
      </c>
      <c r="AB761" s="96">
        <f t="shared" si="437"/>
        <v>0</v>
      </c>
      <c r="AC761" s="96">
        <f t="shared" si="437"/>
        <v>0</v>
      </c>
      <c r="AD761" s="96">
        <f t="shared" si="437"/>
        <v>0</v>
      </c>
    </row>
    <row r="762" spans="5:30" ht="12" x14ac:dyDescent="0.2">
      <c r="E762" s="301"/>
      <c r="F762" s="94" t="str">
        <f>STRAT8_IND4</f>
        <v>Objetivo estratégico 8 Indicador 4</v>
      </c>
      <c r="G762" s="94" t="str">
        <f ca="1">OFFSET(Variables_Lu!$D$10,Basic_Setup!H79,0)</f>
        <v>Nutrition-specific</v>
      </c>
      <c r="H762" s="354">
        <f t="shared" ref="H762:AD762" si="438">H685/EXCHANGE_RATE</f>
        <v>0</v>
      </c>
      <c r="I762" s="355">
        <f t="shared" si="438"/>
        <v>0</v>
      </c>
      <c r="J762" s="356">
        <f t="shared" si="438"/>
        <v>0</v>
      </c>
      <c r="K762" s="369">
        <f t="shared" si="438"/>
        <v>0</v>
      </c>
      <c r="L762" s="369">
        <f t="shared" si="438"/>
        <v>0</v>
      </c>
      <c r="M762" s="369">
        <f t="shared" si="438"/>
        <v>0</v>
      </c>
      <c r="N762" s="369">
        <f t="shared" si="438"/>
        <v>0</v>
      </c>
      <c r="O762" s="369">
        <f t="shared" si="438"/>
        <v>0</v>
      </c>
      <c r="P762" s="369">
        <f t="shared" si="438"/>
        <v>0</v>
      </c>
      <c r="Q762" s="369">
        <f t="shared" si="438"/>
        <v>0</v>
      </c>
      <c r="R762" s="369">
        <f t="shared" si="438"/>
        <v>0</v>
      </c>
      <c r="S762" s="369">
        <f t="shared" si="438"/>
        <v>0</v>
      </c>
      <c r="T762" s="369">
        <f t="shared" si="438"/>
        <v>0</v>
      </c>
      <c r="U762" s="96">
        <f t="shared" si="438"/>
        <v>0</v>
      </c>
      <c r="V762" s="96">
        <f t="shared" si="438"/>
        <v>0</v>
      </c>
      <c r="W762" s="96">
        <f t="shared" si="438"/>
        <v>0</v>
      </c>
      <c r="X762" s="96">
        <f t="shared" si="438"/>
        <v>0</v>
      </c>
      <c r="Y762" s="96">
        <f t="shared" si="438"/>
        <v>0</v>
      </c>
      <c r="Z762" s="96">
        <f t="shared" si="438"/>
        <v>0</v>
      </c>
      <c r="AA762" s="96">
        <f t="shared" si="438"/>
        <v>0</v>
      </c>
      <c r="AB762" s="96">
        <f t="shared" si="438"/>
        <v>0</v>
      </c>
      <c r="AC762" s="96">
        <f t="shared" si="438"/>
        <v>0</v>
      </c>
      <c r="AD762" s="96">
        <f t="shared" si="438"/>
        <v>0</v>
      </c>
    </row>
    <row r="763" spans="5:30" ht="12" x14ac:dyDescent="0.2">
      <c r="E763" s="301"/>
      <c r="F763" s="94" t="str">
        <f>STRAT8_IND5</f>
        <v>Objetivo estratégico 8 Indicador 5</v>
      </c>
      <c r="G763" s="94" t="str">
        <f ca="1">OFFSET(Variables_Lu!$D$10,Basic_Setup!H80,0)</f>
        <v>Nutrition-specific</v>
      </c>
      <c r="H763" s="354">
        <f t="shared" ref="H763:AD763" si="439">H686/EXCHANGE_RATE</f>
        <v>0</v>
      </c>
      <c r="I763" s="355">
        <f t="shared" si="439"/>
        <v>0</v>
      </c>
      <c r="J763" s="356">
        <f t="shared" si="439"/>
        <v>0</v>
      </c>
      <c r="K763" s="369">
        <f t="shared" si="439"/>
        <v>0</v>
      </c>
      <c r="L763" s="369">
        <f t="shared" si="439"/>
        <v>0</v>
      </c>
      <c r="M763" s="369">
        <f t="shared" si="439"/>
        <v>0</v>
      </c>
      <c r="N763" s="369">
        <f t="shared" si="439"/>
        <v>0</v>
      </c>
      <c r="O763" s="369">
        <f t="shared" si="439"/>
        <v>0</v>
      </c>
      <c r="P763" s="369">
        <f t="shared" si="439"/>
        <v>0</v>
      </c>
      <c r="Q763" s="369">
        <f t="shared" si="439"/>
        <v>0</v>
      </c>
      <c r="R763" s="369">
        <f t="shared" si="439"/>
        <v>0</v>
      </c>
      <c r="S763" s="369">
        <f t="shared" si="439"/>
        <v>0</v>
      </c>
      <c r="T763" s="369">
        <f t="shared" si="439"/>
        <v>0</v>
      </c>
      <c r="U763" s="96">
        <f t="shared" si="439"/>
        <v>0</v>
      </c>
      <c r="V763" s="96">
        <f t="shared" si="439"/>
        <v>0</v>
      </c>
      <c r="W763" s="96">
        <f t="shared" si="439"/>
        <v>0</v>
      </c>
      <c r="X763" s="96">
        <f t="shared" si="439"/>
        <v>0</v>
      </c>
      <c r="Y763" s="96">
        <f t="shared" si="439"/>
        <v>0</v>
      </c>
      <c r="Z763" s="96">
        <f t="shared" si="439"/>
        <v>0</v>
      </c>
      <c r="AA763" s="96">
        <f t="shared" si="439"/>
        <v>0</v>
      </c>
      <c r="AB763" s="96">
        <f t="shared" si="439"/>
        <v>0</v>
      </c>
      <c r="AC763" s="96">
        <f t="shared" si="439"/>
        <v>0</v>
      </c>
      <c r="AD763" s="96">
        <f t="shared" si="439"/>
        <v>0</v>
      </c>
    </row>
    <row r="764" spans="5:30" ht="12" x14ac:dyDescent="0.2">
      <c r="E764" s="301"/>
      <c r="F764" s="338" t="str">
        <f>"Subtotal: "&amp;E293</f>
        <v>Subtotal: Objetivo estratégico 8: [No está en uso]</v>
      </c>
      <c r="G764" s="333"/>
      <c r="H764" s="357">
        <f t="shared" ref="H764:AD764" si="440">H687/EXCHANGE_RATE</f>
        <v>0</v>
      </c>
      <c r="I764" s="358">
        <f t="shared" si="440"/>
        <v>0</v>
      </c>
      <c r="J764" s="358">
        <f t="shared" si="440"/>
        <v>0</v>
      </c>
      <c r="K764" s="370">
        <f t="shared" si="440"/>
        <v>0</v>
      </c>
      <c r="L764" s="370">
        <f t="shared" si="440"/>
        <v>0</v>
      </c>
      <c r="M764" s="370">
        <f t="shared" si="440"/>
        <v>0</v>
      </c>
      <c r="N764" s="370">
        <f t="shared" si="440"/>
        <v>0</v>
      </c>
      <c r="O764" s="370">
        <f t="shared" si="440"/>
        <v>0</v>
      </c>
      <c r="P764" s="370">
        <f t="shared" si="440"/>
        <v>0</v>
      </c>
      <c r="Q764" s="370">
        <f t="shared" si="440"/>
        <v>0</v>
      </c>
      <c r="R764" s="370">
        <f t="shared" si="440"/>
        <v>0</v>
      </c>
      <c r="S764" s="370">
        <f t="shared" si="440"/>
        <v>0</v>
      </c>
      <c r="T764" s="370">
        <f t="shared" si="440"/>
        <v>0</v>
      </c>
      <c r="U764" s="337">
        <f t="shared" si="440"/>
        <v>0</v>
      </c>
      <c r="V764" s="337">
        <f t="shared" si="440"/>
        <v>0</v>
      </c>
      <c r="W764" s="337">
        <f t="shared" si="440"/>
        <v>0</v>
      </c>
      <c r="X764" s="337">
        <f t="shared" si="440"/>
        <v>0</v>
      </c>
      <c r="Y764" s="337">
        <f t="shared" si="440"/>
        <v>0</v>
      </c>
      <c r="Z764" s="337">
        <f t="shared" si="440"/>
        <v>0</v>
      </c>
      <c r="AA764" s="337">
        <f t="shared" si="440"/>
        <v>0</v>
      </c>
      <c r="AB764" s="337">
        <f t="shared" si="440"/>
        <v>0</v>
      </c>
      <c r="AC764" s="337">
        <f t="shared" si="440"/>
        <v>0</v>
      </c>
      <c r="AD764" s="337">
        <f t="shared" si="440"/>
        <v>0</v>
      </c>
    </row>
    <row r="765" spans="5:30" ht="12" x14ac:dyDescent="0.2">
      <c r="E765" s="301" t="str">
        <f>Strategy9</f>
        <v>Objetivo estratégico 9: [No está en uso]</v>
      </c>
      <c r="G765" s="94"/>
      <c r="H765" s="363"/>
      <c r="I765" s="364"/>
      <c r="J765" s="356"/>
      <c r="K765" s="369"/>
      <c r="L765" s="369"/>
      <c r="M765" s="369"/>
      <c r="N765" s="369"/>
      <c r="O765" s="369"/>
      <c r="P765" s="369"/>
      <c r="Q765" s="369"/>
      <c r="R765" s="369"/>
      <c r="S765" s="369"/>
      <c r="T765" s="369"/>
      <c r="U765" s="96"/>
      <c r="V765" s="96"/>
      <c r="W765" s="96"/>
      <c r="X765" s="96"/>
      <c r="Y765" s="96"/>
      <c r="Z765" s="96"/>
      <c r="AA765" s="96"/>
      <c r="AB765" s="96"/>
      <c r="AC765" s="96"/>
      <c r="AD765" s="96"/>
    </row>
    <row r="766" spans="5:30" ht="12" x14ac:dyDescent="0.2">
      <c r="E766" s="301"/>
      <c r="F766" s="94" t="str">
        <f>STRAT9_IND1</f>
        <v>Objetivo estratégico 9 Indicador 1</v>
      </c>
      <c r="G766" s="94" t="str">
        <f ca="1">OFFSET(Variables_Lu!$D$10,Basic_Setup!H82,0)</f>
        <v>Nutrition-specific</v>
      </c>
      <c r="H766" s="354">
        <f t="shared" ref="H766:AD766" si="441">H689/EXCHANGE_RATE</f>
        <v>0</v>
      </c>
      <c r="I766" s="355">
        <f t="shared" si="441"/>
        <v>0</v>
      </c>
      <c r="J766" s="356">
        <f t="shared" si="441"/>
        <v>0</v>
      </c>
      <c r="K766" s="369">
        <f t="shared" si="441"/>
        <v>0</v>
      </c>
      <c r="L766" s="369">
        <f t="shared" si="441"/>
        <v>0</v>
      </c>
      <c r="M766" s="369">
        <f t="shared" si="441"/>
        <v>0</v>
      </c>
      <c r="N766" s="369">
        <f t="shared" si="441"/>
        <v>0</v>
      </c>
      <c r="O766" s="369">
        <f t="shared" si="441"/>
        <v>0</v>
      </c>
      <c r="P766" s="369">
        <f t="shared" si="441"/>
        <v>0</v>
      </c>
      <c r="Q766" s="369">
        <f t="shared" si="441"/>
        <v>0</v>
      </c>
      <c r="R766" s="369">
        <f t="shared" si="441"/>
        <v>0</v>
      </c>
      <c r="S766" s="369">
        <f t="shared" si="441"/>
        <v>0</v>
      </c>
      <c r="T766" s="369">
        <f t="shared" si="441"/>
        <v>0</v>
      </c>
      <c r="U766" s="96">
        <f t="shared" si="441"/>
        <v>0</v>
      </c>
      <c r="V766" s="96">
        <f t="shared" si="441"/>
        <v>0</v>
      </c>
      <c r="W766" s="96">
        <f t="shared" si="441"/>
        <v>0</v>
      </c>
      <c r="X766" s="96">
        <f t="shared" si="441"/>
        <v>0</v>
      </c>
      <c r="Y766" s="96">
        <f t="shared" si="441"/>
        <v>0</v>
      </c>
      <c r="Z766" s="96">
        <f t="shared" si="441"/>
        <v>0</v>
      </c>
      <c r="AA766" s="96">
        <f t="shared" si="441"/>
        <v>0</v>
      </c>
      <c r="AB766" s="96">
        <f t="shared" si="441"/>
        <v>0</v>
      </c>
      <c r="AC766" s="96">
        <f t="shared" si="441"/>
        <v>0</v>
      </c>
      <c r="AD766" s="96">
        <f t="shared" si="441"/>
        <v>0</v>
      </c>
    </row>
    <row r="767" spans="5:30" ht="12" x14ac:dyDescent="0.2">
      <c r="E767" s="301"/>
      <c r="F767" s="94" t="str">
        <f>STRAT9_IND2</f>
        <v>Objetivo estratégico 9 Indicador 2</v>
      </c>
      <c r="G767" s="94" t="str">
        <f ca="1">OFFSET(Variables_Lu!$D$10,Basic_Setup!H83,0)</f>
        <v>Nutrition-specific</v>
      </c>
      <c r="H767" s="354">
        <f t="shared" ref="H767:AD767" si="442">H690/EXCHANGE_RATE</f>
        <v>0</v>
      </c>
      <c r="I767" s="355">
        <f t="shared" si="442"/>
        <v>0</v>
      </c>
      <c r="J767" s="356">
        <f t="shared" si="442"/>
        <v>0</v>
      </c>
      <c r="K767" s="369">
        <f t="shared" si="442"/>
        <v>0</v>
      </c>
      <c r="L767" s="369">
        <f t="shared" si="442"/>
        <v>0</v>
      </c>
      <c r="M767" s="369">
        <f t="shared" si="442"/>
        <v>0</v>
      </c>
      <c r="N767" s="369">
        <f t="shared" si="442"/>
        <v>0</v>
      </c>
      <c r="O767" s="369">
        <f t="shared" si="442"/>
        <v>0</v>
      </c>
      <c r="P767" s="369">
        <f t="shared" si="442"/>
        <v>0</v>
      </c>
      <c r="Q767" s="369">
        <f t="shared" si="442"/>
        <v>0</v>
      </c>
      <c r="R767" s="369">
        <f t="shared" si="442"/>
        <v>0</v>
      </c>
      <c r="S767" s="369">
        <f t="shared" si="442"/>
        <v>0</v>
      </c>
      <c r="T767" s="369">
        <f t="shared" si="442"/>
        <v>0</v>
      </c>
      <c r="U767" s="96">
        <f t="shared" si="442"/>
        <v>0</v>
      </c>
      <c r="V767" s="96">
        <f t="shared" si="442"/>
        <v>0</v>
      </c>
      <c r="W767" s="96">
        <f t="shared" si="442"/>
        <v>0</v>
      </c>
      <c r="X767" s="96">
        <f t="shared" si="442"/>
        <v>0</v>
      </c>
      <c r="Y767" s="96">
        <f t="shared" si="442"/>
        <v>0</v>
      </c>
      <c r="Z767" s="96">
        <f t="shared" si="442"/>
        <v>0</v>
      </c>
      <c r="AA767" s="96">
        <f t="shared" si="442"/>
        <v>0</v>
      </c>
      <c r="AB767" s="96">
        <f t="shared" si="442"/>
        <v>0</v>
      </c>
      <c r="AC767" s="96">
        <f t="shared" si="442"/>
        <v>0</v>
      </c>
      <c r="AD767" s="96">
        <f t="shared" si="442"/>
        <v>0</v>
      </c>
    </row>
    <row r="768" spans="5:30" ht="12" x14ac:dyDescent="0.2">
      <c r="E768" s="301"/>
      <c r="F768" s="94" t="str">
        <f>STRAT9_IND3</f>
        <v>Objetivo estratégico 9 Indicador 3</v>
      </c>
      <c r="G768" s="94" t="str">
        <f ca="1">OFFSET(Variables_Lu!$D$10,Basic_Setup!H84,0)</f>
        <v>Nutrition-specific</v>
      </c>
      <c r="H768" s="354">
        <f t="shared" ref="H768:AD768" si="443">H691/EXCHANGE_RATE</f>
        <v>0</v>
      </c>
      <c r="I768" s="355">
        <f t="shared" si="443"/>
        <v>0</v>
      </c>
      <c r="J768" s="356">
        <f t="shared" si="443"/>
        <v>0</v>
      </c>
      <c r="K768" s="369">
        <f t="shared" si="443"/>
        <v>0</v>
      </c>
      <c r="L768" s="369">
        <f t="shared" si="443"/>
        <v>0</v>
      </c>
      <c r="M768" s="369">
        <f t="shared" si="443"/>
        <v>0</v>
      </c>
      <c r="N768" s="369">
        <f t="shared" si="443"/>
        <v>0</v>
      </c>
      <c r="O768" s="369">
        <f t="shared" si="443"/>
        <v>0</v>
      </c>
      <c r="P768" s="369">
        <f t="shared" si="443"/>
        <v>0</v>
      </c>
      <c r="Q768" s="369">
        <f t="shared" si="443"/>
        <v>0</v>
      </c>
      <c r="R768" s="369">
        <f t="shared" si="443"/>
        <v>0</v>
      </c>
      <c r="S768" s="369">
        <f t="shared" si="443"/>
        <v>0</v>
      </c>
      <c r="T768" s="369">
        <f t="shared" si="443"/>
        <v>0</v>
      </c>
      <c r="U768" s="96">
        <f t="shared" si="443"/>
        <v>0</v>
      </c>
      <c r="V768" s="96">
        <f t="shared" si="443"/>
        <v>0</v>
      </c>
      <c r="W768" s="96">
        <f t="shared" si="443"/>
        <v>0</v>
      </c>
      <c r="X768" s="96">
        <f t="shared" si="443"/>
        <v>0</v>
      </c>
      <c r="Y768" s="96">
        <f t="shared" si="443"/>
        <v>0</v>
      </c>
      <c r="Z768" s="96">
        <f t="shared" si="443"/>
        <v>0</v>
      </c>
      <c r="AA768" s="96">
        <f t="shared" si="443"/>
        <v>0</v>
      </c>
      <c r="AB768" s="96">
        <f t="shared" si="443"/>
        <v>0</v>
      </c>
      <c r="AC768" s="96">
        <f t="shared" si="443"/>
        <v>0</v>
      </c>
      <c r="AD768" s="96">
        <f t="shared" si="443"/>
        <v>0</v>
      </c>
    </row>
    <row r="769" spans="1:30" ht="11.25" customHeight="1" x14ac:dyDescent="0.2">
      <c r="E769" s="301"/>
      <c r="F769" s="94" t="str">
        <f>STRAT9_IND4</f>
        <v>Objetivo estratégico 9 Indicador 4</v>
      </c>
      <c r="G769" s="94" t="str">
        <f ca="1">OFFSET(Variables_Lu!$D$10,Basic_Setup!H85,0)</f>
        <v>Nutrition-specific</v>
      </c>
      <c r="H769" s="354">
        <f t="shared" ref="H769:AD769" si="444">H692/EXCHANGE_RATE</f>
        <v>0</v>
      </c>
      <c r="I769" s="355">
        <f t="shared" si="444"/>
        <v>0</v>
      </c>
      <c r="J769" s="356">
        <f t="shared" si="444"/>
        <v>0</v>
      </c>
      <c r="K769" s="369">
        <f t="shared" si="444"/>
        <v>0</v>
      </c>
      <c r="L769" s="369">
        <f t="shared" si="444"/>
        <v>0</v>
      </c>
      <c r="M769" s="369">
        <f t="shared" si="444"/>
        <v>0</v>
      </c>
      <c r="N769" s="369">
        <f t="shared" si="444"/>
        <v>0</v>
      </c>
      <c r="O769" s="369">
        <f t="shared" si="444"/>
        <v>0</v>
      </c>
      <c r="P769" s="369">
        <f t="shared" si="444"/>
        <v>0</v>
      </c>
      <c r="Q769" s="369">
        <f t="shared" si="444"/>
        <v>0</v>
      </c>
      <c r="R769" s="369">
        <f t="shared" si="444"/>
        <v>0</v>
      </c>
      <c r="S769" s="369">
        <f t="shared" si="444"/>
        <v>0</v>
      </c>
      <c r="T769" s="369">
        <f t="shared" si="444"/>
        <v>0</v>
      </c>
      <c r="U769" s="96">
        <f t="shared" si="444"/>
        <v>0</v>
      </c>
      <c r="V769" s="96">
        <f t="shared" si="444"/>
        <v>0</v>
      </c>
      <c r="W769" s="96">
        <f t="shared" si="444"/>
        <v>0</v>
      </c>
      <c r="X769" s="96">
        <f t="shared" si="444"/>
        <v>0</v>
      </c>
      <c r="Y769" s="96">
        <f t="shared" si="444"/>
        <v>0</v>
      </c>
      <c r="Z769" s="96">
        <f t="shared" si="444"/>
        <v>0</v>
      </c>
      <c r="AA769" s="96">
        <f t="shared" si="444"/>
        <v>0</v>
      </c>
      <c r="AB769" s="96">
        <f t="shared" si="444"/>
        <v>0</v>
      </c>
      <c r="AC769" s="96">
        <f t="shared" si="444"/>
        <v>0</v>
      </c>
      <c r="AD769" s="96">
        <f t="shared" si="444"/>
        <v>0</v>
      </c>
    </row>
    <row r="770" spans="1:30" ht="12" x14ac:dyDescent="0.2">
      <c r="E770" s="301"/>
      <c r="F770" s="94" t="str">
        <f>STRAT9_IND5</f>
        <v>Objetivo estratégico 9 Indicador 5</v>
      </c>
      <c r="G770" s="94" t="str">
        <f ca="1">OFFSET(Variables_Lu!$D$10,Basic_Setup!H86,0)</f>
        <v>Nutrition-specific</v>
      </c>
      <c r="H770" s="354">
        <f t="shared" ref="H770:AD770" si="445">H693/EXCHANGE_RATE</f>
        <v>0</v>
      </c>
      <c r="I770" s="355">
        <f t="shared" si="445"/>
        <v>0</v>
      </c>
      <c r="J770" s="356">
        <f t="shared" si="445"/>
        <v>0</v>
      </c>
      <c r="K770" s="369">
        <f t="shared" si="445"/>
        <v>0</v>
      </c>
      <c r="L770" s="369">
        <f t="shared" si="445"/>
        <v>0</v>
      </c>
      <c r="M770" s="369">
        <f t="shared" si="445"/>
        <v>0</v>
      </c>
      <c r="N770" s="369">
        <f t="shared" si="445"/>
        <v>0</v>
      </c>
      <c r="O770" s="369">
        <f t="shared" si="445"/>
        <v>0</v>
      </c>
      <c r="P770" s="369">
        <f t="shared" si="445"/>
        <v>0</v>
      </c>
      <c r="Q770" s="369">
        <f t="shared" si="445"/>
        <v>0</v>
      </c>
      <c r="R770" s="369">
        <f t="shared" si="445"/>
        <v>0</v>
      </c>
      <c r="S770" s="369">
        <f t="shared" si="445"/>
        <v>0</v>
      </c>
      <c r="T770" s="369">
        <f t="shared" si="445"/>
        <v>0</v>
      </c>
      <c r="U770" s="96">
        <f t="shared" si="445"/>
        <v>0</v>
      </c>
      <c r="V770" s="96">
        <f t="shared" si="445"/>
        <v>0</v>
      </c>
      <c r="W770" s="96">
        <f t="shared" si="445"/>
        <v>0</v>
      </c>
      <c r="X770" s="96">
        <f t="shared" si="445"/>
        <v>0</v>
      </c>
      <c r="Y770" s="96">
        <f t="shared" si="445"/>
        <v>0</v>
      </c>
      <c r="Z770" s="96">
        <f t="shared" si="445"/>
        <v>0</v>
      </c>
      <c r="AA770" s="96">
        <f t="shared" si="445"/>
        <v>0</v>
      </c>
      <c r="AB770" s="96">
        <f t="shared" si="445"/>
        <v>0</v>
      </c>
      <c r="AC770" s="96">
        <f t="shared" si="445"/>
        <v>0</v>
      </c>
      <c r="AD770" s="96">
        <f t="shared" si="445"/>
        <v>0</v>
      </c>
    </row>
    <row r="771" spans="1:30" ht="12" x14ac:dyDescent="0.2">
      <c r="E771" s="301"/>
      <c r="F771" s="338" t="str">
        <f>"Subtotal: "&amp;E300</f>
        <v>Subtotal: Objetivo estratégico 9: [No está en uso]</v>
      </c>
      <c r="G771" s="333"/>
      <c r="H771" s="357">
        <f t="shared" ref="H771:AD771" si="446">H694/EXCHANGE_RATE</f>
        <v>0</v>
      </c>
      <c r="I771" s="358">
        <f t="shared" si="446"/>
        <v>0</v>
      </c>
      <c r="J771" s="358">
        <f t="shared" si="446"/>
        <v>0</v>
      </c>
      <c r="K771" s="370">
        <f t="shared" si="446"/>
        <v>0</v>
      </c>
      <c r="L771" s="370">
        <f t="shared" si="446"/>
        <v>0</v>
      </c>
      <c r="M771" s="370">
        <f t="shared" si="446"/>
        <v>0</v>
      </c>
      <c r="N771" s="370">
        <f t="shared" si="446"/>
        <v>0</v>
      </c>
      <c r="O771" s="370">
        <f t="shared" si="446"/>
        <v>0</v>
      </c>
      <c r="P771" s="370">
        <f t="shared" si="446"/>
        <v>0</v>
      </c>
      <c r="Q771" s="370">
        <f t="shared" si="446"/>
        <v>0</v>
      </c>
      <c r="R771" s="370">
        <f t="shared" si="446"/>
        <v>0</v>
      </c>
      <c r="S771" s="370">
        <f t="shared" si="446"/>
        <v>0</v>
      </c>
      <c r="T771" s="370">
        <f t="shared" si="446"/>
        <v>0</v>
      </c>
      <c r="U771" s="337">
        <f t="shared" si="446"/>
        <v>0</v>
      </c>
      <c r="V771" s="337">
        <f t="shared" si="446"/>
        <v>0</v>
      </c>
      <c r="W771" s="337">
        <f t="shared" si="446"/>
        <v>0</v>
      </c>
      <c r="X771" s="337">
        <f t="shared" si="446"/>
        <v>0</v>
      </c>
      <c r="Y771" s="337">
        <f t="shared" si="446"/>
        <v>0</v>
      </c>
      <c r="Z771" s="337">
        <f t="shared" si="446"/>
        <v>0</v>
      </c>
      <c r="AA771" s="337">
        <f t="shared" si="446"/>
        <v>0</v>
      </c>
      <c r="AB771" s="337">
        <f t="shared" si="446"/>
        <v>0</v>
      </c>
      <c r="AC771" s="337">
        <f t="shared" si="446"/>
        <v>0</v>
      </c>
      <c r="AD771" s="337">
        <f t="shared" si="446"/>
        <v>0</v>
      </c>
    </row>
    <row r="772" spans="1:30" ht="12" x14ac:dyDescent="0.2">
      <c r="E772" s="301" t="str">
        <f>Strategy10</f>
        <v>Objetivo estratégico 10: [No está en uso]</v>
      </c>
      <c r="G772" s="94"/>
      <c r="H772" s="363"/>
      <c r="I772" s="364"/>
      <c r="J772" s="356"/>
      <c r="K772" s="369"/>
      <c r="L772" s="369"/>
      <c r="M772" s="369"/>
      <c r="N772" s="369"/>
      <c r="O772" s="369"/>
      <c r="P772" s="369"/>
      <c r="Q772" s="369"/>
      <c r="R772" s="369"/>
      <c r="S772" s="369"/>
      <c r="T772" s="369"/>
      <c r="U772" s="96"/>
      <c r="V772" s="96"/>
      <c r="W772" s="96"/>
      <c r="X772" s="96"/>
      <c r="Y772" s="96"/>
      <c r="Z772" s="96"/>
      <c r="AA772" s="96"/>
      <c r="AB772" s="96"/>
      <c r="AC772" s="96"/>
      <c r="AD772" s="96"/>
    </row>
    <row r="773" spans="1:30" ht="12" x14ac:dyDescent="0.2">
      <c r="F773" s="94" t="str">
        <f>STRAT10_IND1</f>
        <v>Objetivo estratégico 10 Indicador 1</v>
      </c>
      <c r="G773" s="94" t="str">
        <f ca="1">OFFSET(Variables_Lu!$D$10,Basic_Setup!H88,0)</f>
        <v>Nutrition-specific</v>
      </c>
      <c r="H773" s="354">
        <f t="shared" ref="H773:AD773" si="447">H696/EXCHANGE_RATE</f>
        <v>0</v>
      </c>
      <c r="I773" s="355">
        <f t="shared" si="447"/>
        <v>0</v>
      </c>
      <c r="J773" s="356">
        <f t="shared" si="447"/>
        <v>0</v>
      </c>
      <c r="K773" s="369">
        <f t="shared" si="447"/>
        <v>0</v>
      </c>
      <c r="L773" s="369">
        <f t="shared" si="447"/>
        <v>0</v>
      </c>
      <c r="M773" s="369">
        <f t="shared" si="447"/>
        <v>0</v>
      </c>
      <c r="N773" s="369">
        <f t="shared" si="447"/>
        <v>0</v>
      </c>
      <c r="O773" s="369">
        <f t="shared" si="447"/>
        <v>0</v>
      </c>
      <c r="P773" s="369">
        <f t="shared" si="447"/>
        <v>0</v>
      </c>
      <c r="Q773" s="369">
        <f t="shared" si="447"/>
        <v>0</v>
      </c>
      <c r="R773" s="369">
        <f t="shared" si="447"/>
        <v>0</v>
      </c>
      <c r="S773" s="369">
        <f t="shared" si="447"/>
        <v>0</v>
      </c>
      <c r="T773" s="369">
        <f t="shared" si="447"/>
        <v>0</v>
      </c>
      <c r="U773" s="96">
        <f t="shared" si="447"/>
        <v>0</v>
      </c>
      <c r="V773" s="96">
        <f t="shared" si="447"/>
        <v>0</v>
      </c>
      <c r="W773" s="96">
        <f t="shared" si="447"/>
        <v>0</v>
      </c>
      <c r="X773" s="96">
        <f t="shared" si="447"/>
        <v>0</v>
      </c>
      <c r="Y773" s="96">
        <f t="shared" si="447"/>
        <v>0</v>
      </c>
      <c r="Z773" s="96">
        <f t="shared" si="447"/>
        <v>0</v>
      </c>
      <c r="AA773" s="96">
        <f t="shared" si="447"/>
        <v>0</v>
      </c>
      <c r="AB773" s="96">
        <f t="shared" si="447"/>
        <v>0</v>
      </c>
      <c r="AC773" s="96">
        <f t="shared" si="447"/>
        <v>0</v>
      </c>
      <c r="AD773" s="96">
        <f t="shared" si="447"/>
        <v>0</v>
      </c>
    </row>
    <row r="774" spans="1:30" ht="12" x14ac:dyDescent="0.2">
      <c r="F774" s="94" t="str">
        <f>STRAT10_IND2</f>
        <v>Objetivo estratégico 10 Indicador 2</v>
      </c>
      <c r="G774" s="94" t="str">
        <f ca="1">OFFSET(Variables_Lu!$D$10,Basic_Setup!H89,0)</f>
        <v>Nutrition-specific</v>
      </c>
      <c r="H774" s="354">
        <f t="shared" ref="H774:AD774" si="448">H697/EXCHANGE_RATE</f>
        <v>0</v>
      </c>
      <c r="I774" s="355">
        <f t="shared" si="448"/>
        <v>0</v>
      </c>
      <c r="J774" s="356">
        <f t="shared" si="448"/>
        <v>0</v>
      </c>
      <c r="K774" s="369">
        <f t="shared" si="448"/>
        <v>0</v>
      </c>
      <c r="L774" s="369">
        <f t="shared" si="448"/>
        <v>0</v>
      </c>
      <c r="M774" s="369">
        <f t="shared" si="448"/>
        <v>0</v>
      </c>
      <c r="N774" s="369">
        <f t="shared" si="448"/>
        <v>0</v>
      </c>
      <c r="O774" s="369">
        <f t="shared" si="448"/>
        <v>0</v>
      </c>
      <c r="P774" s="369">
        <f t="shared" si="448"/>
        <v>0</v>
      </c>
      <c r="Q774" s="369">
        <f t="shared" si="448"/>
        <v>0</v>
      </c>
      <c r="R774" s="369">
        <f t="shared" si="448"/>
        <v>0</v>
      </c>
      <c r="S774" s="369">
        <f t="shared" si="448"/>
        <v>0</v>
      </c>
      <c r="T774" s="369">
        <f t="shared" si="448"/>
        <v>0</v>
      </c>
      <c r="U774" s="96">
        <f t="shared" si="448"/>
        <v>0</v>
      </c>
      <c r="V774" s="96">
        <f t="shared" si="448"/>
        <v>0</v>
      </c>
      <c r="W774" s="96">
        <f t="shared" si="448"/>
        <v>0</v>
      </c>
      <c r="X774" s="96">
        <f t="shared" si="448"/>
        <v>0</v>
      </c>
      <c r="Y774" s="96">
        <f t="shared" si="448"/>
        <v>0</v>
      </c>
      <c r="Z774" s="96">
        <f t="shared" si="448"/>
        <v>0</v>
      </c>
      <c r="AA774" s="96">
        <f t="shared" si="448"/>
        <v>0</v>
      </c>
      <c r="AB774" s="96">
        <f t="shared" si="448"/>
        <v>0</v>
      </c>
      <c r="AC774" s="96">
        <f t="shared" si="448"/>
        <v>0</v>
      </c>
      <c r="AD774" s="96">
        <f t="shared" si="448"/>
        <v>0</v>
      </c>
    </row>
    <row r="775" spans="1:30" ht="12" x14ac:dyDescent="0.2">
      <c r="F775" s="94" t="str">
        <f>STRAT10_IND3</f>
        <v>Objetivo estratégico 10 Indicador 3</v>
      </c>
      <c r="G775" s="94" t="str">
        <f ca="1">OFFSET(Variables_Lu!$D$10,Basic_Setup!H90,0)</f>
        <v>Nutrition-specific</v>
      </c>
      <c r="H775" s="354">
        <f t="shared" ref="H775:AD775" si="449">H698/EXCHANGE_RATE</f>
        <v>0</v>
      </c>
      <c r="I775" s="355">
        <f t="shared" si="449"/>
        <v>0</v>
      </c>
      <c r="J775" s="356">
        <f t="shared" si="449"/>
        <v>0</v>
      </c>
      <c r="K775" s="369">
        <f t="shared" si="449"/>
        <v>0</v>
      </c>
      <c r="L775" s="369">
        <f t="shared" si="449"/>
        <v>0</v>
      </c>
      <c r="M775" s="369">
        <f t="shared" si="449"/>
        <v>0</v>
      </c>
      <c r="N775" s="369">
        <f t="shared" si="449"/>
        <v>0</v>
      </c>
      <c r="O775" s="369">
        <f t="shared" si="449"/>
        <v>0</v>
      </c>
      <c r="P775" s="369">
        <f t="shared" si="449"/>
        <v>0</v>
      </c>
      <c r="Q775" s="369">
        <f t="shared" si="449"/>
        <v>0</v>
      </c>
      <c r="R775" s="369">
        <f t="shared" si="449"/>
        <v>0</v>
      </c>
      <c r="S775" s="369">
        <f t="shared" si="449"/>
        <v>0</v>
      </c>
      <c r="T775" s="369">
        <f t="shared" si="449"/>
        <v>0</v>
      </c>
      <c r="U775" s="96">
        <f t="shared" si="449"/>
        <v>0</v>
      </c>
      <c r="V775" s="96">
        <f t="shared" si="449"/>
        <v>0</v>
      </c>
      <c r="W775" s="96">
        <f t="shared" si="449"/>
        <v>0</v>
      </c>
      <c r="X775" s="96">
        <f t="shared" si="449"/>
        <v>0</v>
      </c>
      <c r="Y775" s="96">
        <f t="shared" si="449"/>
        <v>0</v>
      </c>
      <c r="Z775" s="96">
        <f t="shared" si="449"/>
        <v>0</v>
      </c>
      <c r="AA775" s="96">
        <f t="shared" si="449"/>
        <v>0</v>
      </c>
      <c r="AB775" s="96">
        <f t="shared" si="449"/>
        <v>0</v>
      </c>
      <c r="AC775" s="96">
        <f t="shared" si="449"/>
        <v>0</v>
      </c>
      <c r="AD775" s="96">
        <f t="shared" si="449"/>
        <v>0</v>
      </c>
    </row>
    <row r="776" spans="1:30" ht="12" x14ac:dyDescent="0.2">
      <c r="F776" s="94" t="str">
        <f>STRAT10_IND4</f>
        <v>Objetivo estratégico 10 Indicador 4</v>
      </c>
      <c r="G776" s="94" t="str">
        <f ca="1">OFFSET(Variables_Lu!$D$10,Basic_Setup!H91,0)</f>
        <v>Nutrition-specific</v>
      </c>
      <c r="H776" s="354">
        <f t="shared" ref="H776:AD776" si="450">H699/EXCHANGE_RATE</f>
        <v>0</v>
      </c>
      <c r="I776" s="355">
        <f t="shared" si="450"/>
        <v>0</v>
      </c>
      <c r="J776" s="356">
        <f t="shared" si="450"/>
        <v>0</v>
      </c>
      <c r="K776" s="369">
        <f t="shared" si="450"/>
        <v>0</v>
      </c>
      <c r="L776" s="369">
        <f t="shared" si="450"/>
        <v>0</v>
      </c>
      <c r="M776" s="369">
        <f t="shared" si="450"/>
        <v>0</v>
      </c>
      <c r="N776" s="369">
        <f t="shared" si="450"/>
        <v>0</v>
      </c>
      <c r="O776" s="369">
        <f t="shared" si="450"/>
        <v>0</v>
      </c>
      <c r="P776" s="369">
        <f t="shared" si="450"/>
        <v>0</v>
      </c>
      <c r="Q776" s="369">
        <f t="shared" si="450"/>
        <v>0</v>
      </c>
      <c r="R776" s="369">
        <f t="shared" si="450"/>
        <v>0</v>
      </c>
      <c r="S776" s="369">
        <f t="shared" si="450"/>
        <v>0</v>
      </c>
      <c r="T776" s="369">
        <f t="shared" si="450"/>
        <v>0</v>
      </c>
      <c r="U776" s="96">
        <f t="shared" si="450"/>
        <v>0</v>
      </c>
      <c r="V776" s="96">
        <f t="shared" si="450"/>
        <v>0</v>
      </c>
      <c r="W776" s="96">
        <f t="shared" si="450"/>
        <v>0</v>
      </c>
      <c r="X776" s="96">
        <f t="shared" si="450"/>
        <v>0</v>
      </c>
      <c r="Y776" s="96">
        <f t="shared" si="450"/>
        <v>0</v>
      </c>
      <c r="Z776" s="96">
        <f t="shared" si="450"/>
        <v>0</v>
      </c>
      <c r="AA776" s="96">
        <f t="shared" si="450"/>
        <v>0</v>
      </c>
      <c r="AB776" s="96">
        <f t="shared" si="450"/>
        <v>0</v>
      </c>
      <c r="AC776" s="96">
        <f t="shared" si="450"/>
        <v>0</v>
      </c>
      <c r="AD776" s="96">
        <f t="shared" si="450"/>
        <v>0</v>
      </c>
    </row>
    <row r="777" spans="1:30" ht="12" x14ac:dyDescent="0.2">
      <c r="F777" s="94" t="str">
        <f>STRAT10_IND5</f>
        <v>Objetivo estratégico 10 Indicador 5</v>
      </c>
      <c r="G777" s="94" t="str">
        <f ca="1">OFFSET(Variables_Lu!$D$10,Basic_Setup!H92,0)</f>
        <v>Nutrition-specific</v>
      </c>
      <c r="H777" s="354">
        <f t="shared" ref="H777:AD777" si="451">H700/EXCHANGE_RATE</f>
        <v>0</v>
      </c>
      <c r="I777" s="355">
        <f t="shared" si="451"/>
        <v>0</v>
      </c>
      <c r="J777" s="356">
        <f t="shared" si="451"/>
        <v>0</v>
      </c>
      <c r="K777" s="369">
        <f t="shared" si="451"/>
        <v>0</v>
      </c>
      <c r="L777" s="369">
        <f t="shared" si="451"/>
        <v>0</v>
      </c>
      <c r="M777" s="369">
        <f t="shared" si="451"/>
        <v>0</v>
      </c>
      <c r="N777" s="369">
        <f t="shared" si="451"/>
        <v>0</v>
      </c>
      <c r="O777" s="369">
        <f t="shared" si="451"/>
        <v>0</v>
      </c>
      <c r="P777" s="369">
        <f t="shared" si="451"/>
        <v>0</v>
      </c>
      <c r="Q777" s="369">
        <f t="shared" si="451"/>
        <v>0</v>
      </c>
      <c r="R777" s="369">
        <f t="shared" si="451"/>
        <v>0</v>
      </c>
      <c r="S777" s="369">
        <f t="shared" si="451"/>
        <v>0</v>
      </c>
      <c r="T777" s="369">
        <f t="shared" si="451"/>
        <v>0</v>
      </c>
      <c r="U777" s="96">
        <f t="shared" si="451"/>
        <v>0</v>
      </c>
      <c r="V777" s="96">
        <f t="shared" si="451"/>
        <v>0</v>
      </c>
      <c r="W777" s="96">
        <f t="shared" si="451"/>
        <v>0</v>
      </c>
      <c r="X777" s="96">
        <f t="shared" si="451"/>
        <v>0</v>
      </c>
      <c r="Y777" s="96">
        <f t="shared" si="451"/>
        <v>0</v>
      </c>
      <c r="Z777" s="96">
        <f t="shared" si="451"/>
        <v>0</v>
      </c>
      <c r="AA777" s="96">
        <f t="shared" si="451"/>
        <v>0</v>
      </c>
      <c r="AB777" s="96">
        <f t="shared" si="451"/>
        <v>0</v>
      </c>
      <c r="AC777" s="96">
        <f t="shared" si="451"/>
        <v>0</v>
      </c>
      <c r="AD777" s="96">
        <f t="shared" si="451"/>
        <v>0</v>
      </c>
    </row>
    <row r="778" spans="1:30" ht="12.75" customHeight="1" x14ac:dyDescent="0.2">
      <c r="F778" s="338" t="str">
        <f>"Subtotal: "&amp;E307</f>
        <v>Subtotal: Objetivo estratégico 10: [No está en uso]</v>
      </c>
      <c r="G778" s="333"/>
      <c r="H778" s="357">
        <f t="shared" ref="H778:AD778" si="452">H701/EXCHANGE_RATE</f>
        <v>0</v>
      </c>
      <c r="I778" s="358">
        <f t="shared" si="452"/>
        <v>0</v>
      </c>
      <c r="J778" s="358">
        <f t="shared" si="452"/>
        <v>0</v>
      </c>
      <c r="K778" s="370">
        <f t="shared" si="452"/>
        <v>0</v>
      </c>
      <c r="L778" s="370">
        <f t="shared" si="452"/>
        <v>0</v>
      </c>
      <c r="M778" s="370">
        <f t="shared" si="452"/>
        <v>0</v>
      </c>
      <c r="N778" s="370">
        <f t="shared" si="452"/>
        <v>0</v>
      </c>
      <c r="O778" s="370">
        <f t="shared" si="452"/>
        <v>0</v>
      </c>
      <c r="P778" s="370">
        <f t="shared" si="452"/>
        <v>0</v>
      </c>
      <c r="Q778" s="370">
        <f t="shared" si="452"/>
        <v>0</v>
      </c>
      <c r="R778" s="370">
        <f t="shared" si="452"/>
        <v>0</v>
      </c>
      <c r="S778" s="370">
        <f t="shared" si="452"/>
        <v>0</v>
      </c>
      <c r="T778" s="370">
        <f t="shared" si="452"/>
        <v>0</v>
      </c>
      <c r="U778" s="337">
        <f t="shared" si="452"/>
        <v>0</v>
      </c>
      <c r="V778" s="337">
        <f t="shared" si="452"/>
        <v>0</v>
      </c>
      <c r="W778" s="337">
        <f t="shared" si="452"/>
        <v>0</v>
      </c>
      <c r="X778" s="337">
        <f t="shared" si="452"/>
        <v>0</v>
      </c>
      <c r="Y778" s="337">
        <f t="shared" si="452"/>
        <v>0</v>
      </c>
      <c r="Z778" s="337">
        <f t="shared" si="452"/>
        <v>0</v>
      </c>
      <c r="AA778" s="337">
        <f t="shared" si="452"/>
        <v>0</v>
      </c>
      <c r="AB778" s="337">
        <f t="shared" si="452"/>
        <v>0</v>
      </c>
      <c r="AC778" s="337">
        <f t="shared" si="452"/>
        <v>0</v>
      </c>
      <c r="AD778" s="337">
        <f t="shared" si="452"/>
        <v>0</v>
      </c>
    </row>
    <row r="779" spans="1:30" ht="12" x14ac:dyDescent="0.2">
      <c r="F779" s="142" t="str">
        <f>"Total "&amp;" ("&amp;E240&amp;")"</f>
        <v>Total  (USD)</v>
      </c>
      <c r="G779" s="142"/>
      <c r="H779" s="360">
        <f t="shared" ref="H779:AD779" si="453">H702/EXCHANGE_RATE</f>
        <v>89724690.317691013</v>
      </c>
      <c r="I779" s="360">
        <f t="shared" si="453"/>
        <v>61725862.849359751</v>
      </c>
      <c r="J779" s="361">
        <f t="shared" si="453"/>
        <v>27998827.468331248</v>
      </c>
      <c r="K779" s="371">
        <f t="shared" si="453"/>
        <v>2374731.166675</v>
      </c>
      <c r="L779" s="371">
        <f t="shared" si="453"/>
        <v>272464.74191875005</v>
      </c>
      <c r="M779" s="371">
        <f t="shared" si="453"/>
        <v>715000</v>
      </c>
      <c r="N779" s="371">
        <f t="shared" si="453"/>
        <v>76537.262124999994</v>
      </c>
      <c r="O779" s="371">
        <f t="shared" si="453"/>
        <v>32927.408300000003</v>
      </c>
      <c r="P779" s="371">
        <f t="shared" si="453"/>
        <v>11572039.857362499</v>
      </c>
      <c r="Q779" s="371">
        <f t="shared" si="453"/>
        <v>1441271.5733</v>
      </c>
      <c r="R779" s="371">
        <f t="shared" si="453"/>
        <v>70855.45865</v>
      </c>
      <c r="S779" s="371">
        <f t="shared" si="453"/>
        <v>0</v>
      </c>
      <c r="T779" s="371">
        <f t="shared" si="453"/>
        <v>0</v>
      </c>
      <c r="U779" s="371">
        <f t="shared" si="453"/>
        <v>7608000</v>
      </c>
      <c r="V779" s="371">
        <f t="shared" si="453"/>
        <v>10000</v>
      </c>
      <c r="W779" s="371">
        <f t="shared" si="453"/>
        <v>0</v>
      </c>
      <c r="X779" s="371">
        <f t="shared" si="453"/>
        <v>0</v>
      </c>
      <c r="Y779" s="371">
        <f t="shared" si="453"/>
        <v>3825000</v>
      </c>
      <c r="Z779" s="371">
        <f t="shared" si="453"/>
        <v>0</v>
      </c>
      <c r="AA779" s="371">
        <f t="shared" si="453"/>
        <v>0</v>
      </c>
      <c r="AB779" s="371">
        <f t="shared" si="453"/>
        <v>0</v>
      </c>
      <c r="AC779" s="371">
        <f t="shared" si="453"/>
        <v>0</v>
      </c>
      <c r="AD779" s="371">
        <f t="shared" si="453"/>
        <v>0</v>
      </c>
    </row>
    <row r="781" spans="1:30" s="1" customFormat="1" ht="17.399999999999999" x14ac:dyDescent="0.2">
      <c r="A781" s="35" t="s">
        <v>77</v>
      </c>
      <c r="B781" s="1" t="str">
        <f>"Detailed Report of Financial Requirements, Financing Available (by Contributor), and Financial Gap -"&amp;Ts_First_Fin_Yr+4</f>
        <v>Detailed Report of Financial Requirements, Financing Available (by Contributor), and Financial Gap -2023</v>
      </c>
      <c r="E781" s="304"/>
      <c r="F781" s="99"/>
      <c r="G781" s="99"/>
    </row>
    <row r="783" spans="1:30" ht="17.399999999999999" x14ac:dyDescent="0.2">
      <c r="E783" s="305" t="str">
        <f>CURR_LCU_ABBR</f>
        <v>GOZ</v>
      </c>
    </row>
    <row r="785" spans="5:30" ht="84" x14ac:dyDescent="0.2">
      <c r="E785" s="303" t="s">
        <v>140</v>
      </c>
      <c r="F785" s="10"/>
      <c r="G785" s="302" t="s">
        <v>482</v>
      </c>
      <c r="H785" s="340" t="s">
        <v>143</v>
      </c>
      <c r="I785" s="341" t="s">
        <v>565</v>
      </c>
      <c r="J785" s="342" t="s">
        <v>141</v>
      </c>
      <c r="K785" s="339" t="str">
        <f>Government1</f>
        <v>Ministerio de Agricultura y Ganadería</v>
      </c>
      <c r="L785" s="339" t="str">
        <f>Government2</f>
        <v>Ministerio de Energía y Minas</v>
      </c>
      <c r="M785" s="339" t="str">
        <f>Government3</f>
        <v>Ministerio de Educación Nacional, de Educación Superior e Investigación Científica</v>
      </c>
      <c r="N785" s="339" t="str">
        <f>Government4</f>
        <v>Ministerio de Medioambiente</v>
      </c>
      <c r="O785" s="339" t="str">
        <f>Government5</f>
        <v>Ministerio de Servicio Público</v>
      </c>
      <c r="P785" s="339" t="str">
        <f>Government6</f>
        <v>Ministerio de Salud Pública y Lucha contra el SIDA</v>
      </c>
      <c r="Q785" s="339" t="str">
        <f>Government7</f>
        <v xml:space="preserve">Ministerio de Derechos Humanos, Asuntos Sociales y Género </v>
      </c>
      <c r="R785" s="339" t="str">
        <f>Government8</f>
        <v>Ministerio de Desarrollo Municipal</v>
      </c>
      <c r="S785" s="339" t="str">
        <f>Government9</f>
        <v>[No está en uso]</v>
      </c>
      <c r="T785" s="339" t="str">
        <f>Government10</f>
        <v>[No está en uso]</v>
      </c>
      <c r="U785" s="97" t="str">
        <f>Partner1</f>
        <v>UNICEF</v>
      </c>
      <c r="V785" s="97" t="str">
        <f>Partner2</f>
        <v>Organización Mundial de la Salud</v>
      </c>
      <c r="W785" s="97" t="str">
        <f>Partner3</f>
        <v>Banco Mundial</v>
      </c>
      <c r="X785" s="97" t="str">
        <f>Partner4</f>
        <v>Organización de las Naciones Unidas para la Alimentación y la Agricultura</v>
      </c>
      <c r="Y785" s="97" t="str">
        <f>Partner5</f>
        <v>Programa Mundial de Alimentos</v>
      </c>
      <c r="Z785" s="97" t="str">
        <f>Partner6</f>
        <v>[No está en uso]</v>
      </c>
      <c r="AA785" s="97" t="str">
        <f>Partner7</f>
        <v>[No está en uso]</v>
      </c>
      <c r="AB785" s="97" t="str">
        <f>Partner8</f>
        <v>[No está en uso]</v>
      </c>
      <c r="AC785" s="97" t="str">
        <f>Partner9</f>
        <v>[No está en uso]</v>
      </c>
      <c r="AD785" s="97" t="str">
        <f>Partner10</f>
        <v>[No está en uso]</v>
      </c>
    </row>
    <row r="786" spans="5:30" x14ac:dyDescent="0.2">
      <c r="H786" s="372"/>
      <c r="I786" s="372"/>
      <c r="J786" s="372"/>
    </row>
    <row r="787" spans="5:30" ht="12" x14ac:dyDescent="0.2">
      <c r="E787" s="301" t="str">
        <f>Strategy1</f>
        <v>Objetivo estratégico 1: Fortalecer la gobernanza de la nutrición</v>
      </c>
      <c r="H787" s="343"/>
      <c r="I787" s="344"/>
      <c r="J787" s="345"/>
      <c r="K787" s="368"/>
      <c r="L787" s="368"/>
      <c r="M787" s="368"/>
      <c r="N787" s="368"/>
      <c r="O787" s="368"/>
      <c r="P787" s="368"/>
      <c r="Q787" s="368"/>
      <c r="R787" s="368"/>
      <c r="S787" s="368"/>
      <c r="T787" s="368"/>
      <c r="U787" s="179"/>
      <c r="V787" s="179"/>
      <c r="W787" s="179"/>
      <c r="X787" s="179"/>
      <c r="Y787" s="179"/>
      <c r="Z787" s="179"/>
      <c r="AA787" s="179"/>
      <c r="AB787" s="179"/>
      <c r="AC787" s="179"/>
      <c r="AD787" s="179"/>
    </row>
    <row r="788" spans="5:30" ht="12" x14ac:dyDescent="0.2">
      <c r="F788" s="94" t="str">
        <f>STRAT1_IND1</f>
        <v>Se refuerza la coordinación multisectorial en materia de nutrición</v>
      </c>
      <c r="G788" s="94" t="str">
        <f ca="1">OFFSET(Variables_Lu!$D$10,Basic_Setup!H34,0)</f>
        <v>Governance</v>
      </c>
      <c r="H788" s="346">
        <f>'Financial Req'!$N20</f>
        <v>526576475</v>
      </c>
      <c r="I788" s="347">
        <f>H788-J788</f>
        <v>236016279.22280151</v>
      </c>
      <c r="J788" s="345">
        <f>SUM(K788:AD788)</f>
        <v>290560195.77719849</v>
      </c>
      <c r="K788" s="365">
        <f>Government1!$N20</f>
        <v>1709806.440006</v>
      </c>
      <c r="L788" s="365">
        <f>Government2!$N20</f>
        <v>196174.61418150002</v>
      </c>
      <c r="M788" s="365">
        <f>Government3!$N20</f>
        <v>514800</v>
      </c>
      <c r="N788" s="365">
        <f>Government4!$N20</f>
        <v>55106.828730000001</v>
      </c>
      <c r="O788" s="365">
        <f>Government5!$N20</f>
        <v>23707.733976</v>
      </c>
      <c r="P788" s="365">
        <f>Government6!$N20</f>
        <v>8331868.6973009994</v>
      </c>
      <c r="Q788" s="365">
        <f>Government7!$N20</f>
        <v>1037715.5327760001</v>
      </c>
      <c r="R788" s="365">
        <f>Government8!$N20</f>
        <v>51015.930227999997</v>
      </c>
      <c r="S788" s="365">
        <f>Government9!$N20</f>
        <v>0</v>
      </c>
      <c r="T788" s="365">
        <f>Government10!$N20</f>
        <v>0</v>
      </c>
      <c r="U788" s="179">
        <f>Partner1!$N91</f>
        <v>8640000</v>
      </c>
      <c r="V788" s="179">
        <f>Partner2!$N91</f>
        <v>0</v>
      </c>
      <c r="W788" s="179">
        <f>Partner3!$N91</f>
        <v>0</v>
      </c>
      <c r="X788" s="179">
        <f>Partner4!$N91</f>
        <v>0</v>
      </c>
      <c r="Y788" s="179">
        <f>Partner5!$N91</f>
        <v>270000000</v>
      </c>
      <c r="Z788" s="179">
        <f>Partner6!$N91</f>
        <v>0</v>
      </c>
      <c r="AA788" s="179">
        <f>Partner7!$N91</f>
        <v>0</v>
      </c>
      <c r="AB788" s="179">
        <f>Partner8!$N91</f>
        <v>0</v>
      </c>
      <c r="AC788" s="179">
        <f>Partner9!$N91</f>
        <v>0</v>
      </c>
      <c r="AD788" s="179">
        <f>Partner10!$N91</f>
        <v>0</v>
      </c>
    </row>
    <row r="789" spans="5:30" ht="22.8" x14ac:dyDescent="0.2">
      <c r="F789" s="94" t="str">
        <f>STRAT1_IND2</f>
        <v>Está en funcionamiento el sistema multisectorial de información sobre nutrición para la adopción de decisiones eficaces.</v>
      </c>
      <c r="G789" s="94" t="str">
        <f ca="1">OFFSET(Variables_Lu!$D$10,Basic_Setup!H35,0)</f>
        <v>Governance</v>
      </c>
      <c r="H789" s="346">
        <f>'Financial Req'!$N21</f>
        <v>526576475</v>
      </c>
      <c r="I789" s="347">
        <f>H789-J789</f>
        <v>513216279.22280151</v>
      </c>
      <c r="J789" s="345">
        <f>SUM(K789:AD789)</f>
        <v>13360195.777198501</v>
      </c>
      <c r="K789" s="365">
        <f>Government1!$N21</f>
        <v>1709806.440006</v>
      </c>
      <c r="L789" s="365">
        <f>Government2!$N21</f>
        <v>196174.61418150002</v>
      </c>
      <c r="M789" s="365">
        <f>Government3!$N21</f>
        <v>514800</v>
      </c>
      <c r="N789" s="365">
        <f>Government4!$N21</f>
        <v>55106.828730000001</v>
      </c>
      <c r="O789" s="365">
        <f>Government5!$N21</f>
        <v>23707.733976</v>
      </c>
      <c r="P789" s="365">
        <f>Government6!$N21</f>
        <v>8331868.6973009994</v>
      </c>
      <c r="Q789" s="365">
        <f>Government7!$N21</f>
        <v>1037715.5327760001</v>
      </c>
      <c r="R789" s="365">
        <f>Government8!$N21</f>
        <v>51015.930227999997</v>
      </c>
      <c r="S789" s="365">
        <f>Government9!$N21</f>
        <v>0</v>
      </c>
      <c r="T789" s="365">
        <f>Government10!$N21</f>
        <v>0</v>
      </c>
      <c r="U789" s="179">
        <f>Partner1!$N92</f>
        <v>1440000</v>
      </c>
      <c r="V789" s="179">
        <f>Partner2!$N92</f>
        <v>0</v>
      </c>
      <c r="W789" s="179">
        <f>Partner3!$N92</f>
        <v>0</v>
      </c>
      <c r="X789" s="179">
        <f>Partner4!$N92</f>
        <v>0</v>
      </c>
      <c r="Y789" s="179">
        <f>Partner5!$N92</f>
        <v>0</v>
      </c>
      <c r="Z789" s="179">
        <f>Partner6!$N92</f>
        <v>0</v>
      </c>
      <c r="AA789" s="179">
        <f>Partner7!$N92</f>
        <v>0</v>
      </c>
      <c r="AB789" s="179">
        <f>Partner8!$N92</f>
        <v>0</v>
      </c>
      <c r="AC789" s="179">
        <f>Partner9!$N92</f>
        <v>0</v>
      </c>
      <c r="AD789" s="179">
        <f>Partner10!$N92</f>
        <v>0</v>
      </c>
    </row>
    <row r="790" spans="5:30" ht="22.8" x14ac:dyDescent="0.2">
      <c r="F790" s="94" t="str">
        <f>STRAT1_IND3</f>
        <v>La investigación en nutrición se utiliza para aclarar que la toma de decisiones se mejora y se refuerza.</v>
      </c>
      <c r="G790" s="94" t="str">
        <f ca="1">OFFSET(Variables_Lu!$D$10,Basic_Setup!H36,0)</f>
        <v>Governance</v>
      </c>
      <c r="H790" s="346">
        <f>'Financial Req'!$N22</f>
        <v>526576475</v>
      </c>
      <c r="I790" s="347">
        <f>H790-J790</f>
        <v>511776279.22280151</v>
      </c>
      <c r="J790" s="345">
        <f>SUM(K790:AD790)</f>
        <v>14800195.777198501</v>
      </c>
      <c r="K790" s="365">
        <f>Government1!$N22</f>
        <v>1709806.440006</v>
      </c>
      <c r="L790" s="365">
        <f>Government2!$N22</f>
        <v>196174.61418150002</v>
      </c>
      <c r="M790" s="365">
        <f>Government3!$N22</f>
        <v>514800</v>
      </c>
      <c r="N790" s="365">
        <f>Government4!$N22</f>
        <v>55106.828730000001</v>
      </c>
      <c r="O790" s="365">
        <f>Government5!$N22</f>
        <v>23707.733976</v>
      </c>
      <c r="P790" s="365">
        <f>Government6!$N22</f>
        <v>8331868.6973009994</v>
      </c>
      <c r="Q790" s="365">
        <f>Government7!$N22</f>
        <v>1037715.5327760001</v>
      </c>
      <c r="R790" s="365">
        <f>Government8!$N22</f>
        <v>51015.930227999997</v>
      </c>
      <c r="S790" s="365">
        <f>Government9!$N22</f>
        <v>0</v>
      </c>
      <c r="T790" s="365">
        <f>Government10!$N22</f>
        <v>0</v>
      </c>
      <c r="U790" s="179">
        <f>Partner1!$N93</f>
        <v>2880000</v>
      </c>
      <c r="V790" s="179">
        <f>Partner2!$N93</f>
        <v>0</v>
      </c>
      <c r="W790" s="179">
        <f>Partner3!$N93</f>
        <v>0</v>
      </c>
      <c r="X790" s="179">
        <f>Partner4!$N93</f>
        <v>0</v>
      </c>
      <c r="Y790" s="179">
        <f>Partner5!$N93</f>
        <v>0</v>
      </c>
      <c r="Z790" s="179">
        <f>Partner6!$N93</f>
        <v>0</v>
      </c>
      <c r="AA790" s="179">
        <f>Partner7!$N93</f>
        <v>0</v>
      </c>
      <c r="AB790" s="179">
        <f>Partner8!$N93</f>
        <v>0</v>
      </c>
      <c r="AC790" s="179">
        <f>Partner9!$N93</f>
        <v>0</v>
      </c>
      <c r="AD790" s="179">
        <f>Partner10!$N93</f>
        <v>0</v>
      </c>
    </row>
    <row r="791" spans="5:30" ht="22.8" x14ac:dyDescent="0.2">
      <c r="F791" s="94" t="str">
        <f>STRAT1_IND4</f>
        <v>El marco legislativo y reglamentario de la nutrición se ha fortalecido y está en funcionamiento.</v>
      </c>
      <c r="G791" s="94" t="str">
        <f ca="1">OFFSET(Variables_Lu!$D$10,Basic_Setup!H37,0)</f>
        <v>Governance</v>
      </c>
      <c r="H791" s="346">
        <f>'Financial Req'!$N23</f>
        <v>526576475</v>
      </c>
      <c r="I791" s="347">
        <f>H791-J791</f>
        <v>513216279.22280151</v>
      </c>
      <c r="J791" s="345">
        <f>SUM(K791:AD791)</f>
        <v>13360195.777198501</v>
      </c>
      <c r="K791" s="365">
        <f>Government1!$N23</f>
        <v>1709806.440006</v>
      </c>
      <c r="L791" s="365">
        <f>Government2!$N23</f>
        <v>196174.61418150002</v>
      </c>
      <c r="M791" s="365">
        <f>Government3!$N23</f>
        <v>514800</v>
      </c>
      <c r="N791" s="365">
        <f>Government4!$N23</f>
        <v>55106.828730000001</v>
      </c>
      <c r="O791" s="365">
        <f>Government5!$N23</f>
        <v>23707.733976</v>
      </c>
      <c r="P791" s="365">
        <f>Government6!$N23</f>
        <v>8331868.6973009994</v>
      </c>
      <c r="Q791" s="365">
        <f>Government7!$N23</f>
        <v>1037715.5327760001</v>
      </c>
      <c r="R791" s="365">
        <f>Government8!$N23</f>
        <v>51015.930227999997</v>
      </c>
      <c r="S791" s="365">
        <f>Government9!$N23</f>
        <v>0</v>
      </c>
      <c r="T791" s="365">
        <f>Government10!$N23</f>
        <v>0</v>
      </c>
      <c r="U791" s="179">
        <f>Partner1!$N94</f>
        <v>1440000</v>
      </c>
      <c r="V791" s="179">
        <f>Partner2!$N94</f>
        <v>0</v>
      </c>
      <c r="W791" s="179">
        <f>Partner3!$N94</f>
        <v>0</v>
      </c>
      <c r="X791" s="179">
        <f>Partner4!$N94</f>
        <v>0</v>
      </c>
      <c r="Y791" s="179">
        <f>Partner5!$N94</f>
        <v>0</v>
      </c>
      <c r="Z791" s="179">
        <f>Partner6!$N94</f>
        <v>0</v>
      </c>
      <c r="AA791" s="179">
        <f>Partner7!$N94</f>
        <v>0</v>
      </c>
      <c r="AB791" s="179">
        <f>Partner8!$N94</f>
        <v>0</v>
      </c>
      <c r="AC791" s="179">
        <f>Partner9!$N94</f>
        <v>0</v>
      </c>
      <c r="AD791" s="179">
        <f>Partner10!$N94</f>
        <v>0</v>
      </c>
    </row>
    <row r="792" spans="5:30" ht="12" x14ac:dyDescent="0.2">
      <c r="F792" s="94" t="str">
        <f>STRAT1_IND5</f>
        <v>Objetivo estratégico 1 Indicador 5</v>
      </c>
      <c r="G792" s="94" t="str">
        <f ca="1">OFFSET(Variables_Lu!$D$10,Basic_Setup!H38,0)</f>
        <v>Governance</v>
      </c>
      <c r="H792" s="346">
        <f>'Financial Req'!$N24</f>
        <v>0</v>
      </c>
      <c r="I792" s="347">
        <f>H792-J792</f>
        <v>0</v>
      </c>
      <c r="J792" s="345">
        <f>SUM(K792:AD792)</f>
        <v>0</v>
      </c>
      <c r="K792" s="365">
        <f>Government1!$N24</f>
        <v>0</v>
      </c>
      <c r="L792" s="365">
        <f>Government2!$N24</f>
        <v>0</v>
      </c>
      <c r="M792" s="365">
        <f>Government3!$N24</f>
        <v>0</v>
      </c>
      <c r="N792" s="365">
        <f>Government4!$N24</f>
        <v>0</v>
      </c>
      <c r="O792" s="365">
        <f>Government5!$N24</f>
        <v>0</v>
      </c>
      <c r="P792" s="365">
        <f>Government6!$N24</f>
        <v>0</v>
      </c>
      <c r="Q792" s="365">
        <f>Government7!$N24</f>
        <v>0</v>
      </c>
      <c r="R792" s="365">
        <f>Government8!$N24</f>
        <v>0</v>
      </c>
      <c r="S792" s="365">
        <f>Government9!$N24</f>
        <v>0</v>
      </c>
      <c r="T792" s="365">
        <f>Government10!$N24</f>
        <v>0</v>
      </c>
      <c r="U792" s="179">
        <f>Partner1!$N95</f>
        <v>0</v>
      </c>
      <c r="V792" s="179">
        <f>Partner2!$N95</f>
        <v>0</v>
      </c>
      <c r="W792" s="179">
        <f>Partner3!$N95</f>
        <v>0</v>
      </c>
      <c r="X792" s="179">
        <f>Partner4!$N95</f>
        <v>0</v>
      </c>
      <c r="Y792" s="179">
        <f>Partner5!$N95</f>
        <v>0</v>
      </c>
      <c r="Z792" s="179">
        <f>Partner6!$N95</f>
        <v>0</v>
      </c>
      <c r="AA792" s="179">
        <f>Partner7!$N95</f>
        <v>0</v>
      </c>
      <c r="AB792" s="179">
        <f>Partner8!$N95</f>
        <v>0</v>
      </c>
      <c r="AC792" s="179">
        <f>Partner9!$N95</f>
        <v>0</v>
      </c>
      <c r="AD792" s="179">
        <f>Partner10!$N95</f>
        <v>0</v>
      </c>
    </row>
    <row r="793" spans="5:30" ht="22.8" x14ac:dyDescent="0.2">
      <c r="F793" s="332" t="str">
        <f>"Subtotal: "&amp;E167</f>
        <v>Subtotal: Objetivo estratégico 1: Fortalecer la gobernanza de la nutrición</v>
      </c>
      <c r="G793" s="333"/>
      <c r="H793" s="348">
        <f>'Financial Req'!$N25</f>
        <v>2106305900</v>
      </c>
      <c r="I793" s="349">
        <f>SUM(I788:I792)</f>
        <v>1774225116.891206</v>
      </c>
      <c r="J793" s="350">
        <f>SUM(J788:J792)</f>
        <v>332080783.10879397</v>
      </c>
      <c r="K793" s="366">
        <f>Government1!$N25</f>
        <v>6839225.760024</v>
      </c>
      <c r="L793" s="366">
        <f>Government2!$N25</f>
        <v>784698.45672600006</v>
      </c>
      <c r="M793" s="366">
        <f>Government3!$N25</f>
        <v>2059200</v>
      </c>
      <c r="N793" s="366">
        <f>Government4!$N25</f>
        <v>220427.31492</v>
      </c>
      <c r="O793" s="366">
        <f>Government5!$N25</f>
        <v>94830.935903999998</v>
      </c>
      <c r="P793" s="366">
        <f>Government6!$N25</f>
        <v>33327474.789203998</v>
      </c>
      <c r="Q793" s="366">
        <f>Government7!$N25</f>
        <v>4150862.1311040004</v>
      </c>
      <c r="R793" s="366">
        <f>Government8!$N25</f>
        <v>204063.72091199999</v>
      </c>
      <c r="S793" s="366">
        <f>Government9!$N25</f>
        <v>0</v>
      </c>
      <c r="T793" s="366">
        <f>Government10!$N25</f>
        <v>0</v>
      </c>
      <c r="U793" s="331">
        <f>Partner1!$N96</f>
        <v>14400000</v>
      </c>
      <c r="V793" s="331">
        <f>Partner2!$N96</f>
        <v>0</v>
      </c>
      <c r="W793" s="331">
        <f>Partner3!$N96</f>
        <v>0</v>
      </c>
      <c r="X793" s="331">
        <f>Partner4!$N96</f>
        <v>0</v>
      </c>
      <c r="Y793" s="331">
        <f>Partner5!$N96</f>
        <v>270000000</v>
      </c>
      <c r="Z793" s="331">
        <f>Partner6!$N96</f>
        <v>0</v>
      </c>
      <c r="AA793" s="331">
        <f>Partner7!$N96</f>
        <v>0</v>
      </c>
      <c r="AB793" s="331">
        <f>Partner8!$N96</f>
        <v>0</v>
      </c>
      <c r="AC793" s="331">
        <f>Partner9!$N96</f>
        <v>0</v>
      </c>
      <c r="AD793" s="331">
        <f>Partner10!$N96</f>
        <v>0</v>
      </c>
    </row>
    <row r="794" spans="5:30" ht="12" x14ac:dyDescent="0.2">
      <c r="E794" s="301" t="str">
        <f>Strategy2</f>
        <v>Objetivo estratégico 2: Fortalecer el acceso al tratamiento y a los servicios de salud y nutrición de calidad, así como al tratamiento de todas las formas de malnutrición</v>
      </c>
      <c r="G794" s="94"/>
      <c r="H794" s="343"/>
      <c r="I794" s="344"/>
      <c r="J794" s="345"/>
      <c r="K794" s="365"/>
      <c r="L794" s="365"/>
      <c r="M794" s="365"/>
      <c r="N794" s="365"/>
      <c r="O794" s="365"/>
      <c r="P794" s="365"/>
      <c r="Q794" s="365"/>
      <c r="R794" s="365"/>
      <c r="S794" s="365"/>
      <c r="T794" s="365"/>
      <c r="U794" s="179"/>
      <c r="V794" s="179"/>
      <c r="W794" s="179"/>
      <c r="X794" s="179"/>
      <c r="Y794" s="179"/>
      <c r="Z794" s="179"/>
      <c r="AA794" s="179"/>
      <c r="AB794" s="179"/>
      <c r="AC794" s="179"/>
      <c r="AD794" s="179"/>
    </row>
    <row r="795" spans="5:30" ht="34.200000000000003" x14ac:dyDescent="0.2">
      <c r="F795" s="94" t="str">
        <f>STRAT2_IND1</f>
        <v>Se fortalece el acceso y la utilización sostenible de los servicios de salud y nutrición para los niños menores de 5 años, los adolescentes, las mujeres embarazadas y lactantes, y los demás grupos vulnerables</v>
      </c>
      <c r="G795" s="94" t="str">
        <f ca="1">OFFSET(Variables_Lu!$D$10,Basic_Setup!H40,0)</f>
        <v>Nutrition-specific</v>
      </c>
      <c r="H795" s="346">
        <f>'Financial Req'!$N26</f>
        <v>8001344896.6750002</v>
      </c>
      <c r="I795" s="347">
        <f>H795-J795</f>
        <v>-729432129.8684206</v>
      </c>
      <c r="J795" s="345">
        <f>SUM(K795:AD795)</f>
        <v>8730777026.5434208</v>
      </c>
      <c r="K795" s="365">
        <f>Government1!$N26</f>
        <v>90477257.450317502</v>
      </c>
      <c r="L795" s="365">
        <f>Government2!$N26</f>
        <v>10380906.667104376</v>
      </c>
      <c r="M795" s="365">
        <f>Government3!$N26</f>
        <v>27241500</v>
      </c>
      <c r="N795" s="365">
        <f>Government4!$N26</f>
        <v>2916069.6869624997</v>
      </c>
      <c r="O795" s="365">
        <f>Government5!$N26</f>
        <v>1254534.2562299999</v>
      </c>
      <c r="P795" s="365">
        <f>Government6!$N26</f>
        <v>440894718.56551123</v>
      </c>
      <c r="Q795" s="365">
        <f>Government7!$N26</f>
        <v>54912446.942730002</v>
      </c>
      <c r="R795" s="365">
        <f>Government8!$N26</f>
        <v>2699592.9745649998</v>
      </c>
      <c r="S795" s="365">
        <f>Government9!$N26</f>
        <v>0</v>
      </c>
      <c r="T795" s="365">
        <f>Government10!$N26</f>
        <v>0</v>
      </c>
      <c r="U795" s="179">
        <f>Partner1!$N97</f>
        <v>5400000000</v>
      </c>
      <c r="V795" s="179">
        <f>Partner2!$N97</f>
        <v>0</v>
      </c>
      <c r="W795" s="179">
        <f>Partner3!$N97</f>
        <v>0</v>
      </c>
      <c r="X795" s="179">
        <f>Partner4!$N97</f>
        <v>0</v>
      </c>
      <c r="Y795" s="179">
        <f>Partner5!$N97</f>
        <v>2700000000</v>
      </c>
      <c r="Z795" s="179">
        <f>Partner6!$N97</f>
        <v>0</v>
      </c>
      <c r="AA795" s="179">
        <f>Partner7!$N97</f>
        <v>0</v>
      </c>
      <c r="AB795" s="179">
        <f>Partner8!$N97</f>
        <v>0</v>
      </c>
      <c r="AC795" s="179">
        <f>Partner9!$N97</f>
        <v>0</v>
      </c>
      <c r="AD795" s="179">
        <f>Partner10!$N97</f>
        <v>0</v>
      </c>
    </row>
    <row r="796" spans="5:30" ht="45.6" x14ac:dyDescent="0.2">
      <c r="F796" s="94" t="str">
        <f>STRAT2_IND2</f>
        <v xml:space="preserve">Se reduce la prevalencia de enfermedades relacionadas con la prevalencia de la malnutrición (paludismo, diarrea, neumonía, parásitos intestinales, VIH, TNM) en lactantes, adolescentes y mujeres en edad reproductiva. </v>
      </c>
      <c r="G796" s="94" t="str">
        <f ca="1">OFFSET(Variables_Lu!$D$10,Basic_Setup!H41,0)</f>
        <v>Nutrition-sensitive</v>
      </c>
      <c r="H796" s="346">
        <f>'Financial Req'!$N27</f>
        <v>8001344896.6750002</v>
      </c>
      <c r="I796" s="347">
        <f>H796-J796</f>
        <v>6470567870.1315794</v>
      </c>
      <c r="J796" s="345">
        <f>SUM(K796:AD796)</f>
        <v>1530777026.5434206</v>
      </c>
      <c r="K796" s="365">
        <f>Government1!$N27</f>
        <v>90477257.450317502</v>
      </c>
      <c r="L796" s="365">
        <f>Government2!$N27</f>
        <v>10380906.667104376</v>
      </c>
      <c r="M796" s="365">
        <f>Government3!$N27</f>
        <v>27241500</v>
      </c>
      <c r="N796" s="365">
        <f>Government4!$N27</f>
        <v>2916069.6869624997</v>
      </c>
      <c r="O796" s="365">
        <f>Government5!$N27</f>
        <v>1254534.2562299999</v>
      </c>
      <c r="P796" s="365">
        <f>Government6!$N27</f>
        <v>440894718.56551123</v>
      </c>
      <c r="Q796" s="365">
        <f>Government7!$N27</f>
        <v>54912446.942730002</v>
      </c>
      <c r="R796" s="365">
        <f>Government8!$N27</f>
        <v>2699592.9745649998</v>
      </c>
      <c r="S796" s="365">
        <f>Government9!$N27</f>
        <v>0</v>
      </c>
      <c r="T796" s="365">
        <f>Government10!$N27</f>
        <v>0</v>
      </c>
      <c r="U796" s="179">
        <f>Partner1!$N98</f>
        <v>900000000</v>
      </c>
      <c r="V796" s="179">
        <f>Partner2!$N98</f>
        <v>0</v>
      </c>
      <c r="W796" s="179">
        <f>Partner3!$N98</f>
        <v>0</v>
      </c>
      <c r="X796" s="179">
        <f>Partner4!$N98</f>
        <v>0</v>
      </c>
      <c r="Y796" s="179">
        <f>Partner5!$N98</f>
        <v>0</v>
      </c>
      <c r="Z796" s="179">
        <f>Partner6!$N98</f>
        <v>0</v>
      </c>
      <c r="AA796" s="179">
        <f>Partner7!$N98</f>
        <v>0</v>
      </c>
      <c r="AB796" s="179">
        <f>Partner8!$N98</f>
        <v>0</v>
      </c>
      <c r="AC796" s="179">
        <f>Partner9!$N98</f>
        <v>0</v>
      </c>
      <c r="AD796" s="179">
        <f>Partner10!$N98</f>
        <v>0</v>
      </c>
    </row>
    <row r="797" spans="5:30" ht="12" x14ac:dyDescent="0.2">
      <c r="F797" s="94" t="str">
        <f>STRAT2_IND3</f>
        <v>Se refuerzan las intervenciones comunitarias en materia de nutrición.</v>
      </c>
      <c r="G797" s="94" t="str">
        <f ca="1">OFFSET(Variables_Lu!$D$10,Basic_Setup!H42,0)</f>
        <v>Nutrition-specific</v>
      </c>
      <c r="H797" s="346">
        <f>'Financial Req'!$N28</f>
        <v>8001344896.6750002</v>
      </c>
      <c r="I797" s="347">
        <f>H797-J797</f>
        <v>5030567870.1315794</v>
      </c>
      <c r="J797" s="345">
        <f>SUM(K797:AD797)</f>
        <v>2970777026.5434208</v>
      </c>
      <c r="K797" s="365">
        <f>Government1!$N28</f>
        <v>90477257.450317502</v>
      </c>
      <c r="L797" s="365">
        <f>Government2!$N28</f>
        <v>10380906.667104376</v>
      </c>
      <c r="M797" s="365">
        <f>Government3!$N28</f>
        <v>27241500</v>
      </c>
      <c r="N797" s="365">
        <f>Government4!$N28</f>
        <v>2916069.6869624997</v>
      </c>
      <c r="O797" s="365">
        <f>Government5!$N28</f>
        <v>1254534.2562299999</v>
      </c>
      <c r="P797" s="365">
        <f>Government6!$N28</f>
        <v>440894718.56551123</v>
      </c>
      <c r="Q797" s="365">
        <f>Government7!$N28</f>
        <v>54912446.942730002</v>
      </c>
      <c r="R797" s="365">
        <f>Government8!$N28</f>
        <v>2699592.9745649998</v>
      </c>
      <c r="S797" s="365">
        <f>Government9!$N28</f>
        <v>0</v>
      </c>
      <c r="T797" s="365">
        <f>Government10!$N28</f>
        <v>0</v>
      </c>
      <c r="U797" s="179">
        <f>Partner1!$N99</f>
        <v>2340000000</v>
      </c>
      <c r="V797" s="179">
        <f>Partner2!$N99</f>
        <v>0</v>
      </c>
      <c r="W797" s="179">
        <f>Partner3!$N99</f>
        <v>0</v>
      </c>
      <c r="X797" s="179">
        <f>Partner4!$N99</f>
        <v>0</v>
      </c>
      <c r="Y797" s="179">
        <f>Partner5!$N99</f>
        <v>0</v>
      </c>
      <c r="Z797" s="179">
        <f>Partner6!$N99</f>
        <v>0</v>
      </c>
      <c r="AA797" s="179">
        <f>Partner7!$N99</f>
        <v>0</v>
      </c>
      <c r="AB797" s="179">
        <f>Partner8!$N99</f>
        <v>0</v>
      </c>
      <c r="AC797" s="179">
        <f>Partner9!$N99</f>
        <v>0</v>
      </c>
      <c r="AD797" s="179">
        <f>Partner10!$N99</f>
        <v>0</v>
      </c>
    </row>
    <row r="798" spans="5:30" ht="12" x14ac:dyDescent="0.2">
      <c r="F798" s="94" t="str">
        <f>STRAT2_IND4</f>
        <v>Objetivo estratégico 2 Indicador 4</v>
      </c>
      <c r="G798" s="94" t="str">
        <f ca="1">OFFSET(Variables_Lu!$D$10,Basic_Setup!H43,0)</f>
        <v>Nutrition-specific</v>
      </c>
      <c r="H798" s="346">
        <f>'Financial Req'!$N29</f>
        <v>0</v>
      </c>
      <c r="I798" s="347">
        <f>H798-J798</f>
        <v>0</v>
      </c>
      <c r="J798" s="345">
        <f>SUM(K798:AD798)</f>
        <v>0</v>
      </c>
      <c r="K798" s="365">
        <f>Government1!$N29</f>
        <v>0</v>
      </c>
      <c r="L798" s="365">
        <f>Government2!$N29</f>
        <v>0</v>
      </c>
      <c r="M798" s="365">
        <f>Government3!$N29</f>
        <v>0</v>
      </c>
      <c r="N798" s="365">
        <f>Government4!$N29</f>
        <v>0</v>
      </c>
      <c r="O798" s="365">
        <f>Government5!$N29</f>
        <v>0</v>
      </c>
      <c r="P798" s="365">
        <f>Government6!$N29</f>
        <v>0</v>
      </c>
      <c r="Q798" s="365">
        <f>Government7!$N29</f>
        <v>0</v>
      </c>
      <c r="R798" s="365">
        <f>Government8!$N29</f>
        <v>0</v>
      </c>
      <c r="S798" s="365">
        <f>Government9!$N29</f>
        <v>0</v>
      </c>
      <c r="T798" s="365">
        <f>Government10!$N29</f>
        <v>0</v>
      </c>
      <c r="U798" s="179">
        <f>Partner1!$N100</f>
        <v>0</v>
      </c>
      <c r="V798" s="179">
        <f>Partner2!$N100</f>
        <v>0</v>
      </c>
      <c r="W798" s="179">
        <f>Partner3!$N100</f>
        <v>0</v>
      </c>
      <c r="X798" s="179">
        <f>Partner4!$N100</f>
        <v>0</v>
      </c>
      <c r="Y798" s="179">
        <f>Partner5!$N100</f>
        <v>0</v>
      </c>
      <c r="Z798" s="179">
        <f>Partner6!$N100</f>
        <v>0</v>
      </c>
      <c r="AA798" s="179">
        <f>Partner7!$N100</f>
        <v>0</v>
      </c>
      <c r="AB798" s="179">
        <f>Partner8!$N100</f>
        <v>0</v>
      </c>
      <c r="AC798" s="179">
        <f>Partner9!$N100</f>
        <v>0</v>
      </c>
      <c r="AD798" s="179">
        <f>Partner10!$N100</f>
        <v>0</v>
      </c>
    </row>
    <row r="799" spans="5:30" ht="12" x14ac:dyDescent="0.2">
      <c r="F799" s="94" t="str">
        <f>STRAT2_IND5</f>
        <v>Objetivo estratégico 2 Indicador 5</v>
      </c>
      <c r="G799" s="94" t="str">
        <f ca="1">OFFSET(Variables_Lu!$D$10,Basic_Setup!H44,0)</f>
        <v>Nutrition-specific</v>
      </c>
      <c r="H799" s="346">
        <f>'Financial Req'!$N30</f>
        <v>0</v>
      </c>
      <c r="I799" s="347">
        <f>H799-J799</f>
        <v>0</v>
      </c>
      <c r="J799" s="345">
        <f>SUM(K799:AD799)</f>
        <v>0</v>
      </c>
      <c r="K799" s="365">
        <f>Government1!$N30</f>
        <v>0</v>
      </c>
      <c r="L799" s="365">
        <f>Government2!$N30</f>
        <v>0</v>
      </c>
      <c r="M799" s="365">
        <f>Government3!$N30</f>
        <v>0</v>
      </c>
      <c r="N799" s="365">
        <f>Government4!$N30</f>
        <v>0</v>
      </c>
      <c r="O799" s="365">
        <f>Government5!$N30</f>
        <v>0</v>
      </c>
      <c r="P799" s="365">
        <f>Government6!$N30</f>
        <v>0</v>
      </c>
      <c r="Q799" s="365">
        <f>Government7!$N30</f>
        <v>0</v>
      </c>
      <c r="R799" s="365">
        <f>Government8!$N30</f>
        <v>0</v>
      </c>
      <c r="S799" s="365">
        <f>Government9!$N30</f>
        <v>0</v>
      </c>
      <c r="T799" s="365">
        <f>Government10!$N30</f>
        <v>0</v>
      </c>
      <c r="U799" s="179">
        <f>Partner1!$N101</f>
        <v>0</v>
      </c>
      <c r="V799" s="179">
        <f>Partner2!$N101</f>
        <v>0</v>
      </c>
      <c r="W799" s="179">
        <f>Partner3!$N101</f>
        <v>0</v>
      </c>
      <c r="X799" s="179">
        <f>Partner4!$N101</f>
        <v>0</v>
      </c>
      <c r="Y799" s="179">
        <f>Partner5!$N101</f>
        <v>0</v>
      </c>
      <c r="Z799" s="179">
        <f>Partner6!$N101</f>
        <v>0</v>
      </c>
      <c r="AA799" s="179">
        <f>Partner7!$N101</f>
        <v>0</v>
      </c>
      <c r="AB799" s="179">
        <f>Partner8!$N101</f>
        <v>0</v>
      </c>
      <c r="AC799" s="179">
        <f>Partner9!$N101</f>
        <v>0</v>
      </c>
      <c r="AD799" s="179">
        <f>Partner10!$N101</f>
        <v>0</v>
      </c>
    </row>
    <row r="800" spans="5:30" ht="34.200000000000003" x14ac:dyDescent="0.2">
      <c r="F800" s="332" t="str">
        <f>"Subtotal: "&amp;E174</f>
        <v>Subtotal: Objetivo estratégico 2: Fortalecer el acceso al tratamiento y a los servicios de salud y nutrición de calidad, así como al tratamiento de todas las formas de malnutrición</v>
      </c>
      <c r="G800" s="333"/>
      <c r="H800" s="348">
        <f>'Financial Req'!$N31</f>
        <v>24004034690.025002</v>
      </c>
      <c r="I800" s="349">
        <f>SUM(I795:I799)</f>
        <v>10771703610.394737</v>
      </c>
      <c r="J800" s="350">
        <f>SUM(J795:J799)</f>
        <v>13232331079.630262</v>
      </c>
      <c r="K800" s="366">
        <f>Government1!$N31</f>
        <v>271431772.35095251</v>
      </c>
      <c r="L800" s="366">
        <f>Government2!$N31</f>
        <v>31142720.001313128</v>
      </c>
      <c r="M800" s="366">
        <f>Government3!$N31</f>
        <v>81724500</v>
      </c>
      <c r="N800" s="366">
        <f>Government4!$N31</f>
        <v>8748209.0608874988</v>
      </c>
      <c r="O800" s="366">
        <f>Government5!$N31</f>
        <v>3763602.7686899998</v>
      </c>
      <c r="P800" s="366">
        <f>Government6!$N31</f>
        <v>1322684155.6965337</v>
      </c>
      <c r="Q800" s="366">
        <f>Government7!$N31</f>
        <v>164737340.82819</v>
      </c>
      <c r="R800" s="366">
        <f>Government8!$N31</f>
        <v>8098778.9236949999</v>
      </c>
      <c r="S800" s="366">
        <f>Government9!$N31</f>
        <v>0</v>
      </c>
      <c r="T800" s="366">
        <f>Government10!$N31</f>
        <v>0</v>
      </c>
      <c r="U800" s="331">
        <f>Partner1!$N102</f>
        <v>8640000000</v>
      </c>
      <c r="V800" s="331">
        <f>Partner2!$N102</f>
        <v>0</v>
      </c>
      <c r="W800" s="331">
        <f>Partner3!$N102</f>
        <v>0</v>
      </c>
      <c r="X800" s="331">
        <f>Partner4!$N102</f>
        <v>0</v>
      </c>
      <c r="Y800" s="331">
        <f>Partner5!$N102</f>
        <v>2700000000</v>
      </c>
      <c r="Z800" s="331">
        <f>Partner6!$N102</f>
        <v>0</v>
      </c>
      <c r="AA800" s="331">
        <f>Partner7!$N102</f>
        <v>0</v>
      </c>
      <c r="AB800" s="331">
        <f>Partner8!$N102</f>
        <v>0</v>
      </c>
      <c r="AC800" s="331">
        <f>Partner9!$N102</f>
        <v>0</v>
      </c>
      <c r="AD800" s="331">
        <f>Partner10!$N102</f>
        <v>0</v>
      </c>
    </row>
    <row r="801" spans="5:30" ht="12" x14ac:dyDescent="0.2">
      <c r="E801" s="301" t="str">
        <f>Strategy3</f>
        <v>Objetivo estratégico 3: Aumentar la disponibilidad y el acceso a alimentos nutritivos de alto valor, seguros y diversificados</v>
      </c>
      <c r="G801" s="94"/>
      <c r="H801" s="343"/>
      <c r="I801" s="344"/>
      <c r="J801" s="345"/>
      <c r="K801" s="365"/>
      <c r="L801" s="365"/>
      <c r="M801" s="365"/>
      <c r="N801" s="365"/>
      <c r="O801" s="365"/>
      <c r="P801" s="365"/>
      <c r="Q801" s="365"/>
      <c r="R801" s="365"/>
      <c r="S801" s="365"/>
      <c r="T801" s="365"/>
      <c r="U801" s="179"/>
      <c r="V801" s="179"/>
      <c r="W801" s="179"/>
      <c r="X801" s="179"/>
      <c r="Y801" s="179"/>
      <c r="Z801" s="179"/>
      <c r="AA801" s="179"/>
      <c r="AB801" s="179"/>
      <c r="AC801" s="179"/>
      <c r="AD801" s="179"/>
    </row>
    <row r="802" spans="5:30" ht="33" customHeight="1" x14ac:dyDescent="0.2">
      <c r="F802" s="94" t="str">
        <f>STRAT3_IND1</f>
        <v xml:space="preserve">Aumenta la disponibilidad y el acceso a alimentos de alto valor nutritivo en los hogares. </v>
      </c>
      <c r="G802" s="94" t="str">
        <f ca="1">OFFSET(Variables_Lu!$D$10,Basic_Setup!H46,0)</f>
        <v>Nutrition-specific</v>
      </c>
      <c r="H802" s="346">
        <f>'Financial Req'!$N32</f>
        <v>42667517225.88015</v>
      </c>
      <c r="I802" s="347">
        <f>H802-J802</f>
        <v>34083454718.298187</v>
      </c>
      <c r="J802" s="345">
        <f>SUM(K802:AD802)</f>
        <v>8584062507.5819616</v>
      </c>
      <c r="K802" s="365">
        <f>Government1!$N32</f>
        <v>1069911379.8337545</v>
      </c>
      <c r="L802" s="365">
        <f>Government2!$N32</f>
        <v>122756264.82407364</v>
      </c>
      <c r="M802" s="365">
        <f>Government3!$N32</f>
        <v>322136100</v>
      </c>
      <c r="N802" s="365">
        <f>Government4!$N32</f>
        <v>34483098.077797502</v>
      </c>
      <c r="O802" s="365">
        <f>Government5!$N32</f>
        <v>14835114.535482001</v>
      </c>
      <c r="P802" s="365">
        <f>Government6!$N32</f>
        <v>5213666837.3361006</v>
      </c>
      <c r="Q802" s="365">
        <f>Government7!$N32</f>
        <v>649350494.63458204</v>
      </c>
      <c r="R802" s="365">
        <f>Government8!$N32</f>
        <v>31923218.340171002</v>
      </c>
      <c r="S802" s="365">
        <f>Government9!$N32</f>
        <v>0</v>
      </c>
      <c r="T802" s="365">
        <f>Government10!$N32</f>
        <v>0</v>
      </c>
      <c r="U802" s="179">
        <f>Partner1!$N103</f>
        <v>0</v>
      </c>
      <c r="V802" s="179">
        <f>Partner2!$N103</f>
        <v>0</v>
      </c>
      <c r="W802" s="179">
        <f>Partner3!$N103</f>
        <v>0</v>
      </c>
      <c r="X802" s="179">
        <f>Partner4!$N103</f>
        <v>0</v>
      </c>
      <c r="Y802" s="179">
        <f>Partner5!$N103</f>
        <v>1125000000</v>
      </c>
      <c r="Z802" s="179">
        <f>Partner6!$N103</f>
        <v>0</v>
      </c>
      <c r="AA802" s="179">
        <f>Partner7!$N103</f>
        <v>0</v>
      </c>
      <c r="AB802" s="179">
        <f>Partner8!$N103</f>
        <v>0</v>
      </c>
      <c r="AC802" s="179">
        <f>Partner9!$N103</f>
        <v>0</v>
      </c>
      <c r="AD802" s="179">
        <f>Partner10!$N103</f>
        <v>0</v>
      </c>
    </row>
    <row r="803" spans="5:30" ht="13.5" customHeight="1" x14ac:dyDescent="0.2">
      <c r="F803" s="94" t="str">
        <f>STRAT3_IND2</f>
        <v xml:space="preserve"> La seguridad alimentaria está garantizada para toda la nación.</v>
      </c>
      <c r="G803" s="94" t="str">
        <f ca="1">OFFSET(Variables_Lu!$D$10,Basic_Setup!H47,0)</f>
        <v>Nutrition-sensitive</v>
      </c>
      <c r="H803" s="346">
        <f>'Financial Req'!$N33</f>
        <v>42667517225.88015</v>
      </c>
      <c r="I803" s="347">
        <f>H803-J803</f>
        <v>35208454718.298187</v>
      </c>
      <c r="J803" s="345">
        <f>SUM(K803:AD803)</f>
        <v>7459062507.5819616</v>
      </c>
      <c r="K803" s="365">
        <f>Government1!$N33</f>
        <v>1069911379.8337545</v>
      </c>
      <c r="L803" s="365">
        <f>Government2!$N33</f>
        <v>122756264.82407364</v>
      </c>
      <c r="M803" s="365">
        <f>Government3!$N33</f>
        <v>322136100</v>
      </c>
      <c r="N803" s="365">
        <f>Government4!$N33</f>
        <v>34483098.077797502</v>
      </c>
      <c r="O803" s="365">
        <f>Government5!$N33</f>
        <v>14835114.535482001</v>
      </c>
      <c r="P803" s="365">
        <f>Government6!$N33</f>
        <v>5213666837.3361006</v>
      </c>
      <c r="Q803" s="365">
        <f>Government7!$N33</f>
        <v>649350494.63458204</v>
      </c>
      <c r="R803" s="365">
        <f>Government8!$N33</f>
        <v>31923218.340171002</v>
      </c>
      <c r="S803" s="365">
        <f>Government9!$N33</f>
        <v>0</v>
      </c>
      <c r="T803" s="365">
        <f>Government10!$N33</f>
        <v>0</v>
      </c>
      <c r="U803" s="179">
        <f>Partner1!$N104</f>
        <v>0</v>
      </c>
      <c r="V803" s="179">
        <f>Partner2!$N104</f>
        <v>0</v>
      </c>
      <c r="W803" s="179">
        <f>Partner3!$N104</f>
        <v>0</v>
      </c>
      <c r="X803" s="179">
        <f>Partner4!$N104</f>
        <v>0</v>
      </c>
      <c r="Y803" s="179">
        <f>Partner5!$N104</f>
        <v>0</v>
      </c>
      <c r="Z803" s="179">
        <f>Partner6!$N104</f>
        <v>0</v>
      </c>
      <c r="AA803" s="179">
        <f>Partner7!$N104</f>
        <v>0</v>
      </c>
      <c r="AB803" s="179">
        <f>Partner8!$N104</f>
        <v>0</v>
      </c>
      <c r="AC803" s="179">
        <f>Partner9!$N104</f>
        <v>0</v>
      </c>
      <c r="AD803" s="179">
        <f>Partner10!$N104</f>
        <v>0</v>
      </c>
    </row>
    <row r="804" spans="5:30" ht="12" x14ac:dyDescent="0.2">
      <c r="F804" s="94" t="str">
        <f>STRAT3_IND3</f>
        <v>Objetivo estratégico 3 Indicador 3</v>
      </c>
      <c r="G804" s="94" t="str">
        <f ca="1">OFFSET(Variables_Lu!$D$10,Basic_Setup!H48,0)</f>
        <v>Nutrition-specific</v>
      </c>
      <c r="H804" s="346">
        <f>'Financial Req'!$N34</f>
        <v>0</v>
      </c>
      <c r="I804" s="347">
        <f>H804-J804</f>
        <v>0</v>
      </c>
      <c r="J804" s="345">
        <f>SUM(K804:AD804)</f>
        <v>0</v>
      </c>
      <c r="K804" s="365">
        <f>Government1!$N34</f>
        <v>0</v>
      </c>
      <c r="L804" s="365">
        <f>Government2!$N34</f>
        <v>0</v>
      </c>
      <c r="M804" s="365">
        <f>Government3!$N34</f>
        <v>0</v>
      </c>
      <c r="N804" s="365">
        <f>Government4!$N34</f>
        <v>0</v>
      </c>
      <c r="O804" s="365">
        <f>Government5!$N34</f>
        <v>0</v>
      </c>
      <c r="P804" s="365">
        <f>Government6!$N34</f>
        <v>0</v>
      </c>
      <c r="Q804" s="365">
        <f>Government7!$N34</f>
        <v>0</v>
      </c>
      <c r="R804" s="365">
        <f>Government8!$N34</f>
        <v>0</v>
      </c>
      <c r="S804" s="365">
        <f>Government9!$N34</f>
        <v>0</v>
      </c>
      <c r="T804" s="365">
        <f>Government10!$N34</f>
        <v>0</v>
      </c>
      <c r="U804" s="179">
        <f>Partner1!$N105</f>
        <v>0</v>
      </c>
      <c r="V804" s="179">
        <f>Partner2!$N105</f>
        <v>0</v>
      </c>
      <c r="W804" s="179">
        <f>Partner3!$N105</f>
        <v>0</v>
      </c>
      <c r="X804" s="179">
        <f>Partner4!$N105</f>
        <v>0</v>
      </c>
      <c r="Y804" s="179">
        <f>Partner5!$N105</f>
        <v>0</v>
      </c>
      <c r="Z804" s="179">
        <f>Partner6!$N105</f>
        <v>0</v>
      </c>
      <c r="AA804" s="179">
        <f>Partner7!$N105</f>
        <v>0</v>
      </c>
      <c r="AB804" s="179">
        <f>Partner8!$N105</f>
        <v>0</v>
      </c>
      <c r="AC804" s="179">
        <f>Partner9!$N105</f>
        <v>0</v>
      </c>
      <c r="AD804" s="179">
        <f>Partner10!$N105</f>
        <v>0</v>
      </c>
    </row>
    <row r="805" spans="5:30" ht="12" x14ac:dyDescent="0.2">
      <c r="F805" s="94" t="str">
        <f>STRAT3_IND4</f>
        <v>Objetivo estratégico 3 Indicador 4</v>
      </c>
      <c r="G805" s="94" t="str">
        <f ca="1">OFFSET(Variables_Lu!$D$10,Basic_Setup!H49,0)</f>
        <v>Nutrition-specific</v>
      </c>
      <c r="H805" s="346">
        <f>'Financial Req'!$N35</f>
        <v>0</v>
      </c>
      <c r="I805" s="347">
        <f>H805-J805</f>
        <v>0</v>
      </c>
      <c r="J805" s="345">
        <f>SUM(K805:AD805)</f>
        <v>0</v>
      </c>
      <c r="K805" s="365">
        <f>Government1!$N35</f>
        <v>0</v>
      </c>
      <c r="L805" s="365">
        <f>Government2!$N35</f>
        <v>0</v>
      </c>
      <c r="M805" s="365">
        <f>Government3!$N35</f>
        <v>0</v>
      </c>
      <c r="N805" s="365">
        <f>Government4!$N35</f>
        <v>0</v>
      </c>
      <c r="O805" s="365">
        <f>Government5!$N35</f>
        <v>0</v>
      </c>
      <c r="P805" s="365">
        <f>Government6!$N35</f>
        <v>0</v>
      </c>
      <c r="Q805" s="365">
        <f>Government7!$N35</f>
        <v>0</v>
      </c>
      <c r="R805" s="365">
        <f>Government8!$N35</f>
        <v>0</v>
      </c>
      <c r="S805" s="365">
        <f>Government9!$N35</f>
        <v>0</v>
      </c>
      <c r="T805" s="365">
        <f>Government10!$N35</f>
        <v>0</v>
      </c>
      <c r="U805" s="179">
        <f>Partner1!$N106</f>
        <v>0</v>
      </c>
      <c r="V805" s="179">
        <f>Partner2!$N106</f>
        <v>0</v>
      </c>
      <c r="W805" s="179">
        <f>Partner3!$N106</f>
        <v>0</v>
      </c>
      <c r="X805" s="179">
        <f>Partner4!$N106</f>
        <v>0</v>
      </c>
      <c r="Y805" s="179">
        <f>Partner5!$N106</f>
        <v>0</v>
      </c>
      <c r="Z805" s="179">
        <f>Partner6!$N106</f>
        <v>0</v>
      </c>
      <c r="AA805" s="179">
        <f>Partner7!$N106</f>
        <v>0</v>
      </c>
      <c r="AB805" s="179">
        <f>Partner8!$N106</f>
        <v>0</v>
      </c>
      <c r="AC805" s="179">
        <f>Partner9!$N106</f>
        <v>0</v>
      </c>
      <c r="AD805" s="179">
        <f>Partner10!$N106</f>
        <v>0</v>
      </c>
    </row>
    <row r="806" spans="5:30" ht="12" x14ac:dyDescent="0.2">
      <c r="F806" s="94" t="str">
        <f>STRAT3_IND5</f>
        <v>Objetivo estratégico 3 Indicador 5</v>
      </c>
      <c r="G806" s="94" t="str">
        <f ca="1">OFFSET(Variables_Lu!$D$10,Basic_Setup!H50,0)</f>
        <v>Nutrition-specific</v>
      </c>
      <c r="H806" s="346">
        <f>'Financial Req'!$N36</f>
        <v>0</v>
      </c>
      <c r="I806" s="347">
        <f>H806-J806</f>
        <v>0</v>
      </c>
      <c r="J806" s="345">
        <f>SUM(K806:AD806)</f>
        <v>0</v>
      </c>
      <c r="K806" s="365">
        <f>Government1!$N36</f>
        <v>0</v>
      </c>
      <c r="L806" s="365">
        <f>Government2!$N36</f>
        <v>0</v>
      </c>
      <c r="M806" s="365">
        <f>Government3!$N36</f>
        <v>0</v>
      </c>
      <c r="N806" s="365">
        <f>Government4!$N36</f>
        <v>0</v>
      </c>
      <c r="O806" s="365">
        <f>Government5!$N36</f>
        <v>0</v>
      </c>
      <c r="P806" s="365">
        <f>Government6!$N36</f>
        <v>0</v>
      </c>
      <c r="Q806" s="365">
        <f>Government7!$N36</f>
        <v>0</v>
      </c>
      <c r="R806" s="365">
        <f>Government8!$N36</f>
        <v>0</v>
      </c>
      <c r="S806" s="365">
        <f>Government9!$N36</f>
        <v>0</v>
      </c>
      <c r="T806" s="365">
        <f>Government10!$N36</f>
        <v>0</v>
      </c>
      <c r="U806" s="179">
        <f>Partner1!$N107</f>
        <v>0</v>
      </c>
      <c r="V806" s="179">
        <f>Partner2!$N107</f>
        <v>0</v>
      </c>
      <c r="W806" s="179">
        <f>Partner3!$N107</f>
        <v>0</v>
      </c>
      <c r="X806" s="179">
        <f>Partner4!$N107</f>
        <v>0</v>
      </c>
      <c r="Y806" s="179">
        <f>Partner5!$N107</f>
        <v>0</v>
      </c>
      <c r="Z806" s="179">
        <f>Partner6!$N107</f>
        <v>0</v>
      </c>
      <c r="AA806" s="179">
        <f>Partner7!$N107</f>
        <v>0</v>
      </c>
      <c r="AB806" s="179">
        <f>Partner8!$N107</f>
        <v>0</v>
      </c>
      <c r="AC806" s="179">
        <f>Partner9!$N107</f>
        <v>0</v>
      </c>
      <c r="AD806" s="179">
        <f>Partner10!$N107</f>
        <v>0</v>
      </c>
    </row>
    <row r="807" spans="5:30" ht="34.200000000000003" x14ac:dyDescent="0.2">
      <c r="F807" s="332" t="str">
        <f>"Subtotal: "&amp;E181</f>
        <v>Subtotal: Objetivo estratégico 3: Aumentar la disponibilidad y el acceso a alimentos nutritivos de alto valor, seguros y diversificados</v>
      </c>
      <c r="G807" s="333"/>
      <c r="H807" s="348">
        <f>'Financial Req'!$N37</f>
        <v>85335034451.7603</v>
      </c>
      <c r="I807" s="349">
        <f>SUM(I802:I806)</f>
        <v>69291909436.596375</v>
      </c>
      <c r="J807" s="350">
        <f>SUM(J802:J806)</f>
        <v>16043125015.163923</v>
      </c>
      <c r="K807" s="366">
        <f>Government1!$N37</f>
        <v>2139822759.6675091</v>
      </c>
      <c r="L807" s="366">
        <f>Government2!$N37</f>
        <v>245512529.64814728</v>
      </c>
      <c r="M807" s="366">
        <f>Government3!$N37</f>
        <v>644272200</v>
      </c>
      <c r="N807" s="366">
        <f>Government4!$N37</f>
        <v>68966196.155595005</v>
      </c>
      <c r="O807" s="366">
        <f>Government5!$N37</f>
        <v>29670229.070964001</v>
      </c>
      <c r="P807" s="366">
        <f>Government6!$N37</f>
        <v>10427333674.672201</v>
      </c>
      <c r="Q807" s="366">
        <f>Government7!$N37</f>
        <v>1298700989.2691641</v>
      </c>
      <c r="R807" s="366">
        <f>Government8!$N37</f>
        <v>63846436.680342004</v>
      </c>
      <c r="S807" s="366">
        <f>Government9!$N37</f>
        <v>0</v>
      </c>
      <c r="T807" s="366">
        <f>Government10!$N37</f>
        <v>0</v>
      </c>
      <c r="U807" s="331">
        <f>Partner1!$N108</f>
        <v>0</v>
      </c>
      <c r="V807" s="331">
        <f>Partner2!$N108</f>
        <v>0</v>
      </c>
      <c r="W807" s="331">
        <f>Partner3!$N108</f>
        <v>0</v>
      </c>
      <c r="X807" s="331">
        <f>Partner4!$N108</f>
        <v>0</v>
      </c>
      <c r="Y807" s="331">
        <f>Partner5!$N108</f>
        <v>1125000000</v>
      </c>
      <c r="Z807" s="331">
        <f>Partner6!$N108</f>
        <v>0</v>
      </c>
      <c r="AA807" s="331">
        <f>Partner7!$N108</f>
        <v>0</v>
      </c>
      <c r="AB807" s="331">
        <f>Partner8!$N108</f>
        <v>0</v>
      </c>
      <c r="AC807" s="331">
        <f>Partner9!$N108</f>
        <v>0</v>
      </c>
      <c r="AD807" s="331">
        <f>Partner10!$N108</f>
        <v>0</v>
      </c>
    </row>
    <row r="808" spans="5:30" ht="12" x14ac:dyDescent="0.2">
      <c r="E808" s="301" t="str">
        <f>Strategy4</f>
        <v>Objetivo estratégico 4: Fortalecer la protección social, la resiliencia de la respuesta a las emergencias y los desastres naturales.</v>
      </c>
      <c r="G808" s="94"/>
      <c r="H808" s="343"/>
      <c r="I808" s="344"/>
      <c r="J808" s="345"/>
      <c r="K808" s="365"/>
      <c r="L808" s="365"/>
      <c r="M808" s="365"/>
      <c r="N808" s="365"/>
      <c r="O808" s="365"/>
      <c r="P808" s="365"/>
      <c r="Q808" s="365"/>
      <c r="R808" s="365"/>
      <c r="S808" s="365"/>
      <c r="T808" s="365"/>
      <c r="U808" s="179"/>
      <c r="V808" s="179"/>
      <c r="W808" s="179"/>
      <c r="X808" s="179"/>
      <c r="Y808" s="179"/>
      <c r="Z808" s="179"/>
      <c r="AA808" s="179"/>
      <c r="AB808" s="179"/>
      <c r="AC808" s="179"/>
      <c r="AD808" s="179"/>
    </row>
    <row r="809" spans="5:30" ht="22.8" x14ac:dyDescent="0.2">
      <c r="F809" s="94" t="str">
        <f>STRAT4_IND1</f>
        <v xml:space="preserve">Se garantiza la protección social de los niños menores de 5 años, los adolescentes, FE/FA y otros grupos vulnerables. </v>
      </c>
      <c r="G809" s="94" t="str">
        <f ca="1">OFFSET(Variables_Lu!$D$10,Basic_Setup!H52,0)</f>
        <v>Nutrition-sensitive</v>
      </c>
      <c r="H809" s="346">
        <f>'Financial Req'!$N38</f>
        <v>12967450839.142267</v>
      </c>
      <c r="I809" s="347">
        <f>H809-J809</f>
        <v>7796561876.6240959</v>
      </c>
      <c r="J809" s="345">
        <f>SUM(K809:AD809)</f>
        <v>5170888962.5181713</v>
      </c>
      <c r="K809" s="365">
        <f>Government1!$N38</f>
        <v>602279318.49211347</v>
      </c>
      <c r="L809" s="365">
        <f>Government2!$N38</f>
        <v>69102507.845433384</v>
      </c>
      <c r="M809" s="365">
        <f>Government3!$N38</f>
        <v>181338300</v>
      </c>
      <c r="N809" s="365">
        <f>Government4!$N38</f>
        <v>19411380.420142498</v>
      </c>
      <c r="O809" s="365">
        <f>Government5!$N38</f>
        <v>8351049.2930460004</v>
      </c>
      <c r="P809" s="365">
        <f>Government6!$N38</f>
        <v>2934900748.6242771</v>
      </c>
      <c r="Q809" s="365">
        <f>Government7!$N38</f>
        <v>365535296.42034602</v>
      </c>
      <c r="R809" s="365">
        <f>Government8!$N38</f>
        <v>17970361.422813002</v>
      </c>
      <c r="S809" s="365">
        <f>Government9!$N38</f>
        <v>0</v>
      </c>
      <c r="T809" s="365">
        <f>Government10!$N38</f>
        <v>0</v>
      </c>
      <c r="U809" s="179">
        <f>Partner1!$N109</f>
        <v>72000000</v>
      </c>
      <c r="V809" s="179">
        <f>Partner2!$N109</f>
        <v>0</v>
      </c>
      <c r="W809" s="179">
        <f>Partner3!$N109</f>
        <v>0</v>
      </c>
      <c r="X809" s="179">
        <f>Partner4!$N109</f>
        <v>0</v>
      </c>
      <c r="Y809" s="179">
        <f>Partner5!$N109</f>
        <v>900000000</v>
      </c>
      <c r="Z809" s="179">
        <f>Partner6!$N109</f>
        <v>0</v>
      </c>
      <c r="AA809" s="179">
        <f>Partner7!$N109</f>
        <v>0</v>
      </c>
      <c r="AB809" s="179">
        <f>Partner8!$N109</f>
        <v>0</v>
      </c>
      <c r="AC809" s="179">
        <f>Partner9!$N109</f>
        <v>0</v>
      </c>
      <c r="AD809" s="179">
        <f>Partner10!$N109</f>
        <v>0</v>
      </c>
    </row>
    <row r="810" spans="5:30" ht="34.200000000000003" x14ac:dyDescent="0.2">
      <c r="F810" s="94" t="str">
        <f>STRAT4_IND2</f>
        <v xml:space="preserve">Se fortalece la capacidad de resiliencia y el estado nutricional de las poblaciones vulnerables, incluidos los niños de las zonas desfavorecidas.  </v>
      </c>
      <c r="G810" s="94" t="str">
        <f ca="1">OFFSET(Variables_Lu!$D$10,Basic_Setup!H53,0)</f>
        <v>Nutrition-specific</v>
      </c>
      <c r="H810" s="346">
        <f>'Financial Req'!$N39</f>
        <v>12967450839.142267</v>
      </c>
      <c r="I810" s="347">
        <f>H810-J810</f>
        <v>8606561876.6240959</v>
      </c>
      <c r="J810" s="345">
        <f>SUM(K810:AD810)</f>
        <v>4360888962.5181713</v>
      </c>
      <c r="K810" s="365">
        <f>Government1!$N39</f>
        <v>602279318.49211347</v>
      </c>
      <c r="L810" s="365">
        <f>Government2!$N39</f>
        <v>69102507.845433384</v>
      </c>
      <c r="M810" s="365">
        <f>Government3!$N39</f>
        <v>181338300</v>
      </c>
      <c r="N810" s="365">
        <f>Government4!$N39</f>
        <v>19411380.420142498</v>
      </c>
      <c r="O810" s="365">
        <f>Government5!$N39</f>
        <v>8351049.2930460004</v>
      </c>
      <c r="P810" s="365">
        <f>Government6!$N39</f>
        <v>2934900748.6242771</v>
      </c>
      <c r="Q810" s="365">
        <f>Government7!$N39</f>
        <v>365535296.42034602</v>
      </c>
      <c r="R810" s="365">
        <f>Government8!$N39</f>
        <v>17970361.422813002</v>
      </c>
      <c r="S810" s="365">
        <f>Government9!$N39</f>
        <v>0</v>
      </c>
      <c r="T810" s="365">
        <f>Government10!$N39</f>
        <v>0</v>
      </c>
      <c r="U810" s="179">
        <f>Partner1!$N110</f>
        <v>72000000</v>
      </c>
      <c r="V810" s="179">
        <f>Partner2!$N110</f>
        <v>0</v>
      </c>
      <c r="W810" s="179">
        <f>Partner3!$N110</f>
        <v>0</v>
      </c>
      <c r="X810" s="179">
        <f>Partner4!$N110</f>
        <v>0</v>
      </c>
      <c r="Y810" s="179">
        <f>Partner5!$N110</f>
        <v>90000000</v>
      </c>
      <c r="Z810" s="179">
        <f>Partner6!$N110</f>
        <v>0</v>
      </c>
      <c r="AA810" s="179">
        <f>Partner7!$N110</f>
        <v>0</v>
      </c>
      <c r="AB810" s="179">
        <f>Partner8!$N110</f>
        <v>0</v>
      </c>
      <c r="AC810" s="179">
        <f>Partner9!$N110</f>
        <v>0</v>
      </c>
      <c r="AD810" s="179">
        <f>Partner10!$N110</f>
        <v>0</v>
      </c>
    </row>
    <row r="811" spans="5:30" ht="22.8" x14ac:dyDescent="0.2">
      <c r="F811" s="94" t="str">
        <f>STRAT4_IND3</f>
        <v xml:space="preserve"> Se introducen eficazmente intervenciones para emergencias y catástrofes naturales integrales de la nutrición.</v>
      </c>
      <c r="G811" s="94" t="str">
        <f ca="1">OFFSET(Variables_Lu!$D$10,Basic_Setup!H54,0)</f>
        <v>Nutrition-specific</v>
      </c>
      <c r="H811" s="346">
        <f>'Financial Req'!$N40</f>
        <v>12967450839.142267</v>
      </c>
      <c r="I811" s="347">
        <f>H811-J811</f>
        <v>8192561876.6240959</v>
      </c>
      <c r="J811" s="345">
        <f>SUM(K811:AD811)</f>
        <v>4774888962.5181713</v>
      </c>
      <c r="K811" s="365">
        <f>Government1!$N40</f>
        <v>602279318.49211347</v>
      </c>
      <c r="L811" s="365">
        <f>Government2!$N40</f>
        <v>69102507.845433384</v>
      </c>
      <c r="M811" s="365">
        <f>Government3!$N40</f>
        <v>181338300</v>
      </c>
      <c r="N811" s="365">
        <f>Government4!$N40</f>
        <v>19411380.420142498</v>
      </c>
      <c r="O811" s="365">
        <f>Government5!$N40</f>
        <v>8351049.2930460004</v>
      </c>
      <c r="P811" s="365">
        <f>Government6!$N40</f>
        <v>2934900748.6242771</v>
      </c>
      <c r="Q811" s="365">
        <f>Government7!$N40</f>
        <v>365535296.42034602</v>
      </c>
      <c r="R811" s="365">
        <f>Government8!$N40</f>
        <v>17970361.422813002</v>
      </c>
      <c r="S811" s="365">
        <f>Government9!$N40</f>
        <v>0</v>
      </c>
      <c r="T811" s="365">
        <f>Government10!$N40</f>
        <v>0</v>
      </c>
      <c r="U811" s="179">
        <f>Partner1!$N111</f>
        <v>576000000</v>
      </c>
      <c r="V811" s="179">
        <f>Partner2!$N111</f>
        <v>0</v>
      </c>
      <c r="W811" s="179">
        <f>Partner3!$N111</f>
        <v>0</v>
      </c>
      <c r="X811" s="179">
        <f>Partner4!$N111</f>
        <v>0</v>
      </c>
      <c r="Y811" s="179">
        <f>Partner5!$N111</f>
        <v>0</v>
      </c>
      <c r="Z811" s="179">
        <f>Partner6!$N111</f>
        <v>0</v>
      </c>
      <c r="AA811" s="179">
        <f>Partner7!$N111</f>
        <v>0</v>
      </c>
      <c r="AB811" s="179">
        <f>Partner8!$N111</f>
        <v>0</v>
      </c>
      <c r="AC811" s="179">
        <f>Partner9!$N111</f>
        <v>0</v>
      </c>
      <c r="AD811" s="179">
        <f>Partner10!$N111</f>
        <v>0</v>
      </c>
    </row>
    <row r="812" spans="5:30" ht="12" x14ac:dyDescent="0.2">
      <c r="F812" s="94" t="str">
        <f>STRAT4_IND4</f>
        <v>Objetivo estratégico 4 Indicador 4</v>
      </c>
      <c r="G812" s="94" t="str">
        <f ca="1">OFFSET(Variables_Lu!$D$10,Basic_Setup!H55,0)</f>
        <v>Nutrition-specific</v>
      </c>
      <c r="H812" s="346">
        <f>'Financial Req'!$N41</f>
        <v>0</v>
      </c>
      <c r="I812" s="347">
        <f>H812-J812</f>
        <v>0</v>
      </c>
      <c r="J812" s="345">
        <f>SUM(K812:AD812)</f>
        <v>0</v>
      </c>
      <c r="K812" s="365">
        <f>Government1!$N41</f>
        <v>0</v>
      </c>
      <c r="L812" s="365">
        <f>Government2!$N41</f>
        <v>0</v>
      </c>
      <c r="M812" s="365">
        <f>Government3!$N41</f>
        <v>0</v>
      </c>
      <c r="N812" s="365">
        <f>Government4!$N41</f>
        <v>0</v>
      </c>
      <c r="O812" s="365">
        <f>Government5!$N41</f>
        <v>0</v>
      </c>
      <c r="P812" s="365">
        <f>Government6!$N41</f>
        <v>0</v>
      </c>
      <c r="Q812" s="365">
        <f>Government7!$N41</f>
        <v>0</v>
      </c>
      <c r="R812" s="365">
        <f>Government8!$N41</f>
        <v>0</v>
      </c>
      <c r="S812" s="365">
        <f>Government9!$N41</f>
        <v>0</v>
      </c>
      <c r="T812" s="365">
        <f>Government10!$N41</f>
        <v>0</v>
      </c>
      <c r="U812" s="179">
        <f>Partner1!$N112</f>
        <v>0</v>
      </c>
      <c r="V812" s="179">
        <f>Partner2!$N112</f>
        <v>0</v>
      </c>
      <c r="W812" s="179">
        <f>Partner3!$N112</f>
        <v>0</v>
      </c>
      <c r="X812" s="179">
        <f>Partner4!$N112</f>
        <v>0</v>
      </c>
      <c r="Y812" s="179">
        <f>Partner5!$N112</f>
        <v>0</v>
      </c>
      <c r="Z812" s="179">
        <f>Partner6!$N112</f>
        <v>0</v>
      </c>
      <c r="AA812" s="179">
        <f>Partner7!$N112</f>
        <v>0</v>
      </c>
      <c r="AB812" s="179">
        <f>Partner8!$N112</f>
        <v>0</v>
      </c>
      <c r="AC812" s="179">
        <f>Partner9!$N112</f>
        <v>0</v>
      </c>
      <c r="AD812" s="179">
        <f>Partner10!$N112</f>
        <v>0</v>
      </c>
    </row>
    <row r="813" spans="5:30" ht="12" x14ac:dyDescent="0.2">
      <c r="F813" s="94" t="str">
        <f>STRAT4_IND5</f>
        <v>Objetivo estratégico 4 Indicador 5</v>
      </c>
      <c r="G813" s="94" t="str">
        <f ca="1">OFFSET(Variables_Lu!$D$10,Basic_Setup!H56,0)</f>
        <v>Nutrition-specific</v>
      </c>
      <c r="H813" s="346">
        <f>'Financial Req'!$N42</f>
        <v>0</v>
      </c>
      <c r="I813" s="347">
        <f>H813-J813</f>
        <v>0</v>
      </c>
      <c r="J813" s="345">
        <f>SUM(K813:AD813)</f>
        <v>0</v>
      </c>
      <c r="K813" s="365">
        <f>Government1!$N42</f>
        <v>0</v>
      </c>
      <c r="L813" s="365">
        <f>Government2!$N42</f>
        <v>0</v>
      </c>
      <c r="M813" s="365">
        <f>Government3!$N42</f>
        <v>0</v>
      </c>
      <c r="N813" s="365">
        <f>Government4!$N42</f>
        <v>0</v>
      </c>
      <c r="O813" s="365">
        <f>Government5!$N42</f>
        <v>0</v>
      </c>
      <c r="P813" s="365">
        <f>Government6!$N42</f>
        <v>0</v>
      </c>
      <c r="Q813" s="365">
        <f>Government7!$N42</f>
        <v>0</v>
      </c>
      <c r="R813" s="365">
        <f>Government8!$N42</f>
        <v>0</v>
      </c>
      <c r="S813" s="365">
        <f>Government9!$N42</f>
        <v>0</v>
      </c>
      <c r="T813" s="365">
        <f>Government10!$N42</f>
        <v>0</v>
      </c>
      <c r="U813" s="179">
        <f>Partner1!$N113</f>
        <v>0</v>
      </c>
      <c r="V813" s="179">
        <f>Partner2!$N113</f>
        <v>0</v>
      </c>
      <c r="W813" s="179">
        <f>Partner3!$N113</f>
        <v>0</v>
      </c>
      <c r="X813" s="179">
        <f>Partner4!$N113</f>
        <v>0</v>
      </c>
      <c r="Y813" s="179">
        <f>Partner5!$N113</f>
        <v>0</v>
      </c>
      <c r="Z813" s="179">
        <f>Partner6!$N113</f>
        <v>0</v>
      </c>
      <c r="AA813" s="179">
        <f>Partner7!$N113</f>
        <v>0</v>
      </c>
      <c r="AB813" s="179">
        <f>Partner8!$N113</f>
        <v>0</v>
      </c>
      <c r="AC813" s="179">
        <f>Partner9!$N113</f>
        <v>0</v>
      </c>
      <c r="AD813" s="179">
        <f>Partner10!$N113</f>
        <v>0</v>
      </c>
    </row>
    <row r="814" spans="5:30" ht="34.200000000000003" x14ac:dyDescent="0.2">
      <c r="F814" s="332" t="str">
        <f>"Subtotal: "&amp;E188</f>
        <v>Subtotal: Objetivo estratégico 4: Fortalecer la protección social, la resiliencia de la respuesta a las emergencias y los desastres naturales.</v>
      </c>
      <c r="G814" s="333"/>
      <c r="H814" s="348">
        <f>'Financial Req'!$N43</f>
        <v>38902352517.426804</v>
      </c>
      <c r="I814" s="349">
        <f>SUM(I809:I813)</f>
        <v>24595685629.872288</v>
      </c>
      <c r="J814" s="350">
        <f>SUM(J809:J813)</f>
        <v>14306666887.554514</v>
      </c>
      <c r="K814" s="366">
        <f>Government1!$N43</f>
        <v>1806837955.4763403</v>
      </c>
      <c r="L814" s="366">
        <f>Government2!$N43</f>
        <v>207307523.53630015</v>
      </c>
      <c r="M814" s="366">
        <f>Government3!$N43</f>
        <v>544014900</v>
      </c>
      <c r="N814" s="366">
        <f>Government4!$N43</f>
        <v>58234141.26042749</v>
      </c>
      <c r="O814" s="366">
        <f>Government5!$N43</f>
        <v>25053147.879138</v>
      </c>
      <c r="P814" s="366">
        <f>Government6!$N43</f>
        <v>8804702245.8728313</v>
      </c>
      <c r="Q814" s="366">
        <f>Government7!$N43</f>
        <v>1096605889.2610381</v>
      </c>
      <c r="R814" s="366">
        <f>Government8!$N43</f>
        <v>53911084.26843901</v>
      </c>
      <c r="S814" s="366">
        <f>Government9!$N43</f>
        <v>0</v>
      </c>
      <c r="T814" s="366">
        <f>Government10!$N43</f>
        <v>0</v>
      </c>
      <c r="U814" s="331">
        <f>Partner1!$N114</f>
        <v>720000000</v>
      </c>
      <c r="V814" s="331">
        <f>Partner2!$N114</f>
        <v>0</v>
      </c>
      <c r="W814" s="331">
        <f>Partner3!$N114</f>
        <v>0</v>
      </c>
      <c r="X814" s="331">
        <f>Partner4!$N114</f>
        <v>0</v>
      </c>
      <c r="Y814" s="331">
        <f>Partner5!$N114</f>
        <v>990000000</v>
      </c>
      <c r="Z814" s="331">
        <f>Partner6!$N114</f>
        <v>0</v>
      </c>
      <c r="AA814" s="331">
        <f>Partner7!$N114</f>
        <v>0</v>
      </c>
      <c r="AB814" s="331">
        <f>Partner8!$N114</f>
        <v>0</v>
      </c>
      <c r="AC814" s="331">
        <f>Partner9!$N114</f>
        <v>0</v>
      </c>
      <c r="AD814" s="331">
        <f>Partner10!$N114</f>
        <v>0</v>
      </c>
    </row>
    <row r="815" spans="5:30" ht="12" x14ac:dyDescent="0.2">
      <c r="E815" s="301" t="str">
        <f>Strategy5</f>
        <v xml:space="preserve">Objetivo estratégico 5: Promoción de prácticas favorables a una nutrición óptima, de higiene y saneamiento básico. </v>
      </c>
      <c r="G815" s="94"/>
      <c r="H815" s="343"/>
      <c r="I815" s="344"/>
      <c r="J815" s="345"/>
      <c r="K815" s="365"/>
      <c r="L815" s="365"/>
      <c r="M815" s="365"/>
      <c r="N815" s="365"/>
      <c r="O815" s="365"/>
      <c r="P815" s="365"/>
      <c r="Q815" s="365"/>
      <c r="R815" s="365"/>
      <c r="S815" s="365"/>
      <c r="T815" s="365"/>
      <c r="U815" s="179"/>
      <c r="V815" s="179"/>
      <c r="W815" s="179"/>
      <c r="X815" s="179"/>
      <c r="Y815" s="179"/>
      <c r="Z815" s="179"/>
      <c r="AA815" s="179"/>
      <c r="AB815" s="179"/>
      <c r="AC815" s="179"/>
      <c r="AD815" s="179"/>
    </row>
    <row r="816" spans="5:30" ht="34.200000000000003" x14ac:dyDescent="0.2">
      <c r="F816" s="94" t="str">
        <f>STRAT5_IND1</f>
        <v>Se mejoran las prácticas nutricionales favorables para los niños menores de 5 años, los adolescentes, las mujeres embarazadas y lactantes, y otros grupos vulnerables.</v>
      </c>
      <c r="G816" s="94" t="str">
        <f ca="1">OFFSET(Variables_Lu!$D$10,Basic_Setup!H58,0)</f>
        <v>Nutrition-specific</v>
      </c>
      <c r="H816" s="346">
        <f>'Financial Req'!$N44</f>
        <v>4469100356.1111002</v>
      </c>
      <c r="I816" s="347">
        <f>H816-J816</f>
        <v>393871796.93151474</v>
      </c>
      <c r="J816" s="345">
        <f>SUM(K816:AD816)</f>
        <v>4075228559.1795855</v>
      </c>
      <c r="K816" s="365">
        <f>Government1!$N44</f>
        <v>16528128.920057997</v>
      </c>
      <c r="L816" s="365">
        <f>Government2!$N44</f>
        <v>1896354.6037544999</v>
      </c>
      <c r="M816" s="365">
        <f>Government3!$N44</f>
        <v>4976399.9999999991</v>
      </c>
      <c r="N816" s="365">
        <f>Government4!$N44</f>
        <v>532699.34438999987</v>
      </c>
      <c r="O816" s="365">
        <f>Government5!$N44</f>
        <v>229174.76176799997</v>
      </c>
      <c r="P816" s="365">
        <f>Government6!$N44</f>
        <v>80541397.407242998</v>
      </c>
      <c r="Q816" s="365">
        <f>Government7!$N44</f>
        <v>10031250.150168</v>
      </c>
      <c r="R816" s="365">
        <f>Government8!$N44</f>
        <v>493153.99220399995</v>
      </c>
      <c r="S816" s="365">
        <f>Government9!$N44</f>
        <v>0</v>
      </c>
      <c r="T816" s="365">
        <f>Government10!$N44</f>
        <v>0</v>
      </c>
      <c r="U816" s="179">
        <f>Partner1!$N115</f>
        <v>2160000000</v>
      </c>
      <c r="V816" s="179">
        <f>Partner2!$N115</f>
        <v>0</v>
      </c>
      <c r="W816" s="179">
        <f>Partner3!$N115</f>
        <v>0</v>
      </c>
      <c r="X816" s="179">
        <f>Partner4!$N115</f>
        <v>0</v>
      </c>
      <c r="Y816" s="179">
        <f>Partner5!$N115</f>
        <v>1800000000</v>
      </c>
      <c r="Z816" s="179">
        <f>Partner6!$N115</f>
        <v>0</v>
      </c>
      <c r="AA816" s="179">
        <f>Partner7!$N115</f>
        <v>0</v>
      </c>
      <c r="AB816" s="179">
        <f>Partner8!$N115</f>
        <v>0</v>
      </c>
      <c r="AC816" s="179">
        <f>Partner9!$N115</f>
        <v>0</v>
      </c>
      <c r="AD816" s="179">
        <f>Partner10!$N115</f>
        <v>0</v>
      </c>
    </row>
    <row r="817" spans="5:30" ht="22.8" x14ac:dyDescent="0.2">
      <c r="F817" s="94" t="str">
        <f>STRAT5_IND2</f>
        <v>Se promueven dietas saludables y estilos de vida saludables para las personas.</v>
      </c>
      <c r="G817" s="94" t="str">
        <f ca="1">OFFSET(Variables_Lu!$D$10,Basic_Setup!H59,0)</f>
        <v>Nutrition-specific</v>
      </c>
      <c r="H817" s="346">
        <f>'Financial Req'!$N45</f>
        <v>4469100356.1111002</v>
      </c>
      <c r="I817" s="347">
        <f>H817-J817</f>
        <v>3489871796.9315147</v>
      </c>
      <c r="J817" s="345">
        <f>SUM(K817:AD817)</f>
        <v>979228559.17958546</v>
      </c>
      <c r="K817" s="365">
        <f>Government1!$N45</f>
        <v>16528128.920057997</v>
      </c>
      <c r="L817" s="365">
        <f>Government2!$N45</f>
        <v>1896354.6037544999</v>
      </c>
      <c r="M817" s="365">
        <f>Government3!$N45</f>
        <v>4976399.9999999991</v>
      </c>
      <c r="N817" s="365">
        <f>Government4!$N45</f>
        <v>532699.34438999987</v>
      </c>
      <c r="O817" s="365">
        <f>Government5!$N45</f>
        <v>229174.76176799997</v>
      </c>
      <c r="P817" s="365">
        <f>Government6!$N45</f>
        <v>80541397.407242998</v>
      </c>
      <c r="Q817" s="365">
        <f>Government7!$N45</f>
        <v>10031250.150168</v>
      </c>
      <c r="R817" s="365">
        <f>Government8!$N45</f>
        <v>493153.99220399995</v>
      </c>
      <c r="S817" s="365">
        <f>Government9!$N45</f>
        <v>0</v>
      </c>
      <c r="T817" s="365">
        <f>Government10!$N45</f>
        <v>0</v>
      </c>
      <c r="U817" s="179">
        <f>Partner1!$N116</f>
        <v>864000000</v>
      </c>
      <c r="V817" s="179">
        <f>Partner2!$N116</f>
        <v>0</v>
      </c>
      <c r="W817" s="179">
        <f>Partner3!$N116</f>
        <v>0</v>
      </c>
      <c r="X817" s="179">
        <f>Partner4!$N116</f>
        <v>0</v>
      </c>
      <c r="Y817" s="179">
        <f>Partner5!$N116</f>
        <v>0</v>
      </c>
      <c r="Z817" s="179">
        <f>Partner6!$N116</f>
        <v>0</v>
      </c>
      <c r="AA817" s="179">
        <f>Partner7!$N116</f>
        <v>0</v>
      </c>
      <c r="AB817" s="179">
        <f>Partner8!$N116</f>
        <v>0</v>
      </c>
      <c r="AC817" s="179">
        <f>Partner9!$N116</f>
        <v>0</v>
      </c>
      <c r="AD817" s="179">
        <f>Partner10!$N116</f>
        <v>0</v>
      </c>
    </row>
    <row r="818" spans="5:30" ht="22.8" x14ac:dyDescent="0.2">
      <c r="F818" s="94" t="str">
        <f>STRAT5_IND3</f>
        <v>Se promueven las buenas prácticas WASH a nivel comunitario y doméstico</v>
      </c>
      <c r="G818" s="94" t="str">
        <f ca="1">OFFSET(Variables_Lu!$D$10,Basic_Setup!H60,0)</f>
        <v>Nutrition-sensitive</v>
      </c>
      <c r="H818" s="346">
        <f>'Financial Req'!$N46</f>
        <v>4469100356.1111002</v>
      </c>
      <c r="I818" s="347">
        <f>H818-J818</f>
        <v>3057871796.9315147</v>
      </c>
      <c r="J818" s="345">
        <f>SUM(K818:AD818)</f>
        <v>1411228559.1795855</v>
      </c>
      <c r="K818" s="365">
        <f>Government1!$N46</f>
        <v>16528128.920057997</v>
      </c>
      <c r="L818" s="365">
        <f>Government2!$N46</f>
        <v>1896354.6037544999</v>
      </c>
      <c r="M818" s="365">
        <f>Government3!$N46</f>
        <v>4976399.9999999991</v>
      </c>
      <c r="N818" s="365">
        <f>Government4!$N46</f>
        <v>532699.34438999987</v>
      </c>
      <c r="O818" s="365">
        <f>Government5!$N46</f>
        <v>229174.76176799997</v>
      </c>
      <c r="P818" s="365">
        <f>Government6!$N46</f>
        <v>80541397.407242998</v>
      </c>
      <c r="Q818" s="365">
        <f>Government7!$N46</f>
        <v>10031250.150168</v>
      </c>
      <c r="R818" s="365">
        <f>Government8!$N46</f>
        <v>493153.99220399995</v>
      </c>
      <c r="S818" s="365">
        <f>Government9!$N46</f>
        <v>0</v>
      </c>
      <c r="T818" s="365">
        <f>Government10!$N46</f>
        <v>0</v>
      </c>
      <c r="U818" s="179">
        <f>Partner1!$N117</f>
        <v>1296000000</v>
      </c>
      <c r="V818" s="179">
        <f>Partner2!$N117</f>
        <v>0</v>
      </c>
      <c r="W818" s="179">
        <f>Partner3!$N117</f>
        <v>0</v>
      </c>
      <c r="X818" s="179">
        <f>Partner4!$N117</f>
        <v>0</v>
      </c>
      <c r="Y818" s="179">
        <f>Partner5!$N117</f>
        <v>0</v>
      </c>
      <c r="Z818" s="179">
        <f>Partner6!$N117</f>
        <v>0</v>
      </c>
      <c r="AA818" s="179">
        <f>Partner7!$N117</f>
        <v>0</v>
      </c>
      <c r="AB818" s="179">
        <f>Partner8!$N117</f>
        <v>0</v>
      </c>
      <c r="AC818" s="179">
        <f>Partner9!$N117</f>
        <v>0</v>
      </c>
      <c r="AD818" s="179">
        <f>Partner10!$N117</f>
        <v>0</v>
      </c>
    </row>
    <row r="819" spans="5:30" ht="12" x14ac:dyDescent="0.2">
      <c r="F819" s="94" t="str">
        <f>STRAT5_IND4</f>
        <v>Objetivo estratégico 5 Indicador 4</v>
      </c>
      <c r="G819" s="94" t="str">
        <f ca="1">OFFSET(Variables_Lu!$D$10,Basic_Setup!H61,0)</f>
        <v>Nutrition-specific</v>
      </c>
      <c r="H819" s="346">
        <f>'Financial Req'!$N47</f>
        <v>0</v>
      </c>
      <c r="I819" s="347">
        <f>H819-J819</f>
        <v>0</v>
      </c>
      <c r="J819" s="345">
        <f>SUM(K819:AD819)</f>
        <v>0</v>
      </c>
      <c r="K819" s="365">
        <f>Government1!$N47</f>
        <v>0</v>
      </c>
      <c r="L819" s="365">
        <f>Government2!$N47</f>
        <v>0</v>
      </c>
      <c r="M819" s="365">
        <f>Government3!$N47</f>
        <v>0</v>
      </c>
      <c r="N819" s="365">
        <f>Government4!$N47</f>
        <v>0</v>
      </c>
      <c r="O819" s="365">
        <f>Government5!$N47</f>
        <v>0</v>
      </c>
      <c r="P819" s="365">
        <f>Government6!$N47</f>
        <v>0</v>
      </c>
      <c r="Q819" s="365">
        <f>Government7!$N47</f>
        <v>0</v>
      </c>
      <c r="R819" s="365">
        <f>Government8!$N47</f>
        <v>0</v>
      </c>
      <c r="S819" s="365">
        <f>Government9!$N47</f>
        <v>0</v>
      </c>
      <c r="T819" s="365">
        <f>Government10!$N47</f>
        <v>0</v>
      </c>
      <c r="U819" s="179">
        <f>Partner1!$N118</f>
        <v>0</v>
      </c>
      <c r="V819" s="179">
        <f>Partner2!$N118</f>
        <v>0</v>
      </c>
      <c r="W819" s="179">
        <f>Partner3!$N118</f>
        <v>0</v>
      </c>
      <c r="X819" s="179">
        <f>Partner4!$N118</f>
        <v>0</v>
      </c>
      <c r="Y819" s="179">
        <f>Partner5!$N118</f>
        <v>0</v>
      </c>
      <c r="Z819" s="179">
        <f>Partner6!$N118</f>
        <v>0</v>
      </c>
      <c r="AA819" s="179">
        <f>Partner7!$N118</f>
        <v>0</v>
      </c>
      <c r="AB819" s="179">
        <f>Partner8!$N118</f>
        <v>0</v>
      </c>
      <c r="AC819" s="179">
        <f>Partner9!$N118</f>
        <v>0</v>
      </c>
      <c r="AD819" s="179">
        <f>Partner10!$N118</f>
        <v>0</v>
      </c>
    </row>
    <row r="820" spans="5:30" ht="12" x14ac:dyDescent="0.2">
      <c r="F820" s="94" t="str">
        <f>STRAT5_IND5</f>
        <v>Objetivo estratégico 5 Indicador 5</v>
      </c>
      <c r="G820" s="94" t="str">
        <f ca="1">OFFSET(Variables_Lu!$D$10,Basic_Setup!H62,0)</f>
        <v>Nutrition-specific</v>
      </c>
      <c r="H820" s="346">
        <f>'Financial Req'!$N48</f>
        <v>0</v>
      </c>
      <c r="I820" s="347">
        <f>H820-J820</f>
        <v>0</v>
      </c>
      <c r="J820" s="345">
        <f>SUM(K820:AD820)</f>
        <v>0</v>
      </c>
      <c r="K820" s="365">
        <f>Government1!$N48</f>
        <v>0</v>
      </c>
      <c r="L820" s="365">
        <f>Government2!$N48</f>
        <v>0</v>
      </c>
      <c r="M820" s="365">
        <f>Government3!$N48</f>
        <v>0</v>
      </c>
      <c r="N820" s="365">
        <f>Government4!$N48</f>
        <v>0</v>
      </c>
      <c r="O820" s="365">
        <f>Government5!$N48</f>
        <v>0</v>
      </c>
      <c r="P820" s="365">
        <f>Government6!$N48</f>
        <v>0</v>
      </c>
      <c r="Q820" s="365">
        <f>Government7!$N48</f>
        <v>0</v>
      </c>
      <c r="R820" s="365">
        <f>Government8!$N48</f>
        <v>0</v>
      </c>
      <c r="S820" s="365">
        <f>Government9!$N48</f>
        <v>0</v>
      </c>
      <c r="T820" s="365">
        <f>Government10!$N48</f>
        <v>0</v>
      </c>
      <c r="U820" s="179">
        <f>Partner1!$N119</f>
        <v>0</v>
      </c>
      <c r="V820" s="179">
        <f>Partner2!$N119</f>
        <v>0</v>
      </c>
      <c r="W820" s="179">
        <f>Partner3!$N119</f>
        <v>0</v>
      </c>
      <c r="X820" s="179">
        <f>Partner4!$N119</f>
        <v>0</v>
      </c>
      <c r="Y820" s="179">
        <f>Partner5!$N119</f>
        <v>0</v>
      </c>
      <c r="Z820" s="179">
        <f>Partner6!$N119</f>
        <v>0</v>
      </c>
      <c r="AA820" s="179">
        <f>Partner7!$N119</f>
        <v>0</v>
      </c>
      <c r="AB820" s="179">
        <f>Partner8!$N119</f>
        <v>0</v>
      </c>
      <c r="AC820" s="179">
        <f>Partner9!$N119</f>
        <v>0</v>
      </c>
      <c r="AD820" s="179">
        <f>Partner10!$N119</f>
        <v>0</v>
      </c>
    </row>
    <row r="821" spans="5:30" ht="34.200000000000003" x14ac:dyDescent="0.2">
      <c r="F821" s="332" t="str">
        <f>"Subtotal: "&amp;E195</f>
        <v xml:space="preserve">Subtotal: Objetivo estratégico 5: Promoción de prácticas favorables a una nutrición óptima, de higiene y saneamiento básico. </v>
      </c>
      <c r="G821" s="333"/>
      <c r="H821" s="348">
        <f>'Financial Req'!$N49</f>
        <v>13407301068.333302</v>
      </c>
      <c r="I821" s="349">
        <f>SUM(I816:I820)</f>
        <v>6941615390.7945442</v>
      </c>
      <c r="J821" s="350">
        <f>SUM(J816:J820)</f>
        <v>6465685677.5387564</v>
      </c>
      <c r="K821" s="366">
        <f>Government1!$N49</f>
        <v>49584386.760173991</v>
      </c>
      <c r="L821" s="366">
        <f>Government2!$N49</f>
        <v>5689063.8112634998</v>
      </c>
      <c r="M821" s="366">
        <f>Government3!$N49</f>
        <v>14929199.999999996</v>
      </c>
      <c r="N821" s="366">
        <f>Government4!$N49</f>
        <v>1598098.0331699997</v>
      </c>
      <c r="O821" s="366">
        <f>Government5!$N49</f>
        <v>687524.2853039999</v>
      </c>
      <c r="P821" s="366">
        <f>Government6!$N49</f>
        <v>241624192.22172898</v>
      </c>
      <c r="Q821" s="366">
        <f>Government7!$N49</f>
        <v>30093750.450503998</v>
      </c>
      <c r="R821" s="366">
        <f>Government8!$N49</f>
        <v>1479461.9766119998</v>
      </c>
      <c r="S821" s="366">
        <f>Government9!$N49</f>
        <v>0</v>
      </c>
      <c r="T821" s="366">
        <f>Government10!$N49</f>
        <v>0</v>
      </c>
      <c r="U821" s="331">
        <f>Partner1!$N120</f>
        <v>4320000000</v>
      </c>
      <c r="V821" s="331">
        <f>Partner2!$N120</f>
        <v>0</v>
      </c>
      <c r="W821" s="331">
        <f>Partner3!$N120</f>
        <v>0</v>
      </c>
      <c r="X821" s="331">
        <f>Partner4!$N120</f>
        <v>0</v>
      </c>
      <c r="Y821" s="331">
        <f>Partner5!$N120</f>
        <v>1800000000</v>
      </c>
      <c r="Z821" s="331">
        <f>Partner6!$N120</f>
        <v>0</v>
      </c>
      <c r="AA821" s="331">
        <f>Partner7!$N120</f>
        <v>0</v>
      </c>
      <c r="AB821" s="331">
        <f>Partner8!$N120</f>
        <v>0</v>
      </c>
      <c r="AC821" s="331">
        <f>Partner9!$N120</f>
        <v>0</v>
      </c>
      <c r="AD821" s="331">
        <f>Partner10!$N120</f>
        <v>0</v>
      </c>
    </row>
    <row r="822" spans="5:30" ht="12" x14ac:dyDescent="0.2">
      <c r="E822" s="301" t="str">
        <f>Strategy6</f>
        <v>Objetivo estratégico 6: [No está en uso]</v>
      </c>
      <c r="G822" s="94"/>
      <c r="H822" s="343"/>
      <c r="I822" s="344"/>
      <c r="J822" s="345"/>
      <c r="K822" s="365"/>
      <c r="L822" s="365"/>
      <c r="M822" s="365"/>
      <c r="N822" s="365"/>
      <c r="O822" s="365"/>
      <c r="P822" s="365"/>
      <c r="Q822" s="365"/>
      <c r="R822" s="365"/>
      <c r="S822" s="365"/>
      <c r="T822" s="365"/>
      <c r="U822" s="179"/>
      <c r="V822" s="179"/>
      <c r="W822" s="179"/>
      <c r="X822" s="179"/>
      <c r="Y822" s="179"/>
      <c r="Z822" s="179"/>
      <c r="AA822" s="179"/>
      <c r="AB822" s="179"/>
      <c r="AC822" s="179"/>
      <c r="AD822" s="179"/>
    </row>
    <row r="823" spans="5:30" ht="12" x14ac:dyDescent="0.2">
      <c r="F823" s="94" t="str">
        <f>STRAT6_IND1</f>
        <v>Objetivo estratégico 6 Indicador 1</v>
      </c>
      <c r="G823" s="94" t="str">
        <f ca="1">OFFSET(Variables_Lu!$D$10,Basic_Setup!H64,0)</f>
        <v>Nutrition-specific</v>
      </c>
      <c r="H823" s="346">
        <f>'Financial Req'!$N50</f>
        <v>0</v>
      </c>
      <c r="I823" s="347">
        <f>H823-J823</f>
        <v>0</v>
      </c>
      <c r="J823" s="345">
        <f>SUM(K823:AD823)</f>
        <v>0</v>
      </c>
      <c r="K823" s="365">
        <f>Government1!$N50</f>
        <v>0</v>
      </c>
      <c r="L823" s="365">
        <f>Government2!$N50</f>
        <v>0</v>
      </c>
      <c r="M823" s="365">
        <f>Government3!$N50</f>
        <v>0</v>
      </c>
      <c r="N823" s="365">
        <f>Government4!$N50</f>
        <v>0</v>
      </c>
      <c r="O823" s="365">
        <f>Government5!$N50</f>
        <v>0</v>
      </c>
      <c r="P823" s="365">
        <f>Government6!$N50</f>
        <v>0</v>
      </c>
      <c r="Q823" s="365">
        <f>Government7!$N50</f>
        <v>0</v>
      </c>
      <c r="R823" s="365">
        <f>Government8!$N50</f>
        <v>0</v>
      </c>
      <c r="S823" s="365">
        <f>Government9!$N50</f>
        <v>0</v>
      </c>
      <c r="T823" s="365">
        <f>Government10!$N50</f>
        <v>0</v>
      </c>
      <c r="U823" s="179">
        <f>Partner1!$N121</f>
        <v>0</v>
      </c>
      <c r="V823" s="179">
        <f>Partner2!$N121</f>
        <v>0</v>
      </c>
      <c r="W823" s="179">
        <f>Partner3!$N121</f>
        <v>0</v>
      </c>
      <c r="X823" s="179">
        <f>Partner4!$N121</f>
        <v>0</v>
      </c>
      <c r="Y823" s="179">
        <f>Partner5!$N121</f>
        <v>0</v>
      </c>
      <c r="Z823" s="179">
        <f>Partner6!$N121</f>
        <v>0</v>
      </c>
      <c r="AA823" s="179">
        <f>Partner7!$N121</f>
        <v>0</v>
      </c>
      <c r="AB823" s="179">
        <f>Partner8!$N121</f>
        <v>0</v>
      </c>
      <c r="AC823" s="179">
        <f>Partner9!$N121</f>
        <v>0</v>
      </c>
      <c r="AD823" s="179">
        <f>Partner10!$N121</f>
        <v>0</v>
      </c>
    </row>
    <row r="824" spans="5:30" ht="12" x14ac:dyDescent="0.2">
      <c r="F824" s="94" t="str">
        <f>STRAT6_IND2</f>
        <v>Objetivo estratégico 6 Indicador 2</v>
      </c>
      <c r="G824" s="94" t="str">
        <f ca="1">OFFSET(Variables_Lu!$D$10,Basic_Setup!H65,0)</f>
        <v>Nutrition-specific</v>
      </c>
      <c r="H824" s="346">
        <f>'Financial Req'!$N51</f>
        <v>0</v>
      </c>
      <c r="I824" s="347">
        <f>H824-J824</f>
        <v>0</v>
      </c>
      <c r="J824" s="345">
        <f>SUM(K824:AD824)</f>
        <v>0</v>
      </c>
      <c r="K824" s="365">
        <f>Government1!$N51</f>
        <v>0</v>
      </c>
      <c r="L824" s="365">
        <f>Government2!$N51</f>
        <v>0</v>
      </c>
      <c r="M824" s="365">
        <f>Government3!$N51</f>
        <v>0</v>
      </c>
      <c r="N824" s="365">
        <f>Government4!$N51</f>
        <v>0</v>
      </c>
      <c r="O824" s="365">
        <f>Government5!$N51</f>
        <v>0</v>
      </c>
      <c r="P824" s="365">
        <f>Government6!$N51</f>
        <v>0</v>
      </c>
      <c r="Q824" s="365">
        <f>Government7!$N51</f>
        <v>0</v>
      </c>
      <c r="R824" s="365">
        <f>Government8!$N51</f>
        <v>0</v>
      </c>
      <c r="S824" s="365">
        <f>Government9!$N51</f>
        <v>0</v>
      </c>
      <c r="T824" s="365">
        <f>Government10!$N51</f>
        <v>0</v>
      </c>
      <c r="U824" s="179">
        <f>Partner1!$N122</f>
        <v>0</v>
      </c>
      <c r="V824" s="179">
        <f>Partner2!$N122</f>
        <v>0</v>
      </c>
      <c r="W824" s="179">
        <f>Partner3!$N122</f>
        <v>0</v>
      </c>
      <c r="X824" s="179">
        <f>Partner4!$N122</f>
        <v>0</v>
      </c>
      <c r="Y824" s="179">
        <f>Partner5!$N122</f>
        <v>0</v>
      </c>
      <c r="Z824" s="179">
        <f>Partner6!$N122</f>
        <v>0</v>
      </c>
      <c r="AA824" s="179">
        <f>Partner7!$N122</f>
        <v>0</v>
      </c>
      <c r="AB824" s="179">
        <f>Partner8!$N122</f>
        <v>0</v>
      </c>
      <c r="AC824" s="179">
        <f>Partner9!$N122</f>
        <v>0</v>
      </c>
      <c r="AD824" s="179">
        <f>Partner10!$N122</f>
        <v>0</v>
      </c>
    </row>
    <row r="825" spans="5:30" ht="12" x14ac:dyDescent="0.2">
      <c r="F825" s="94" t="str">
        <f>STRAT6_IND3</f>
        <v>Objetivo estratégico 6 Indicador 3</v>
      </c>
      <c r="G825" s="94" t="str">
        <f ca="1">OFFSET(Variables_Lu!$D$10,Basic_Setup!H66,0)</f>
        <v>Nutrition-specific</v>
      </c>
      <c r="H825" s="346">
        <f>'Financial Req'!$N52</f>
        <v>0</v>
      </c>
      <c r="I825" s="347">
        <f>H825-J825</f>
        <v>0</v>
      </c>
      <c r="J825" s="345">
        <f>SUM(K825:AD825)</f>
        <v>0</v>
      </c>
      <c r="K825" s="365">
        <f>Government1!$N52</f>
        <v>0</v>
      </c>
      <c r="L825" s="365">
        <f>Government2!$N52</f>
        <v>0</v>
      </c>
      <c r="M825" s="365">
        <f>Government3!$N52</f>
        <v>0</v>
      </c>
      <c r="N825" s="365">
        <f>Government4!$N52</f>
        <v>0</v>
      </c>
      <c r="O825" s="365">
        <f>Government5!$N52</f>
        <v>0</v>
      </c>
      <c r="P825" s="365">
        <f>Government6!$N52</f>
        <v>0</v>
      </c>
      <c r="Q825" s="365">
        <f>Government7!$N52</f>
        <v>0</v>
      </c>
      <c r="R825" s="365">
        <f>Government8!$N52</f>
        <v>0</v>
      </c>
      <c r="S825" s="365">
        <f>Government9!$N52</f>
        <v>0</v>
      </c>
      <c r="T825" s="365">
        <f>Government10!$N52</f>
        <v>0</v>
      </c>
      <c r="U825" s="179">
        <f>Partner1!$N123</f>
        <v>0</v>
      </c>
      <c r="V825" s="179">
        <f>Partner2!$N123</f>
        <v>0</v>
      </c>
      <c r="W825" s="179">
        <f>Partner3!$N123</f>
        <v>0</v>
      </c>
      <c r="X825" s="179">
        <f>Partner4!$N123</f>
        <v>0</v>
      </c>
      <c r="Y825" s="179">
        <f>Partner5!$N123</f>
        <v>0</v>
      </c>
      <c r="Z825" s="179">
        <f>Partner6!$N123</f>
        <v>0</v>
      </c>
      <c r="AA825" s="179">
        <f>Partner7!$N123</f>
        <v>0</v>
      </c>
      <c r="AB825" s="179">
        <f>Partner8!$N123</f>
        <v>0</v>
      </c>
      <c r="AC825" s="179">
        <f>Partner9!$N123</f>
        <v>0</v>
      </c>
      <c r="AD825" s="179">
        <f>Partner10!$N123</f>
        <v>0</v>
      </c>
    </row>
    <row r="826" spans="5:30" ht="12" x14ac:dyDescent="0.2">
      <c r="F826" s="94" t="str">
        <f>STRAT6_IND4</f>
        <v>Objetivo estratégico 6 Indicador 4</v>
      </c>
      <c r="G826" s="94" t="str">
        <f ca="1">OFFSET(Variables_Lu!$D$10,Basic_Setup!H67,0)</f>
        <v>Nutrition-specific</v>
      </c>
      <c r="H826" s="346">
        <f>'Financial Req'!$N53</f>
        <v>0</v>
      </c>
      <c r="I826" s="347">
        <f>H826-J826</f>
        <v>0</v>
      </c>
      <c r="J826" s="345">
        <f>SUM(K826:AD826)</f>
        <v>0</v>
      </c>
      <c r="K826" s="365">
        <f>Government1!$N53</f>
        <v>0</v>
      </c>
      <c r="L826" s="365">
        <f>Government2!$N53</f>
        <v>0</v>
      </c>
      <c r="M826" s="365">
        <f>Government3!$N53</f>
        <v>0</v>
      </c>
      <c r="N826" s="365">
        <f>Government4!$N53</f>
        <v>0</v>
      </c>
      <c r="O826" s="365">
        <f>Government5!$N53</f>
        <v>0</v>
      </c>
      <c r="P826" s="365">
        <f>Government6!$N53</f>
        <v>0</v>
      </c>
      <c r="Q826" s="365">
        <f>Government7!$N53</f>
        <v>0</v>
      </c>
      <c r="R826" s="365">
        <f>Government8!$N53</f>
        <v>0</v>
      </c>
      <c r="S826" s="365">
        <f>Government9!$N53</f>
        <v>0</v>
      </c>
      <c r="T826" s="365">
        <f>Government10!$N53</f>
        <v>0</v>
      </c>
      <c r="U826" s="179">
        <f>Partner1!$N124</f>
        <v>0</v>
      </c>
      <c r="V826" s="179">
        <f>Partner2!$N124</f>
        <v>0</v>
      </c>
      <c r="W826" s="179">
        <f>Partner3!$N124</f>
        <v>0</v>
      </c>
      <c r="X826" s="179">
        <f>Partner4!$N124</f>
        <v>0</v>
      </c>
      <c r="Y826" s="179">
        <f>Partner5!$N124</f>
        <v>0</v>
      </c>
      <c r="Z826" s="179">
        <f>Partner6!$N124</f>
        <v>0</v>
      </c>
      <c r="AA826" s="179">
        <f>Partner7!$N124</f>
        <v>0</v>
      </c>
      <c r="AB826" s="179">
        <f>Partner8!$N124</f>
        <v>0</v>
      </c>
      <c r="AC826" s="179">
        <f>Partner9!$N124</f>
        <v>0</v>
      </c>
      <c r="AD826" s="179">
        <f>Partner10!$N124</f>
        <v>0</v>
      </c>
    </row>
    <row r="827" spans="5:30" ht="12" x14ac:dyDescent="0.2">
      <c r="F827" s="94" t="str">
        <f>STRAT6_IND5</f>
        <v>Objetivo estratégico 6 Indicador 5</v>
      </c>
      <c r="G827" s="94" t="str">
        <f ca="1">OFFSET(Variables_Lu!$D$10,Basic_Setup!H68,0)</f>
        <v>Nutrition-specific</v>
      </c>
      <c r="H827" s="346">
        <f>'Financial Req'!$N54</f>
        <v>0</v>
      </c>
      <c r="I827" s="347">
        <f>H827-J827</f>
        <v>0</v>
      </c>
      <c r="J827" s="345">
        <f>SUM(K827:AD827)</f>
        <v>0</v>
      </c>
      <c r="K827" s="365">
        <f>Government1!$N54</f>
        <v>0</v>
      </c>
      <c r="L827" s="365">
        <f>Government2!$N54</f>
        <v>0</v>
      </c>
      <c r="M827" s="365">
        <f>Government3!$N54</f>
        <v>0</v>
      </c>
      <c r="N827" s="365">
        <f>Government4!$N54</f>
        <v>0</v>
      </c>
      <c r="O827" s="365">
        <f>Government5!$N54</f>
        <v>0</v>
      </c>
      <c r="P827" s="365">
        <f>Government6!$N54</f>
        <v>0</v>
      </c>
      <c r="Q827" s="365">
        <f>Government7!$N54</f>
        <v>0</v>
      </c>
      <c r="R827" s="365">
        <f>Government8!$N54</f>
        <v>0</v>
      </c>
      <c r="S827" s="365">
        <f>Government9!$N54</f>
        <v>0</v>
      </c>
      <c r="T827" s="365">
        <f>Government10!$N54</f>
        <v>0</v>
      </c>
      <c r="U827" s="179">
        <f>Partner1!$N125</f>
        <v>0</v>
      </c>
      <c r="V827" s="179">
        <f>Partner2!$N125</f>
        <v>0</v>
      </c>
      <c r="W827" s="179">
        <f>Partner3!$N125</f>
        <v>0</v>
      </c>
      <c r="X827" s="179">
        <f>Partner4!$N125</f>
        <v>0</v>
      </c>
      <c r="Y827" s="179">
        <f>Partner5!$N125</f>
        <v>0</v>
      </c>
      <c r="Z827" s="179">
        <f>Partner6!$N125</f>
        <v>0</v>
      </c>
      <c r="AA827" s="179">
        <f>Partner7!$N125</f>
        <v>0</v>
      </c>
      <c r="AB827" s="179">
        <f>Partner8!$N125</f>
        <v>0</v>
      </c>
      <c r="AC827" s="179">
        <f>Partner9!$N125</f>
        <v>0</v>
      </c>
      <c r="AD827" s="179">
        <f>Partner10!$N125</f>
        <v>0</v>
      </c>
    </row>
    <row r="828" spans="5:30" x14ac:dyDescent="0.2">
      <c r="F828" s="332" t="str">
        <f>"Subtotal: "&amp;E202</f>
        <v>Subtotal: Objetivo estratégico 6: [No está en uso]</v>
      </c>
      <c r="G828" s="333"/>
      <c r="H828" s="348">
        <f>'Financial Req'!$N55</f>
        <v>0</v>
      </c>
      <c r="I828" s="349">
        <f>SUM(I823:I827)</f>
        <v>0</v>
      </c>
      <c r="J828" s="350">
        <f>SUM(J823:J827)</f>
        <v>0</v>
      </c>
      <c r="K828" s="366">
        <f>Government1!$N55</f>
        <v>0</v>
      </c>
      <c r="L828" s="366">
        <f>Government2!$N55</f>
        <v>0</v>
      </c>
      <c r="M828" s="366">
        <f>Government3!$N55</f>
        <v>0</v>
      </c>
      <c r="N828" s="366">
        <f>Government4!$N55</f>
        <v>0</v>
      </c>
      <c r="O828" s="366">
        <f>Government5!$N55</f>
        <v>0</v>
      </c>
      <c r="P828" s="366">
        <f>Government6!$N55</f>
        <v>0</v>
      </c>
      <c r="Q828" s="366">
        <f>Government7!$N55</f>
        <v>0</v>
      </c>
      <c r="R828" s="366">
        <f>Government8!$N55</f>
        <v>0</v>
      </c>
      <c r="S828" s="366">
        <f>Government9!$N55</f>
        <v>0</v>
      </c>
      <c r="T828" s="366">
        <f>Government10!$N55</f>
        <v>0</v>
      </c>
      <c r="U828" s="331">
        <f>Partner1!$N126</f>
        <v>0</v>
      </c>
      <c r="V828" s="331">
        <f>Partner2!$N126</f>
        <v>0</v>
      </c>
      <c r="W828" s="331">
        <f>Partner3!$N126</f>
        <v>0</v>
      </c>
      <c r="X828" s="331">
        <f>Partner4!$N126</f>
        <v>0</v>
      </c>
      <c r="Y828" s="331">
        <f>Partner5!$N126</f>
        <v>0</v>
      </c>
      <c r="Z828" s="331">
        <f>Partner6!$N126</f>
        <v>0</v>
      </c>
      <c r="AA828" s="331">
        <f>Partner7!$N126</f>
        <v>0</v>
      </c>
      <c r="AB828" s="331">
        <f>Partner8!$N126</f>
        <v>0</v>
      </c>
      <c r="AC828" s="331">
        <f>Partner9!$N126</f>
        <v>0</v>
      </c>
      <c r="AD828" s="331">
        <f>Partner10!$N126</f>
        <v>0</v>
      </c>
    </row>
    <row r="829" spans="5:30" ht="12" x14ac:dyDescent="0.2">
      <c r="E829" s="301" t="str">
        <f>Strategy7</f>
        <v>Objetivo estratégico 7: [No está en uso]</v>
      </c>
      <c r="G829" s="94"/>
      <c r="H829" s="343"/>
      <c r="I829" s="344"/>
      <c r="J829" s="345"/>
      <c r="K829" s="365"/>
      <c r="L829" s="365"/>
      <c r="M829" s="365"/>
      <c r="N829" s="365"/>
      <c r="O829" s="365"/>
      <c r="P829" s="365"/>
      <c r="Q829" s="365"/>
      <c r="R829" s="365"/>
      <c r="S829" s="365"/>
      <c r="T829" s="365"/>
      <c r="U829" s="179"/>
      <c r="V829" s="179"/>
      <c r="W829" s="179"/>
      <c r="X829" s="179"/>
      <c r="Y829" s="179"/>
      <c r="Z829" s="179"/>
      <c r="AA829" s="179"/>
      <c r="AB829" s="179"/>
      <c r="AC829" s="179"/>
      <c r="AD829" s="179"/>
    </row>
    <row r="830" spans="5:30" ht="12" x14ac:dyDescent="0.2">
      <c r="F830" s="94" t="str">
        <f>STRAT7_IND1</f>
        <v>Objetivo estratégico 7 Indicador 1</v>
      </c>
      <c r="G830" s="94" t="str">
        <f ca="1">OFFSET(Variables_Lu!$D$10,Basic_Setup!H70,0)</f>
        <v>Nutrition-specific</v>
      </c>
      <c r="H830" s="346">
        <f>'Financial Req'!$N56</f>
        <v>0</v>
      </c>
      <c r="I830" s="347">
        <f>H830-J830</f>
        <v>0</v>
      </c>
      <c r="J830" s="345">
        <f>SUM(K830:AD830)</f>
        <v>0</v>
      </c>
      <c r="K830" s="365">
        <f>Government1!$N56</f>
        <v>0</v>
      </c>
      <c r="L830" s="365">
        <f>Government2!$N56</f>
        <v>0</v>
      </c>
      <c r="M830" s="365">
        <f>Government3!$N56</f>
        <v>0</v>
      </c>
      <c r="N830" s="365">
        <f>Government4!$N56</f>
        <v>0</v>
      </c>
      <c r="O830" s="365">
        <f>Government5!$N56</f>
        <v>0</v>
      </c>
      <c r="P830" s="365">
        <f>Government6!$N56</f>
        <v>0</v>
      </c>
      <c r="Q830" s="365">
        <f>Government7!$N56</f>
        <v>0</v>
      </c>
      <c r="R830" s="365">
        <f>Government8!$N56</f>
        <v>0</v>
      </c>
      <c r="S830" s="365">
        <f>Government9!$N56</f>
        <v>0</v>
      </c>
      <c r="T830" s="365">
        <f>Government10!$N56</f>
        <v>0</v>
      </c>
      <c r="U830" s="179">
        <f>Partner1!$N127</f>
        <v>0</v>
      </c>
      <c r="V830" s="179">
        <f>Partner2!$N127</f>
        <v>0</v>
      </c>
      <c r="W830" s="179">
        <f>Partner3!$N127</f>
        <v>0</v>
      </c>
      <c r="X830" s="179">
        <f>Partner4!$N127</f>
        <v>0</v>
      </c>
      <c r="Y830" s="179">
        <f>Partner5!$N127</f>
        <v>0</v>
      </c>
      <c r="Z830" s="179">
        <f>Partner6!$N127</f>
        <v>0</v>
      </c>
      <c r="AA830" s="179">
        <f>Partner7!$N127</f>
        <v>0</v>
      </c>
      <c r="AB830" s="179">
        <f>Partner8!$N127</f>
        <v>0</v>
      </c>
      <c r="AC830" s="179">
        <f>Partner9!$N127</f>
        <v>0</v>
      </c>
      <c r="AD830" s="179">
        <f>Partner10!$N127</f>
        <v>0</v>
      </c>
    </row>
    <row r="831" spans="5:30" ht="12" x14ac:dyDescent="0.2">
      <c r="F831" s="94" t="str">
        <f>STRAT7_IND2</f>
        <v>Objetivo estratégico 7 Indicador 2</v>
      </c>
      <c r="G831" s="94" t="str">
        <f ca="1">OFFSET(Variables_Lu!$D$10,Basic_Setup!H71,0)</f>
        <v>Nutrition-specific</v>
      </c>
      <c r="H831" s="346">
        <f>'Financial Req'!$N57</f>
        <v>0</v>
      </c>
      <c r="I831" s="347">
        <f>H831-J831</f>
        <v>0</v>
      </c>
      <c r="J831" s="345">
        <f>SUM(K831:AD831)</f>
        <v>0</v>
      </c>
      <c r="K831" s="365">
        <f>Government1!$N57</f>
        <v>0</v>
      </c>
      <c r="L831" s="365">
        <f>Government2!$N57</f>
        <v>0</v>
      </c>
      <c r="M831" s="365">
        <f>Government3!$N57</f>
        <v>0</v>
      </c>
      <c r="N831" s="365">
        <f>Government4!$N57</f>
        <v>0</v>
      </c>
      <c r="O831" s="365">
        <f>Government5!$N57</f>
        <v>0</v>
      </c>
      <c r="P831" s="365">
        <f>Government6!$N57</f>
        <v>0</v>
      </c>
      <c r="Q831" s="365">
        <f>Government7!$N57</f>
        <v>0</v>
      </c>
      <c r="R831" s="365">
        <f>Government8!$N57</f>
        <v>0</v>
      </c>
      <c r="S831" s="365">
        <f>Government9!$N57</f>
        <v>0</v>
      </c>
      <c r="T831" s="365">
        <f>Government10!$N57</f>
        <v>0</v>
      </c>
      <c r="U831" s="179">
        <f>Partner1!$N128</f>
        <v>0</v>
      </c>
      <c r="V831" s="179">
        <f>Partner2!$N128</f>
        <v>0</v>
      </c>
      <c r="W831" s="179">
        <f>Partner3!$N128</f>
        <v>0</v>
      </c>
      <c r="X831" s="179">
        <f>Partner4!$N128</f>
        <v>0</v>
      </c>
      <c r="Y831" s="179">
        <f>Partner5!$N128</f>
        <v>0</v>
      </c>
      <c r="Z831" s="179">
        <f>Partner6!$N128</f>
        <v>0</v>
      </c>
      <c r="AA831" s="179">
        <f>Partner7!$N128</f>
        <v>0</v>
      </c>
      <c r="AB831" s="179">
        <f>Partner8!$N128</f>
        <v>0</v>
      </c>
      <c r="AC831" s="179">
        <f>Partner9!$N128</f>
        <v>0</v>
      </c>
      <c r="AD831" s="179">
        <f>Partner10!$N128</f>
        <v>0</v>
      </c>
    </row>
    <row r="832" spans="5:30" ht="12" x14ac:dyDescent="0.2">
      <c r="F832" s="94" t="str">
        <f>STRAT7_IND3</f>
        <v>Objetivo estratégico 7 Indicador 3</v>
      </c>
      <c r="G832" s="94" t="str">
        <f ca="1">OFFSET(Variables_Lu!$D$10,Basic_Setup!H72,0)</f>
        <v>Nutrition-specific</v>
      </c>
      <c r="H832" s="346">
        <f>'Financial Req'!$N58</f>
        <v>0</v>
      </c>
      <c r="I832" s="347">
        <f>H832-J832</f>
        <v>0</v>
      </c>
      <c r="J832" s="345">
        <f>SUM(K832:AD832)</f>
        <v>0</v>
      </c>
      <c r="K832" s="365">
        <f>Government1!$N58</f>
        <v>0</v>
      </c>
      <c r="L832" s="365">
        <f>Government2!$N58</f>
        <v>0</v>
      </c>
      <c r="M832" s="365">
        <f>Government3!$N58</f>
        <v>0</v>
      </c>
      <c r="N832" s="365">
        <f>Government4!$N58</f>
        <v>0</v>
      </c>
      <c r="O832" s="365">
        <f>Government5!$N58</f>
        <v>0</v>
      </c>
      <c r="P832" s="365">
        <f>Government6!$N58</f>
        <v>0</v>
      </c>
      <c r="Q832" s="365">
        <f>Government7!$N58</f>
        <v>0</v>
      </c>
      <c r="R832" s="365">
        <f>Government8!$N58</f>
        <v>0</v>
      </c>
      <c r="S832" s="365">
        <f>Government9!$N58</f>
        <v>0</v>
      </c>
      <c r="T832" s="365">
        <f>Government10!$N58</f>
        <v>0</v>
      </c>
      <c r="U832" s="179">
        <f>Partner1!$N129</f>
        <v>0</v>
      </c>
      <c r="V832" s="179">
        <f>Partner2!$N129</f>
        <v>0</v>
      </c>
      <c r="W832" s="179">
        <f>Partner3!$N129</f>
        <v>0</v>
      </c>
      <c r="X832" s="179">
        <f>Partner4!$N129</f>
        <v>0</v>
      </c>
      <c r="Y832" s="179">
        <f>Partner5!$N129</f>
        <v>0</v>
      </c>
      <c r="Z832" s="179">
        <f>Partner6!$N129</f>
        <v>0</v>
      </c>
      <c r="AA832" s="179">
        <f>Partner7!$N129</f>
        <v>0</v>
      </c>
      <c r="AB832" s="179">
        <f>Partner8!$N129</f>
        <v>0</v>
      </c>
      <c r="AC832" s="179">
        <f>Partner9!$N129</f>
        <v>0</v>
      </c>
      <c r="AD832" s="179">
        <f>Partner10!$N129</f>
        <v>0</v>
      </c>
    </row>
    <row r="833" spans="5:30" ht="12" x14ac:dyDescent="0.2">
      <c r="F833" s="94" t="str">
        <f>STRAT7_IND4</f>
        <v>Objetivo estratégico 7 Indicador 4</v>
      </c>
      <c r="G833" s="94" t="str">
        <f ca="1">OFFSET(Variables_Lu!$D$10,Basic_Setup!H73,0)</f>
        <v>Nutrition-specific</v>
      </c>
      <c r="H833" s="346">
        <f>'Financial Req'!$N59</f>
        <v>0</v>
      </c>
      <c r="I833" s="347">
        <f>H833-J833</f>
        <v>0</v>
      </c>
      <c r="J833" s="345">
        <f>SUM(K833:AD833)</f>
        <v>0</v>
      </c>
      <c r="K833" s="365">
        <f>Government1!$N59</f>
        <v>0</v>
      </c>
      <c r="L833" s="365">
        <f>Government2!$N59</f>
        <v>0</v>
      </c>
      <c r="M833" s="365">
        <f>Government3!$N59</f>
        <v>0</v>
      </c>
      <c r="N833" s="365">
        <f>Government4!$N59</f>
        <v>0</v>
      </c>
      <c r="O833" s="365">
        <f>Government5!$N59</f>
        <v>0</v>
      </c>
      <c r="P833" s="365">
        <f>Government6!$N59</f>
        <v>0</v>
      </c>
      <c r="Q833" s="365">
        <f>Government7!$N59</f>
        <v>0</v>
      </c>
      <c r="R833" s="365">
        <f>Government8!$N59</f>
        <v>0</v>
      </c>
      <c r="S833" s="365">
        <f>Government9!$N59</f>
        <v>0</v>
      </c>
      <c r="T833" s="365">
        <f>Government10!$N59</f>
        <v>0</v>
      </c>
      <c r="U833" s="179">
        <f>Partner1!$N130</f>
        <v>0</v>
      </c>
      <c r="V833" s="179">
        <f>Partner2!$N130</f>
        <v>0</v>
      </c>
      <c r="W833" s="179">
        <f>Partner3!$N130</f>
        <v>0</v>
      </c>
      <c r="X833" s="179">
        <f>Partner4!$N130</f>
        <v>0</v>
      </c>
      <c r="Y833" s="179">
        <f>Partner5!$N130</f>
        <v>0</v>
      </c>
      <c r="Z833" s="179">
        <f>Partner6!$N130</f>
        <v>0</v>
      </c>
      <c r="AA833" s="179">
        <f>Partner7!$N130</f>
        <v>0</v>
      </c>
      <c r="AB833" s="179">
        <f>Partner8!$N130</f>
        <v>0</v>
      </c>
      <c r="AC833" s="179">
        <f>Partner9!$N130</f>
        <v>0</v>
      </c>
      <c r="AD833" s="179">
        <f>Partner10!$N130</f>
        <v>0</v>
      </c>
    </row>
    <row r="834" spans="5:30" ht="12" x14ac:dyDescent="0.2">
      <c r="F834" s="94" t="str">
        <f>STRAT7_IND5</f>
        <v>Objetivo estratégico 7 Indicador 5</v>
      </c>
      <c r="G834" s="94" t="str">
        <f ca="1">OFFSET(Variables_Lu!$D$10,Basic_Setup!H74,0)</f>
        <v>Nutrition-specific</v>
      </c>
      <c r="H834" s="346">
        <f>'Financial Req'!$N60</f>
        <v>0</v>
      </c>
      <c r="I834" s="347">
        <f>H834-J834</f>
        <v>0</v>
      </c>
      <c r="J834" s="345">
        <f>SUM(K834:AD834)</f>
        <v>0</v>
      </c>
      <c r="K834" s="365">
        <f>Government1!$N60</f>
        <v>0</v>
      </c>
      <c r="L834" s="365">
        <f>Government2!$N60</f>
        <v>0</v>
      </c>
      <c r="M834" s="365">
        <f>Government3!$N60</f>
        <v>0</v>
      </c>
      <c r="N834" s="365">
        <f>Government4!$N60</f>
        <v>0</v>
      </c>
      <c r="O834" s="365">
        <f>Government5!$N60</f>
        <v>0</v>
      </c>
      <c r="P834" s="365">
        <f>Government6!$N60</f>
        <v>0</v>
      </c>
      <c r="Q834" s="365">
        <f>Government7!$N60</f>
        <v>0</v>
      </c>
      <c r="R834" s="365">
        <f>Government8!$N60</f>
        <v>0</v>
      </c>
      <c r="S834" s="365">
        <f>Government9!$N60</f>
        <v>0</v>
      </c>
      <c r="T834" s="365">
        <f>Government10!$N60</f>
        <v>0</v>
      </c>
      <c r="U834" s="179">
        <f>Partner1!$N131</f>
        <v>0</v>
      </c>
      <c r="V834" s="179">
        <f>Partner2!$N131</f>
        <v>0</v>
      </c>
      <c r="W834" s="179">
        <f>Partner3!$N131</f>
        <v>0</v>
      </c>
      <c r="X834" s="179">
        <f>Partner4!$N131</f>
        <v>0</v>
      </c>
      <c r="Y834" s="179">
        <f>Partner5!$N131</f>
        <v>0</v>
      </c>
      <c r="Z834" s="179">
        <f>Partner6!$N131</f>
        <v>0</v>
      </c>
      <c r="AA834" s="179">
        <f>Partner7!$N131</f>
        <v>0</v>
      </c>
      <c r="AB834" s="179">
        <f>Partner8!$N131</f>
        <v>0</v>
      </c>
      <c r="AC834" s="179">
        <f>Partner9!$N131</f>
        <v>0</v>
      </c>
      <c r="AD834" s="179">
        <f>Partner10!$N131</f>
        <v>0</v>
      </c>
    </row>
    <row r="835" spans="5:30" x14ac:dyDescent="0.2">
      <c r="F835" s="332" t="str">
        <f>"Subtotal: "&amp;E209</f>
        <v>Subtotal: Objetivo estratégico 7: [No está en uso]</v>
      </c>
      <c r="G835" s="333"/>
      <c r="H835" s="348">
        <f>'Financial Req'!$N61</f>
        <v>0</v>
      </c>
      <c r="I835" s="349">
        <f>SUM(I830:I834)</f>
        <v>0</v>
      </c>
      <c r="J835" s="350">
        <f>SUM(J830:J834)</f>
        <v>0</v>
      </c>
      <c r="K835" s="366">
        <f>Government1!$N61</f>
        <v>0</v>
      </c>
      <c r="L835" s="366">
        <f>Government2!$N61</f>
        <v>0</v>
      </c>
      <c r="M835" s="366">
        <f>Government3!$N61</f>
        <v>0</v>
      </c>
      <c r="N835" s="366">
        <f>Government4!$N61</f>
        <v>0</v>
      </c>
      <c r="O835" s="366">
        <f>Government5!$N61</f>
        <v>0</v>
      </c>
      <c r="P835" s="366">
        <f>Government6!$N61</f>
        <v>0</v>
      </c>
      <c r="Q835" s="366">
        <f>Government7!$N61</f>
        <v>0</v>
      </c>
      <c r="R835" s="366">
        <f>Government8!$N61</f>
        <v>0</v>
      </c>
      <c r="S835" s="366">
        <f>Government9!$N61</f>
        <v>0</v>
      </c>
      <c r="T835" s="366">
        <f>Government10!$N61</f>
        <v>0</v>
      </c>
      <c r="U835" s="331">
        <f>Partner1!$N132</f>
        <v>0</v>
      </c>
      <c r="V835" s="331">
        <f>Partner2!$N132</f>
        <v>0</v>
      </c>
      <c r="W835" s="331">
        <f>Partner3!$N132</f>
        <v>0</v>
      </c>
      <c r="X835" s="331">
        <f>Partner4!$N132</f>
        <v>0</v>
      </c>
      <c r="Y835" s="331">
        <f>Partner5!$N132</f>
        <v>0</v>
      </c>
      <c r="Z835" s="331">
        <f>Partner6!$N132</f>
        <v>0</v>
      </c>
      <c r="AA835" s="331">
        <f>Partner7!$N132</f>
        <v>0</v>
      </c>
      <c r="AB835" s="331">
        <f>Partner8!$N132</f>
        <v>0</v>
      </c>
      <c r="AC835" s="331">
        <f>Partner9!$N132</f>
        <v>0</v>
      </c>
      <c r="AD835" s="331">
        <f>Partner10!$N132</f>
        <v>0</v>
      </c>
    </row>
    <row r="836" spans="5:30" ht="12" x14ac:dyDescent="0.2">
      <c r="E836" s="301" t="str">
        <f>Strategy8</f>
        <v>Objetivo estratégico 8: [No está en uso]</v>
      </c>
      <c r="G836" s="94"/>
      <c r="H836" s="343"/>
      <c r="I836" s="344"/>
      <c r="J836" s="345"/>
      <c r="K836" s="365"/>
      <c r="L836" s="365"/>
      <c r="M836" s="365"/>
      <c r="N836" s="365"/>
      <c r="O836" s="365"/>
      <c r="P836" s="365"/>
      <c r="Q836" s="365"/>
      <c r="R836" s="365"/>
      <c r="S836" s="365"/>
      <c r="T836" s="365"/>
      <c r="U836" s="179"/>
      <c r="V836" s="179"/>
      <c r="W836" s="179"/>
      <c r="X836" s="179"/>
      <c r="Y836" s="179"/>
      <c r="Z836" s="179"/>
      <c r="AA836" s="179"/>
      <c r="AB836" s="179"/>
      <c r="AC836" s="179"/>
      <c r="AD836" s="179"/>
    </row>
    <row r="837" spans="5:30" ht="12" x14ac:dyDescent="0.2">
      <c r="F837" s="94" t="str">
        <f>STRAT8_IND1</f>
        <v>Objetivo estratégico 8 Indicador 1</v>
      </c>
      <c r="G837" s="94" t="str">
        <f ca="1">OFFSET(Variables_Lu!$D$10,Basic_Setup!H76,0)</f>
        <v>Nutrition-specific</v>
      </c>
      <c r="H837" s="346">
        <f>'Financial Req'!$N62</f>
        <v>0</v>
      </c>
      <c r="I837" s="347">
        <f>H837-J837</f>
        <v>0</v>
      </c>
      <c r="J837" s="345">
        <f>SUM(K837:AD837)</f>
        <v>0</v>
      </c>
      <c r="K837" s="365">
        <f>Government1!$N62</f>
        <v>0</v>
      </c>
      <c r="L837" s="365">
        <f>Government2!$N62</f>
        <v>0</v>
      </c>
      <c r="M837" s="365">
        <f>Government3!$N62</f>
        <v>0</v>
      </c>
      <c r="N837" s="365">
        <f>Government4!$N62</f>
        <v>0</v>
      </c>
      <c r="O837" s="365">
        <f>Government5!$N62</f>
        <v>0</v>
      </c>
      <c r="P837" s="365">
        <f>Government6!$N62</f>
        <v>0</v>
      </c>
      <c r="Q837" s="365">
        <f>Government7!$N62</f>
        <v>0</v>
      </c>
      <c r="R837" s="365">
        <f>Government8!$N62</f>
        <v>0</v>
      </c>
      <c r="S837" s="365">
        <f>Government9!$N62</f>
        <v>0</v>
      </c>
      <c r="T837" s="365">
        <f>Government10!$N62</f>
        <v>0</v>
      </c>
      <c r="U837" s="179">
        <f>Partner1!$N133</f>
        <v>0</v>
      </c>
      <c r="V837" s="179">
        <f>Partner2!$N133</f>
        <v>0</v>
      </c>
      <c r="W837" s="179">
        <f>Partner3!$N133</f>
        <v>0</v>
      </c>
      <c r="X837" s="179">
        <f>Partner4!$N133</f>
        <v>0</v>
      </c>
      <c r="Y837" s="179">
        <f>Partner5!$N133</f>
        <v>0</v>
      </c>
      <c r="Z837" s="179">
        <f>Partner6!$N133</f>
        <v>0</v>
      </c>
      <c r="AA837" s="179">
        <f>Partner7!$N133</f>
        <v>0</v>
      </c>
      <c r="AB837" s="179">
        <f>Partner8!$N133</f>
        <v>0</v>
      </c>
      <c r="AC837" s="179">
        <f>Partner9!$N133</f>
        <v>0</v>
      </c>
      <c r="AD837" s="179">
        <f>Partner10!$N133</f>
        <v>0</v>
      </c>
    </row>
    <row r="838" spans="5:30" ht="12" x14ac:dyDescent="0.2">
      <c r="F838" s="94" t="str">
        <f>STRAT8_IND2</f>
        <v>Objetivo estratégico 8 Indicador 2</v>
      </c>
      <c r="G838" s="94" t="str">
        <f ca="1">OFFSET(Variables_Lu!$D$10,Basic_Setup!H77,0)</f>
        <v>Nutrition-specific</v>
      </c>
      <c r="H838" s="346">
        <f>'Financial Req'!$N63</f>
        <v>0</v>
      </c>
      <c r="I838" s="347">
        <f>H838-J838</f>
        <v>0</v>
      </c>
      <c r="J838" s="345">
        <f>SUM(K838:AD838)</f>
        <v>0</v>
      </c>
      <c r="K838" s="365">
        <f>Government1!$N63</f>
        <v>0</v>
      </c>
      <c r="L838" s="365">
        <f>Government2!$N63</f>
        <v>0</v>
      </c>
      <c r="M838" s="365">
        <f>Government3!$N63</f>
        <v>0</v>
      </c>
      <c r="N838" s="365">
        <f>Government4!$N63</f>
        <v>0</v>
      </c>
      <c r="O838" s="365">
        <f>Government5!$N63</f>
        <v>0</v>
      </c>
      <c r="P838" s="365">
        <f>Government6!$N63</f>
        <v>0</v>
      </c>
      <c r="Q838" s="365">
        <f>Government7!$N63</f>
        <v>0</v>
      </c>
      <c r="R838" s="365">
        <f>Government8!$N63</f>
        <v>0</v>
      </c>
      <c r="S838" s="365">
        <f>Government9!$N63</f>
        <v>0</v>
      </c>
      <c r="T838" s="365">
        <f>Government10!$N63</f>
        <v>0</v>
      </c>
      <c r="U838" s="179">
        <f>Partner1!$N134</f>
        <v>0</v>
      </c>
      <c r="V838" s="179">
        <f>Partner2!$N134</f>
        <v>0</v>
      </c>
      <c r="W838" s="179">
        <f>Partner3!$N134</f>
        <v>0</v>
      </c>
      <c r="X838" s="179">
        <f>Partner4!$N134</f>
        <v>0</v>
      </c>
      <c r="Y838" s="179">
        <f>Partner5!$N134</f>
        <v>0</v>
      </c>
      <c r="Z838" s="179">
        <f>Partner6!$N134</f>
        <v>0</v>
      </c>
      <c r="AA838" s="179">
        <f>Partner7!$N134</f>
        <v>0</v>
      </c>
      <c r="AB838" s="179">
        <f>Partner8!$N134</f>
        <v>0</v>
      </c>
      <c r="AC838" s="179">
        <f>Partner9!$N134</f>
        <v>0</v>
      </c>
      <c r="AD838" s="179">
        <f>Partner10!$N134</f>
        <v>0</v>
      </c>
    </row>
    <row r="839" spans="5:30" ht="12" x14ac:dyDescent="0.2">
      <c r="F839" s="94" t="str">
        <f>STRAT8_IND3</f>
        <v>Objetivo estratégico 8 Indicador 3</v>
      </c>
      <c r="G839" s="94" t="str">
        <f ca="1">OFFSET(Variables_Lu!$D$10,Basic_Setup!H78,0)</f>
        <v>Nutrition-specific</v>
      </c>
      <c r="H839" s="346">
        <f>'Financial Req'!$N64</f>
        <v>0</v>
      </c>
      <c r="I839" s="347">
        <f>H839-J839</f>
        <v>0</v>
      </c>
      <c r="J839" s="345">
        <f>SUM(K839:AD839)</f>
        <v>0</v>
      </c>
      <c r="K839" s="365">
        <f>Government1!$N64</f>
        <v>0</v>
      </c>
      <c r="L839" s="365">
        <f>Government2!$N64</f>
        <v>0</v>
      </c>
      <c r="M839" s="365">
        <f>Government3!$N64</f>
        <v>0</v>
      </c>
      <c r="N839" s="365">
        <f>Government4!$N64</f>
        <v>0</v>
      </c>
      <c r="O839" s="365">
        <f>Government5!$N64</f>
        <v>0</v>
      </c>
      <c r="P839" s="365">
        <f>Government6!$N64</f>
        <v>0</v>
      </c>
      <c r="Q839" s="365">
        <f>Government7!$N64</f>
        <v>0</v>
      </c>
      <c r="R839" s="365">
        <f>Government8!$N64</f>
        <v>0</v>
      </c>
      <c r="S839" s="365">
        <f>Government9!$N64</f>
        <v>0</v>
      </c>
      <c r="T839" s="365">
        <f>Government10!$N64</f>
        <v>0</v>
      </c>
      <c r="U839" s="179">
        <f>Partner1!$N135</f>
        <v>0</v>
      </c>
      <c r="V839" s="179">
        <f>Partner2!$N135</f>
        <v>0</v>
      </c>
      <c r="W839" s="179">
        <f>Partner3!$N135</f>
        <v>0</v>
      </c>
      <c r="X839" s="179">
        <f>Partner4!$N135</f>
        <v>0</v>
      </c>
      <c r="Y839" s="179">
        <f>Partner5!$N135</f>
        <v>0</v>
      </c>
      <c r="Z839" s="179">
        <f>Partner6!$N135</f>
        <v>0</v>
      </c>
      <c r="AA839" s="179">
        <f>Partner7!$N135</f>
        <v>0</v>
      </c>
      <c r="AB839" s="179">
        <f>Partner8!$N135</f>
        <v>0</v>
      </c>
      <c r="AC839" s="179">
        <f>Partner9!$N135</f>
        <v>0</v>
      </c>
      <c r="AD839" s="179">
        <f>Partner10!$N135</f>
        <v>0</v>
      </c>
    </row>
    <row r="840" spans="5:30" ht="12" x14ac:dyDescent="0.2">
      <c r="F840" s="94" t="str">
        <f>STRAT8_IND4</f>
        <v>Objetivo estratégico 8 Indicador 4</v>
      </c>
      <c r="G840" s="94" t="str">
        <f ca="1">OFFSET(Variables_Lu!$D$10,Basic_Setup!H79,0)</f>
        <v>Nutrition-specific</v>
      </c>
      <c r="H840" s="346">
        <f>'Financial Req'!$N65</f>
        <v>0</v>
      </c>
      <c r="I840" s="347">
        <f>H840-J840</f>
        <v>0</v>
      </c>
      <c r="J840" s="345">
        <f>SUM(K840:AD840)</f>
        <v>0</v>
      </c>
      <c r="K840" s="365">
        <f>Government1!$N65</f>
        <v>0</v>
      </c>
      <c r="L840" s="365">
        <f>Government2!$N65</f>
        <v>0</v>
      </c>
      <c r="M840" s="365">
        <f>Government3!$N65</f>
        <v>0</v>
      </c>
      <c r="N840" s="365">
        <f>Government4!$N65</f>
        <v>0</v>
      </c>
      <c r="O840" s="365">
        <f>Government5!$N65</f>
        <v>0</v>
      </c>
      <c r="P840" s="365">
        <f>Government6!$N65</f>
        <v>0</v>
      </c>
      <c r="Q840" s="365">
        <f>Government7!$N65</f>
        <v>0</v>
      </c>
      <c r="R840" s="365">
        <f>Government8!$N65</f>
        <v>0</v>
      </c>
      <c r="S840" s="365">
        <f>Government9!$N65</f>
        <v>0</v>
      </c>
      <c r="T840" s="365">
        <f>Government10!$N65</f>
        <v>0</v>
      </c>
      <c r="U840" s="179">
        <f>Partner1!$N136</f>
        <v>0</v>
      </c>
      <c r="V840" s="179">
        <f>Partner2!$N136</f>
        <v>0</v>
      </c>
      <c r="W840" s="179">
        <f>Partner3!$N136</f>
        <v>0</v>
      </c>
      <c r="X840" s="179">
        <f>Partner4!$N136</f>
        <v>0</v>
      </c>
      <c r="Y840" s="179">
        <f>Partner5!$N136</f>
        <v>0</v>
      </c>
      <c r="Z840" s="179">
        <f>Partner6!$N136</f>
        <v>0</v>
      </c>
      <c r="AA840" s="179">
        <f>Partner7!$N136</f>
        <v>0</v>
      </c>
      <c r="AB840" s="179">
        <f>Partner8!$N136</f>
        <v>0</v>
      </c>
      <c r="AC840" s="179">
        <f>Partner9!$N136</f>
        <v>0</v>
      </c>
      <c r="AD840" s="179">
        <f>Partner10!$N136</f>
        <v>0</v>
      </c>
    </row>
    <row r="841" spans="5:30" ht="12" x14ac:dyDescent="0.2">
      <c r="F841" s="94" t="str">
        <f>STRAT8_IND5</f>
        <v>Objetivo estratégico 8 Indicador 5</v>
      </c>
      <c r="G841" s="94" t="str">
        <f ca="1">OFFSET(Variables_Lu!$D$10,Basic_Setup!H80,0)</f>
        <v>Nutrition-specific</v>
      </c>
      <c r="H841" s="346">
        <f>'Financial Req'!$N66</f>
        <v>0</v>
      </c>
      <c r="I841" s="347">
        <f>H841-J841</f>
        <v>0</v>
      </c>
      <c r="J841" s="345">
        <f>SUM(K841:AD841)</f>
        <v>0</v>
      </c>
      <c r="K841" s="365">
        <f>Government1!$N66</f>
        <v>0</v>
      </c>
      <c r="L841" s="365">
        <f>Government2!$N66</f>
        <v>0</v>
      </c>
      <c r="M841" s="365">
        <f>Government3!$N66</f>
        <v>0</v>
      </c>
      <c r="N841" s="365">
        <f>Government4!$N66</f>
        <v>0</v>
      </c>
      <c r="O841" s="365">
        <f>Government5!$N66</f>
        <v>0</v>
      </c>
      <c r="P841" s="365">
        <f>Government6!$N66</f>
        <v>0</v>
      </c>
      <c r="Q841" s="365">
        <f>Government7!$N66</f>
        <v>0</v>
      </c>
      <c r="R841" s="365">
        <f>Government8!$N66</f>
        <v>0</v>
      </c>
      <c r="S841" s="365">
        <f>Government9!$N66</f>
        <v>0</v>
      </c>
      <c r="T841" s="365">
        <f>Government10!$N66</f>
        <v>0</v>
      </c>
      <c r="U841" s="179">
        <f>Partner1!$N137</f>
        <v>0</v>
      </c>
      <c r="V841" s="179">
        <f>Partner2!$N137</f>
        <v>0</v>
      </c>
      <c r="W841" s="179">
        <f>Partner3!$N137</f>
        <v>0</v>
      </c>
      <c r="X841" s="179">
        <f>Partner4!$N137</f>
        <v>0</v>
      </c>
      <c r="Y841" s="179">
        <f>Partner5!$N137</f>
        <v>0</v>
      </c>
      <c r="Z841" s="179">
        <f>Partner6!$N137</f>
        <v>0</v>
      </c>
      <c r="AA841" s="179">
        <f>Partner7!$N137</f>
        <v>0</v>
      </c>
      <c r="AB841" s="179">
        <f>Partner8!$N137</f>
        <v>0</v>
      </c>
      <c r="AC841" s="179">
        <f>Partner9!$N137</f>
        <v>0</v>
      </c>
      <c r="AD841" s="179">
        <f>Partner10!$N137</f>
        <v>0</v>
      </c>
    </row>
    <row r="842" spans="5:30" x14ac:dyDescent="0.2">
      <c r="F842" s="332" t="str">
        <f>"Subtotal: "&amp;E216</f>
        <v>Subtotal: Objetivo estratégico 8: [No está en uso]</v>
      </c>
      <c r="G842" s="333"/>
      <c r="H842" s="348">
        <f>'Financial Req'!$N67</f>
        <v>0</v>
      </c>
      <c r="I842" s="349">
        <f>SUM(I837:I841)</f>
        <v>0</v>
      </c>
      <c r="J842" s="350">
        <f>SUM(J837:J841)</f>
        <v>0</v>
      </c>
      <c r="K842" s="366">
        <f>Government1!$N67</f>
        <v>0</v>
      </c>
      <c r="L842" s="366">
        <f>Government2!$N67</f>
        <v>0</v>
      </c>
      <c r="M842" s="366">
        <f>Government3!$N67</f>
        <v>0</v>
      </c>
      <c r="N842" s="366">
        <f>Government4!$N67</f>
        <v>0</v>
      </c>
      <c r="O842" s="366">
        <f>Government5!$N67</f>
        <v>0</v>
      </c>
      <c r="P842" s="366">
        <f>Government6!$N67</f>
        <v>0</v>
      </c>
      <c r="Q842" s="366">
        <f>Government7!$N67</f>
        <v>0</v>
      </c>
      <c r="R842" s="366">
        <f>Government8!$N67</f>
        <v>0</v>
      </c>
      <c r="S842" s="366">
        <f>Government9!$N67</f>
        <v>0</v>
      </c>
      <c r="T842" s="366">
        <f>Government10!$N67</f>
        <v>0</v>
      </c>
      <c r="U842" s="331">
        <f>Partner1!$N138</f>
        <v>0</v>
      </c>
      <c r="V842" s="331">
        <f>Partner2!$N138</f>
        <v>0</v>
      </c>
      <c r="W842" s="331">
        <f>Partner3!$N138</f>
        <v>0</v>
      </c>
      <c r="X842" s="331">
        <f>Partner4!$N138</f>
        <v>0</v>
      </c>
      <c r="Y842" s="331">
        <f>Partner5!$N138</f>
        <v>0</v>
      </c>
      <c r="Z842" s="331">
        <f>Partner6!$N138</f>
        <v>0</v>
      </c>
      <c r="AA842" s="331">
        <f>Partner7!$N138</f>
        <v>0</v>
      </c>
      <c r="AB842" s="331">
        <f>Partner8!$N138</f>
        <v>0</v>
      </c>
      <c r="AC842" s="331">
        <f>Partner9!$N138</f>
        <v>0</v>
      </c>
      <c r="AD842" s="331">
        <f>Partner10!$N138</f>
        <v>0</v>
      </c>
    </row>
    <row r="843" spans="5:30" ht="12" x14ac:dyDescent="0.2">
      <c r="E843" s="301" t="str">
        <f>Strategy9</f>
        <v>Objetivo estratégico 9: [No está en uso]</v>
      </c>
      <c r="G843" s="94"/>
      <c r="H843" s="343"/>
      <c r="I843" s="344"/>
      <c r="J843" s="345"/>
      <c r="K843" s="365"/>
      <c r="L843" s="365"/>
      <c r="M843" s="365"/>
      <c r="N843" s="365"/>
      <c r="O843" s="365"/>
      <c r="P843" s="365"/>
      <c r="Q843" s="365"/>
      <c r="R843" s="365"/>
      <c r="S843" s="365"/>
      <c r="T843" s="365"/>
      <c r="U843" s="179"/>
      <c r="V843" s="179"/>
      <c r="W843" s="179"/>
      <c r="X843" s="179"/>
      <c r="Y843" s="179"/>
      <c r="Z843" s="179"/>
      <c r="AA843" s="179"/>
      <c r="AB843" s="179"/>
      <c r="AC843" s="179"/>
      <c r="AD843" s="179"/>
    </row>
    <row r="844" spans="5:30" ht="12" x14ac:dyDescent="0.2">
      <c r="F844" s="94" t="str">
        <f>STRAT9_IND1</f>
        <v>Objetivo estratégico 9 Indicador 1</v>
      </c>
      <c r="G844" s="94" t="str">
        <f ca="1">OFFSET(Variables_Lu!$D$10,Basic_Setup!H82,0)</f>
        <v>Nutrition-specific</v>
      </c>
      <c r="H844" s="346">
        <f>'Financial Req'!$N68</f>
        <v>0</v>
      </c>
      <c r="I844" s="347">
        <f>H844-J844</f>
        <v>0</v>
      </c>
      <c r="J844" s="345">
        <f>SUM(K844:AD844)</f>
        <v>0</v>
      </c>
      <c r="K844" s="365">
        <f>Government1!$N68</f>
        <v>0</v>
      </c>
      <c r="L844" s="365">
        <f>Government2!$N68</f>
        <v>0</v>
      </c>
      <c r="M844" s="365">
        <f>Government3!$N68</f>
        <v>0</v>
      </c>
      <c r="N844" s="365">
        <f>Government4!$N68</f>
        <v>0</v>
      </c>
      <c r="O844" s="365">
        <f>Government5!$N68</f>
        <v>0</v>
      </c>
      <c r="P844" s="365">
        <f>Government6!$N68</f>
        <v>0</v>
      </c>
      <c r="Q844" s="365">
        <f>Government7!$N68</f>
        <v>0</v>
      </c>
      <c r="R844" s="365">
        <f>Government8!$N68</f>
        <v>0</v>
      </c>
      <c r="S844" s="365">
        <f>Government9!$N68</f>
        <v>0</v>
      </c>
      <c r="T844" s="365">
        <f>Government10!$N68</f>
        <v>0</v>
      </c>
      <c r="U844" s="179">
        <f>Partner1!$N139</f>
        <v>0</v>
      </c>
      <c r="V844" s="179">
        <f>Partner2!$N139</f>
        <v>0</v>
      </c>
      <c r="W844" s="179">
        <f>Partner3!$N139</f>
        <v>0</v>
      </c>
      <c r="X844" s="179">
        <f>Partner4!$N139</f>
        <v>0</v>
      </c>
      <c r="Y844" s="179">
        <f>Partner5!$N139</f>
        <v>0</v>
      </c>
      <c r="Z844" s="179">
        <f>Partner6!$N139</f>
        <v>0</v>
      </c>
      <c r="AA844" s="179">
        <f>Partner7!$N139</f>
        <v>0</v>
      </c>
      <c r="AB844" s="179">
        <f>Partner8!$N139</f>
        <v>0</v>
      </c>
      <c r="AC844" s="179">
        <f>Partner9!$N139</f>
        <v>0</v>
      </c>
      <c r="AD844" s="179">
        <f>Partner10!$N139</f>
        <v>0</v>
      </c>
    </row>
    <row r="845" spans="5:30" ht="12" x14ac:dyDescent="0.2">
      <c r="F845" s="94" t="str">
        <f>STRAT9_IND2</f>
        <v>Objetivo estratégico 9 Indicador 2</v>
      </c>
      <c r="G845" s="94" t="str">
        <f ca="1">OFFSET(Variables_Lu!$D$10,Basic_Setup!H83,0)</f>
        <v>Nutrition-specific</v>
      </c>
      <c r="H845" s="346">
        <f>'Financial Req'!$N69</f>
        <v>0</v>
      </c>
      <c r="I845" s="347">
        <f>H845-J845</f>
        <v>0</v>
      </c>
      <c r="J845" s="345">
        <f>SUM(K845:AD845)</f>
        <v>0</v>
      </c>
      <c r="K845" s="365">
        <f>Government1!$N69</f>
        <v>0</v>
      </c>
      <c r="L845" s="365">
        <f>Government2!$N69</f>
        <v>0</v>
      </c>
      <c r="M845" s="365">
        <f>Government3!$N69</f>
        <v>0</v>
      </c>
      <c r="N845" s="365">
        <f>Government4!$N69</f>
        <v>0</v>
      </c>
      <c r="O845" s="365">
        <f>Government5!$N69</f>
        <v>0</v>
      </c>
      <c r="P845" s="365">
        <f>Government6!$N69</f>
        <v>0</v>
      </c>
      <c r="Q845" s="365">
        <f>Government7!$N69</f>
        <v>0</v>
      </c>
      <c r="R845" s="365">
        <f>Government8!$N69</f>
        <v>0</v>
      </c>
      <c r="S845" s="365">
        <f>Government9!$N69</f>
        <v>0</v>
      </c>
      <c r="T845" s="365">
        <f>Government10!$N69</f>
        <v>0</v>
      </c>
      <c r="U845" s="179">
        <f>Partner1!$N140</f>
        <v>0</v>
      </c>
      <c r="V845" s="179">
        <f>Partner2!$N140</f>
        <v>0</v>
      </c>
      <c r="W845" s="179">
        <f>Partner3!$N140</f>
        <v>0</v>
      </c>
      <c r="X845" s="179">
        <f>Partner4!$N140</f>
        <v>0</v>
      </c>
      <c r="Y845" s="179">
        <f>Partner5!$N140</f>
        <v>0</v>
      </c>
      <c r="Z845" s="179">
        <f>Partner6!$N140</f>
        <v>0</v>
      </c>
      <c r="AA845" s="179">
        <f>Partner7!$N140</f>
        <v>0</v>
      </c>
      <c r="AB845" s="179">
        <f>Partner8!$N140</f>
        <v>0</v>
      </c>
      <c r="AC845" s="179">
        <f>Partner9!$N140</f>
        <v>0</v>
      </c>
      <c r="AD845" s="179">
        <f>Partner10!$N140</f>
        <v>0</v>
      </c>
    </row>
    <row r="846" spans="5:30" ht="12" x14ac:dyDescent="0.2">
      <c r="F846" s="94" t="str">
        <f>STRAT9_IND3</f>
        <v>Objetivo estratégico 9 Indicador 3</v>
      </c>
      <c r="G846" s="94" t="str">
        <f ca="1">OFFSET(Variables_Lu!$D$10,Basic_Setup!H84,0)</f>
        <v>Nutrition-specific</v>
      </c>
      <c r="H846" s="346">
        <f>'Financial Req'!$N70</f>
        <v>0</v>
      </c>
      <c r="I846" s="347">
        <f>H846-J846</f>
        <v>0</v>
      </c>
      <c r="J846" s="345">
        <f>SUM(K846:AD846)</f>
        <v>0</v>
      </c>
      <c r="K846" s="365">
        <f>Government1!$N70</f>
        <v>0</v>
      </c>
      <c r="L846" s="365">
        <f>Government2!$N70</f>
        <v>0</v>
      </c>
      <c r="M846" s="365">
        <f>Government3!$N70</f>
        <v>0</v>
      </c>
      <c r="N846" s="365">
        <f>Government4!$N70</f>
        <v>0</v>
      </c>
      <c r="O846" s="365">
        <f>Government5!$N70</f>
        <v>0</v>
      </c>
      <c r="P846" s="365">
        <f>Government6!$N70</f>
        <v>0</v>
      </c>
      <c r="Q846" s="365">
        <f>Government7!$N70</f>
        <v>0</v>
      </c>
      <c r="R846" s="365">
        <f>Government8!$N70</f>
        <v>0</v>
      </c>
      <c r="S846" s="365">
        <f>Government9!$N70</f>
        <v>0</v>
      </c>
      <c r="T846" s="365">
        <f>Government10!$N70</f>
        <v>0</v>
      </c>
      <c r="U846" s="179">
        <f>Partner1!$N141</f>
        <v>0</v>
      </c>
      <c r="V846" s="179">
        <f>Partner2!$N141</f>
        <v>0</v>
      </c>
      <c r="W846" s="179">
        <f>Partner3!$N141</f>
        <v>0</v>
      </c>
      <c r="X846" s="179">
        <f>Partner4!$N141</f>
        <v>0</v>
      </c>
      <c r="Y846" s="179">
        <f>Partner5!$N141</f>
        <v>0</v>
      </c>
      <c r="Z846" s="179">
        <f>Partner6!$N141</f>
        <v>0</v>
      </c>
      <c r="AA846" s="179">
        <f>Partner7!$N141</f>
        <v>0</v>
      </c>
      <c r="AB846" s="179">
        <f>Partner8!$N141</f>
        <v>0</v>
      </c>
      <c r="AC846" s="179">
        <f>Partner9!$N141</f>
        <v>0</v>
      </c>
      <c r="AD846" s="179">
        <f>Partner10!$N141</f>
        <v>0</v>
      </c>
    </row>
    <row r="847" spans="5:30" ht="12" x14ac:dyDescent="0.2">
      <c r="F847" s="94" t="str">
        <f>STRAT9_IND4</f>
        <v>Objetivo estratégico 9 Indicador 4</v>
      </c>
      <c r="G847" s="94" t="str">
        <f ca="1">OFFSET(Variables_Lu!$D$10,Basic_Setup!H85,0)</f>
        <v>Nutrition-specific</v>
      </c>
      <c r="H847" s="346">
        <f>'Financial Req'!$N71</f>
        <v>0</v>
      </c>
      <c r="I847" s="347">
        <f>H847-J847</f>
        <v>0</v>
      </c>
      <c r="J847" s="345">
        <f>SUM(K847:AD847)</f>
        <v>0</v>
      </c>
      <c r="K847" s="365">
        <f>Government1!$N71</f>
        <v>0</v>
      </c>
      <c r="L847" s="365">
        <f>Government2!$N71</f>
        <v>0</v>
      </c>
      <c r="M847" s="365">
        <f>Government3!$N71</f>
        <v>0</v>
      </c>
      <c r="N847" s="365">
        <f>Government4!$N71</f>
        <v>0</v>
      </c>
      <c r="O847" s="365">
        <f>Government5!$N71</f>
        <v>0</v>
      </c>
      <c r="P847" s="365">
        <f>Government6!$N71</f>
        <v>0</v>
      </c>
      <c r="Q847" s="365">
        <f>Government7!$N71</f>
        <v>0</v>
      </c>
      <c r="R847" s="365">
        <f>Government8!$N71</f>
        <v>0</v>
      </c>
      <c r="S847" s="365">
        <f>Government9!$N71</f>
        <v>0</v>
      </c>
      <c r="T847" s="365">
        <f>Government10!$N71</f>
        <v>0</v>
      </c>
      <c r="U847" s="179">
        <f>Partner1!$N142</f>
        <v>0</v>
      </c>
      <c r="V847" s="179">
        <f>Partner2!$N142</f>
        <v>0</v>
      </c>
      <c r="W847" s="179">
        <f>Partner3!$N142</f>
        <v>0</v>
      </c>
      <c r="X847" s="179">
        <f>Partner4!$N142</f>
        <v>0</v>
      </c>
      <c r="Y847" s="179">
        <f>Partner5!$N142</f>
        <v>0</v>
      </c>
      <c r="Z847" s="179">
        <f>Partner6!$N142</f>
        <v>0</v>
      </c>
      <c r="AA847" s="179">
        <f>Partner7!$N142</f>
        <v>0</v>
      </c>
      <c r="AB847" s="179">
        <f>Partner8!$N142</f>
        <v>0</v>
      </c>
      <c r="AC847" s="179">
        <f>Partner9!$N142</f>
        <v>0</v>
      </c>
      <c r="AD847" s="179">
        <f>Partner10!$N142</f>
        <v>0</v>
      </c>
    </row>
    <row r="848" spans="5:30" ht="12" x14ac:dyDescent="0.2">
      <c r="F848" s="94" t="str">
        <f>STRAT9_IND5</f>
        <v>Objetivo estratégico 9 Indicador 5</v>
      </c>
      <c r="G848" s="94" t="str">
        <f ca="1">OFFSET(Variables_Lu!$D$10,Basic_Setup!H86,0)</f>
        <v>Nutrition-specific</v>
      </c>
      <c r="H848" s="346">
        <f>'Financial Req'!$N72</f>
        <v>0</v>
      </c>
      <c r="I848" s="347">
        <f>H848-J848</f>
        <v>0</v>
      </c>
      <c r="J848" s="345">
        <f>SUM(K848:AD848)</f>
        <v>0</v>
      </c>
      <c r="K848" s="365">
        <f>Government1!$N72</f>
        <v>0</v>
      </c>
      <c r="L848" s="365">
        <f>Government2!$N72</f>
        <v>0</v>
      </c>
      <c r="M848" s="365">
        <f>Government3!$N72</f>
        <v>0</v>
      </c>
      <c r="N848" s="365">
        <f>Government4!$N72</f>
        <v>0</v>
      </c>
      <c r="O848" s="365">
        <f>Government5!$N72</f>
        <v>0</v>
      </c>
      <c r="P848" s="365">
        <f>Government6!$N72</f>
        <v>0</v>
      </c>
      <c r="Q848" s="365">
        <f>Government7!$N72</f>
        <v>0</v>
      </c>
      <c r="R848" s="365">
        <f>Government8!$N72</f>
        <v>0</v>
      </c>
      <c r="S848" s="365">
        <f>Government9!$N72</f>
        <v>0</v>
      </c>
      <c r="T848" s="365">
        <f>Government10!$N72</f>
        <v>0</v>
      </c>
      <c r="U848" s="179">
        <f>Partner1!$N143</f>
        <v>0</v>
      </c>
      <c r="V848" s="179">
        <f>Partner2!$N143</f>
        <v>0</v>
      </c>
      <c r="W848" s="179">
        <f>Partner3!$N143</f>
        <v>0</v>
      </c>
      <c r="X848" s="179">
        <f>Partner4!$N143</f>
        <v>0</v>
      </c>
      <c r="Y848" s="179">
        <f>Partner5!$N143</f>
        <v>0</v>
      </c>
      <c r="Z848" s="179">
        <f>Partner6!$N143</f>
        <v>0</v>
      </c>
      <c r="AA848" s="179">
        <f>Partner7!$N143</f>
        <v>0</v>
      </c>
      <c r="AB848" s="179">
        <f>Partner8!$N143</f>
        <v>0</v>
      </c>
      <c r="AC848" s="179">
        <f>Partner9!$N143</f>
        <v>0</v>
      </c>
      <c r="AD848" s="179">
        <f>Partner10!$N143</f>
        <v>0</v>
      </c>
    </row>
    <row r="849" spans="5:30" x14ac:dyDescent="0.2">
      <c r="F849" s="332" t="str">
        <f>"Subtotal: "&amp;E223</f>
        <v>Subtotal: Objetivo estratégico 9: [No está en uso]</v>
      </c>
      <c r="G849" s="333"/>
      <c r="H849" s="348">
        <f>'Financial Req'!$N73</f>
        <v>0</v>
      </c>
      <c r="I849" s="349">
        <f>SUM(I844:I848)</f>
        <v>0</v>
      </c>
      <c r="J849" s="350">
        <f>SUM(J844:J848)</f>
        <v>0</v>
      </c>
      <c r="K849" s="366">
        <f>Government1!$N73</f>
        <v>0</v>
      </c>
      <c r="L849" s="366">
        <f>Government2!$N73</f>
        <v>0</v>
      </c>
      <c r="M849" s="366">
        <f>Government3!$N73</f>
        <v>0</v>
      </c>
      <c r="N849" s="366">
        <f>Government4!$N73</f>
        <v>0</v>
      </c>
      <c r="O849" s="366">
        <f>Government5!$N73</f>
        <v>0</v>
      </c>
      <c r="P849" s="366">
        <f>Government6!$N73</f>
        <v>0</v>
      </c>
      <c r="Q849" s="366">
        <f>Government7!$N73</f>
        <v>0</v>
      </c>
      <c r="R849" s="366">
        <f>Government8!$N73</f>
        <v>0</v>
      </c>
      <c r="S849" s="366">
        <f>Government9!$N73</f>
        <v>0</v>
      </c>
      <c r="T849" s="366">
        <f>Government10!$N73</f>
        <v>0</v>
      </c>
      <c r="U849" s="331">
        <f>Partner1!$N144</f>
        <v>0</v>
      </c>
      <c r="V849" s="331">
        <f>Partner2!$N144</f>
        <v>0</v>
      </c>
      <c r="W849" s="331">
        <f>Partner3!$N144</f>
        <v>0</v>
      </c>
      <c r="X849" s="331">
        <f>Partner4!$N144</f>
        <v>0</v>
      </c>
      <c r="Y849" s="331">
        <f>Partner5!$N144</f>
        <v>0</v>
      </c>
      <c r="Z849" s="331">
        <f>Partner6!$N144</f>
        <v>0</v>
      </c>
      <c r="AA849" s="331">
        <f>Partner7!$N144</f>
        <v>0</v>
      </c>
      <c r="AB849" s="331">
        <f>Partner8!$N144</f>
        <v>0</v>
      </c>
      <c r="AC849" s="331">
        <f>Partner9!$N144</f>
        <v>0</v>
      </c>
      <c r="AD849" s="331">
        <f>Partner10!$N144</f>
        <v>0</v>
      </c>
    </row>
    <row r="850" spans="5:30" ht="12" x14ac:dyDescent="0.2">
      <c r="E850" s="301" t="str">
        <f>Strategy10</f>
        <v>Objetivo estratégico 10: [No está en uso]</v>
      </c>
      <c r="G850" s="94"/>
      <c r="H850" s="343"/>
      <c r="I850" s="344"/>
      <c r="J850" s="345"/>
      <c r="K850" s="365"/>
      <c r="L850" s="365"/>
      <c r="M850" s="365"/>
      <c r="N850" s="365"/>
      <c r="O850" s="365"/>
      <c r="P850" s="365"/>
      <c r="Q850" s="365"/>
      <c r="R850" s="365"/>
      <c r="S850" s="365"/>
      <c r="T850" s="365"/>
      <c r="U850" s="179"/>
      <c r="V850" s="179"/>
      <c r="W850" s="179"/>
      <c r="X850" s="179"/>
      <c r="Y850" s="179"/>
      <c r="Z850" s="179"/>
      <c r="AA850" s="179"/>
      <c r="AB850" s="179"/>
      <c r="AC850" s="179"/>
      <c r="AD850" s="179"/>
    </row>
    <row r="851" spans="5:30" ht="12" x14ac:dyDescent="0.2">
      <c r="F851" s="94" t="str">
        <f>STRAT10_IND1</f>
        <v>Objetivo estratégico 10 Indicador 1</v>
      </c>
      <c r="G851" s="94" t="str">
        <f ca="1">OFFSET(Variables_Lu!$D$10,Basic_Setup!H88,0)</f>
        <v>Nutrition-specific</v>
      </c>
      <c r="H851" s="346">
        <f>'Financial Req'!$N74</f>
        <v>0</v>
      </c>
      <c r="I851" s="347">
        <f>H851-J851</f>
        <v>0</v>
      </c>
      <c r="J851" s="345">
        <f>SUM(K851:AD851)</f>
        <v>0</v>
      </c>
      <c r="K851" s="365">
        <f>Government1!$N74</f>
        <v>0</v>
      </c>
      <c r="L851" s="365">
        <f>Government2!$N74</f>
        <v>0</v>
      </c>
      <c r="M851" s="365">
        <f>Government3!$N74</f>
        <v>0</v>
      </c>
      <c r="N851" s="365">
        <f>Government4!$N74</f>
        <v>0</v>
      </c>
      <c r="O851" s="365">
        <f>Government5!$N74</f>
        <v>0</v>
      </c>
      <c r="P851" s="365">
        <f>Government6!$N74</f>
        <v>0</v>
      </c>
      <c r="Q851" s="365">
        <f>Government7!$N74</f>
        <v>0</v>
      </c>
      <c r="R851" s="365">
        <f>Government8!$N74</f>
        <v>0</v>
      </c>
      <c r="S851" s="365">
        <f>Government9!$N74</f>
        <v>0</v>
      </c>
      <c r="T851" s="365">
        <f>Government10!$N74</f>
        <v>0</v>
      </c>
      <c r="U851" s="179">
        <f>Partner1!$N145</f>
        <v>0</v>
      </c>
      <c r="V851" s="179">
        <f>Partner2!$N145</f>
        <v>0</v>
      </c>
      <c r="W851" s="179">
        <f>Partner3!$N145</f>
        <v>0</v>
      </c>
      <c r="X851" s="179">
        <f>Partner4!$N145</f>
        <v>0</v>
      </c>
      <c r="Y851" s="179">
        <f>Partner5!$N145</f>
        <v>0</v>
      </c>
      <c r="Z851" s="179">
        <f>Partner6!$N145</f>
        <v>0</v>
      </c>
      <c r="AA851" s="179">
        <f>Partner7!$N145</f>
        <v>0</v>
      </c>
      <c r="AB851" s="179">
        <f>Partner8!$N145</f>
        <v>0</v>
      </c>
      <c r="AC851" s="179">
        <f>Partner9!$N145</f>
        <v>0</v>
      </c>
      <c r="AD851" s="179">
        <f>Partner10!$N145</f>
        <v>0</v>
      </c>
    </row>
    <row r="852" spans="5:30" ht="12" x14ac:dyDescent="0.2">
      <c r="F852" s="94" t="str">
        <f>STRAT10_IND2</f>
        <v>Objetivo estratégico 10 Indicador 2</v>
      </c>
      <c r="G852" s="94" t="str">
        <f ca="1">OFFSET(Variables_Lu!$D$10,Basic_Setup!H89,0)</f>
        <v>Nutrition-specific</v>
      </c>
      <c r="H852" s="346">
        <f>'Financial Req'!$N75</f>
        <v>0</v>
      </c>
      <c r="I852" s="347">
        <f>H852-J852</f>
        <v>0</v>
      </c>
      <c r="J852" s="345">
        <f>SUM(K852:AD852)</f>
        <v>0</v>
      </c>
      <c r="K852" s="365">
        <f>Government1!$N75</f>
        <v>0</v>
      </c>
      <c r="L852" s="365">
        <f>Government2!$N75</f>
        <v>0</v>
      </c>
      <c r="M852" s="365">
        <f>Government3!$N75</f>
        <v>0</v>
      </c>
      <c r="N852" s="365">
        <f>Government4!$N75</f>
        <v>0</v>
      </c>
      <c r="O852" s="365">
        <f>Government5!$N75</f>
        <v>0</v>
      </c>
      <c r="P852" s="365">
        <f>Government6!$N75</f>
        <v>0</v>
      </c>
      <c r="Q852" s="365">
        <f>Government7!$N75</f>
        <v>0</v>
      </c>
      <c r="R852" s="365">
        <f>Government8!$N75</f>
        <v>0</v>
      </c>
      <c r="S852" s="365">
        <f>Government9!$N75</f>
        <v>0</v>
      </c>
      <c r="T852" s="365">
        <f>Government10!$N75</f>
        <v>0</v>
      </c>
      <c r="U852" s="179">
        <f>Partner1!$N146</f>
        <v>0</v>
      </c>
      <c r="V852" s="179">
        <f>Partner2!$N146</f>
        <v>0</v>
      </c>
      <c r="W852" s="179">
        <f>Partner3!$N146</f>
        <v>0</v>
      </c>
      <c r="X852" s="179">
        <f>Partner4!$N146</f>
        <v>0</v>
      </c>
      <c r="Y852" s="179">
        <f>Partner5!$N146</f>
        <v>0</v>
      </c>
      <c r="Z852" s="179">
        <f>Partner6!$N146</f>
        <v>0</v>
      </c>
      <c r="AA852" s="179">
        <f>Partner7!$N146</f>
        <v>0</v>
      </c>
      <c r="AB852" s="179">
        <f>Partner8!$N146</f>
        <v>0</v>
      </c>
      <c r="AC852" s="179">
        <f>Partner9!$N146</f>
        <v>0</v>
      </c>
      <c r="AD852" s="179">
        <f>Partner10!$N146</f>
        <v>0</v>
      </c>
    </row>
    <row r="853" spans="5:30" ht="12" x14ac:dyDescent="0.2">
      <c r="F853" s="94" t="str">
        <f>STRAT10_IND3</f>
        <v>Objetivo estratégico 10 Indicador 3</v>
      </c>
      <c r="G853" s="94" t="str">
        <f ca="1">OFFSET(Variables_Lu!$D$10,Basic_Setup!H90,0)</f>
        <v>Nutrition-specific</v>
      </c>
      <c r="H853" s="346">
        <f>'Financial Req'!$N76</f>
        <v>0</v>
      </c>
      <c r="I853" s="347">
        <f>H853-J853</f>
        <v>0</v>
      </c>
      <c r="J853" s="345">
        <f>SUM(K853:AD853)</f>
        <v>0</v>
      </c>
      <c r="K853" s="365">
        <f>Government1!$N76</f>
        <v>0</v>
      </c>
      <c r="L853" s="365">
        <f>Government2!$N76</f>
        <v>0</v>
      </c>
      <c r="M853" s="365">
        <f>Government3!$N76</f>
        <v>0</v>
      </c>
      <c r="N853" s="365">
        <f>Government4!$N76</f>
        <v>0</v>
      </c>
      <c r="O853" s="365">
        <f>Government5!$N76</f>
        <v>0</v>
      </c>
      <c r="P853" s="365">
        <f>Government6!$N76</f>
        <v>0</v>
      </c>
      <c r="Q853" s="365">
        <f>Government7!$N76</f>
        <v>0</v>
      </c>
      <c r="R853" s="365">
        <f>Government8!$N76</f>
        <v>0</v>
      </c>
      <c r="S853" s="365">
        <f>Government9!$N76</f>
        <v>0</v>
      </c>
      <c r="T853" s="365">
        <f>Government10!$N76</f>
        <v>0</v>
      </c>
      <c r="U853" s="179">
        <f>Partner1!$N147</f>
        <v>0</v>
      </c>
      <c r="V853" s="179">
        <f>Partner2!$N147</f>
        <v>0</v>
      </c>
      <c r="W853" s="179">
        <f>Partner3!$N147</f>
        <v>0</v>
      </c>
      <c r="X853" s="179">
        <f>Partner4!$N147</f>
        <v>0</v>
      </c>
      <c r="Y853" s="179">
        <f>Partner5!$N147</f>
        <v>0</v>
      </c>
      <c r="Z853" s="179">
        <f>Partner6!$N147</f>
        <v>0</v>
      </c>
      <c r="AA853" s="179">
        <f>Partner7!$N147</f>
        <v>0</v>
      </c>
      <c r="AB853" s="179">
        <f>Partner8!$N147</f>
        <v>0</v>
      </c>
      <c r="AC853" s="179">
        <f>Partner9!$N147</f>
        <v>0</v>
      </c>
      <c r="AD853" s="179">
        <f>Partner10!$N147</f>
        <v>0</v>
      </c>
    </row>
    <row r="854" spans="5:30" ht="12" x14ac:dyDescent="0.2">
      <c r="F854" s="94" t="str">
        <f>STRAT10_IND4</f>
        <v>Objetivo estratégico 10 Indicador 4</v>
      </c>
      <c r="G854" s="94" t="str">
        <f ca="1">OFFSET(Variables_Lu!$D$10,Basic_Setup!H91,0)</f>
        <v>Nutrition-specific</v>
      </c>
      <c r="H854" s="346">
        <f>'Financial Req'!$N77</f>
        <v>0</v>
      </c>
      <c r="I854" s="347">
        <f>H854-J854</f>
        <v>0</v>
      </c>
      <c r="J854" s="345">
        <f>SUM(K854:AD854)</f>
        <v>0</v>
      </c>
      <c r="K854" s="365">
        <f>Government1!$N77</f>
        <v>0</v>
      </c>
      <c r="L854" s="365">
        <f>Government2!$N77</f>
        <v>0</v>
      </c>
      <c r="M854" s="365">
        <f>Government3!$N77</f>
        <v>0</v>
      </c>
      <c r="N854" s="365">
        <f>Government4!$N77</f>
        <v>0</v>
      </c>
      <c r="O854" s="365">
        <f>Government5!$N77</f>
        <v>0</v>
      </c>
      <c r="P854" s="365">
        <f>Government6!$N77</f>
        <v>0</v>
      </c>
      <c r="Q854" s="365">
        <f>Government7!$N77</f>
        <v>0</v>
      </c>
      <c r="R854" s="365">
        <f>Government8!$N77</f>
        <v>0</v>
      </c>
      <c r="S854" s="365">
        <f>Government9!$N77</f>
        <v>0</v>
      </c>
      <c r="T854" s="365">
        <f>Government10!$N77</f>
        <v>0</v>
      </c>
      <c r="U854" s="179">
        <f>Partner1!$N148</f>
        <v>0</v>
      </c>
      <c r="V854" s="179">
        <f>Partner2!$N148</f>
        <v>0</v>
      </c>
      <c r="W854" s="179">
        <f>Partner3!$N148</f>
        <v>0</v>
      </c>
      <c r="X854" s="179">
        <f>Partner4!$N148</f>
        <v>0</v>
      </c>
      <c r="Y854" s="179">
        <f>Partner5!$N148</f>
        <v>0</v>
      </c>
      <c r="Z854" s="179">
        <f>Partner6!$N148</f>
        <v>0</v>
      </c>
      <c r="AA854" s="179">
        <f>Partner7!$N148</f>
        <v>0</v>
      </c>
      <c r="AB854" s="179">
        <f>Partner8!$N148</f>
        <v>0</v>
      </c>
      <c r="AC854" s="179">
        <f>Partner9!$N148</f>
        <v>0</v>
      </c>
      <c r="AD854" s="179">
        <f>Partner10!$N148</f>
        <v>0</v>
      </c>
    </row>
    <row r="855" spans="5:30" ht="12" x14ac:dyDescent="0.2">
      <c r="F855" s="94" t="str">
        <f>STRAT10_IND5</f>
        <v>Objetivo estratégico 10 Indicador 5</v>
      </c>
      <c r="G855" s="94" t="str">
        <f ca="1">OFFSET(Variables_Lu!$D$10,Basic_Setup!H92,0)</f>
        <v>Nutrition-specific</v>
      </c>
      <c r="H855" s="346">
        <f>'Financial Req'!$N78</f>
        <v>0</v>
      </c>
      <c r="I855" s="347">
        <f>H855-J855</f>
        <v>0</v>
      </c>
      <c r="J855" s="345">
        <f>SUM(K855:AD855)</f>
        <v>0</v>
      </c>
      <c r="K855" s="365">
        <f>Government1!$N78</f>
        <v>0</v>
      </c>
      <c r="L855" s="365">
        <f>Government2!$N78</f>
        <v>0</v>
      </c>
      <c r="M855" s="365">
        <f>Government3!$N78</f>
        <v>0</v>
      </c>
      <c r="N855" s="365">
        <f>Government4!$N78</f>
        <v>0</v>
      </c>
      <c r="O855" s="365">
        <f>Government5!$N78</f>
        <v>0</v>
      </c>
      <c r="P855" s="365">
        <f>Government6!$N78</f>
        <v>0</v>
      </c>
      <c r="Q855" s="365">
        <f>Government7!$N78</f>
        <v>0</v>
      </c>
      <c r="R855" s="365">
        <f>Government8!$N78</f>
        <v>0</v>
      </c>
      <c r="S855" s="365">
        <f>Government9!$N78</f>
        <v>0</v>
      </c>
      <c r="T855" s="365">
        <f>Government10!$N78</f>
        <v>0</v>
      </c>
      <c r="U855" s="179">
        <f>Partner1!$N149</f>
        <v>0</v>
      </c>
      <c r="V855" s="179">
        <f>Partner2!$N149</f>
        <v>0</v>
      </c>
      <c r="W855" s="179">
        <f>Partner3!$N149</f>
        <v>0</v>
      </c>
      <c r="X855" s="179">
        <f>Partner4!$N149</f>
        <v>0</v>
      </c>
      <c r="Y855" s="179">
        <f>Partner5!$N149</f>
        <v>0</v>
      </c>
      <c r="Z855" s="179">
        <f>Partner6!$N149</f>
        <v>0</v>
      </c>
      <c r="AA855" s="179">
        <f>Partner7!$N149</f>
        <v>0</v>
      </c>
      <c r="AB855" s="179">
        <f>Partner8!$N149</f>
        <v>0</v>
      </c>
      <c r="AC855" s="179">
        <f>Partner9!$N149</f>
        <v>0</v>
      </c>
      <c r="AD855" s="179">
        <f>Partner10!$N149</f>
        <v>0</v>
      </c>
    </row>
    <row r="856" spans="5:30" x14ac:dyDescent="0.2">
      <c r="F856" s="332" t="str">
        <f>"Subtotal: "&amp;E230</f>
        <v>Subtotal: Objetivo estratégico 10: [No está en uso]</v>
      </c>
      <c r="G856" s="333"/>
      <c r="H856" s="348">
        <f>'Financial Req'!$N79</f>
        <v>0</v>
      </c>
      <c r="I856" s="349">
        <f>SUM(I851:I855)</f>
        <v>0</v>
      </c>
      <c r="J856" s="350">
        <f>SUM(J851:J855)</f>
        <v>0</v>
      </c>
      <c r="K856" s="366">
        <f>Government1!$N79</f>
        <v>0</v>
      </c>
      <c r="L856" s="366">
        <f>Government2!$N79</f>
        <v>0</v>
      </c>
      <c r="M856" s="366">
        <f>Government3!$N79</f>
        <v>0</v>
      </c>
      <c r="N856" s="366">
        <f>Government4!$N79</f>
        <v>0</v>
      </c>
      <c r="O856" s="366">
        <f>Government5!$N79</f>
        <v>0</v>
      </c>
      <c r="P856" s="366">
        <f>Government6!$N79</f>
        <v>0</v>
      </c>
      <c r="Q856" s="366">
        <f>Government7!$N79</f>
        <v>0</v>
      </c>
      <c r="R856" s="366">
        <f>Government8!$N79</f>
        <v>0</v>
      </c>
      <c r="S856" s="366">
        <f>Government9!$N79</f>
        <v>0</v>
      </c>
      <c r="T856" s="366">
        <f>Government10!$N79</f>
        <v>0</v>
      </c>
      <c r="U856" s="331">
        <f>Partner1!$N150</f>
        <v>0</v>
      </c>
      <c r="V856" s="331">
        <f>Partner2!$N150</f>
        <v>0</v>
      </c>
      <c r="W856" s="331">
        <f>Partner3!$N150</f>
        <v>0</v>
      </c>
      <c r="X856" s="331">
        <f>Partner4!$N150</f>
        <v>0</v>
      </c>
      <c r="Y856" s="331">
        <f>Partner5!$N150</f>
        <v>0</v>
      </c>
      <c r="Z856" s="331">
        <f>Partner6!$N150</f>
        <v>0</v>
      </c>
      <c r="AA856" s="331">
        <f>Partner7!$N150</f>
        <v>0</v>
      </c>
      <c r="AB856" s="331">
        <f>Partner8!$N150</f>
        <v>0</v>
      </c>
      <c r="AC856" s="331">
        <f>Partner9!$N150</f>
        <v>0</v>
      </c>
      <c r="AD856" s="331">
        <f>Partner10!$N150</f>
        <v>0</v>
      </c>
    </row>
    <row r="857" spans="5:30" ht="12" x14ac:dyDescent="0.2">
      <c r="F857" s="142" t="str">
        <f>"Total "&amp;" ("&amp;E163&amp;")"</f>
        <v>Total  (GOZ)</v>
      </c>
      <c r="G857" s="142"/>
      <c r="H857" s="352">
        <f>SUM(H793,H800,H807,H814,H821,H828,H835,H842,H849,H856)</f>
        <v>163755028627.54541</v>
      </c>
      <c r="I857" s="362">
        <f>SUM(I793,I800,I807,I814,I821,I828,I835,I842,I849,I856)</f>
        <v>113375139184.54915</v>
      </c>
      <c r="J857" s="362">
        <f>SUM(J793,J800,J807,J814,J821,J828,J835,J842,J849,J856)</f>
        <v>50379889442.996246</v>
      </c>
      <c r="K857" s="367">
        <f t="shared" ref="K857:AD857" si="454">SUM(K793,K800,K807,K814,K821,K828,K835,K842,K849,K856)</f>
        <v>4274516100.0149999</v>
      </c>
      <c r="L857" s="367">
        <f t="shared" si="454"/>
        <v>490436535.45375007</v>
      </c>
      <c r="M857" s="367">
        <f t="shared" si="454"/>
        <v>1287000000</v>
      </c>
      <c r="N857" s="367">
        <f t="shared" si="454"/>
        <v>137767071.82499999</v>
      </c>
      <c r="O857" s="367">
        <f t="shared" si="454"/>
        <v>59269334.940000005</v>
      </c>
      <c r="P857" s="367">
        <f t="shared" si="454"/>
        <v>20829671743.252499</v>
      </c>
      <c r="Q857" s="367">
        <f t="shared" si="454"/>
        <v>2594288831.9400001</v>
      </c>
      <c r="R857" s="367">
        <f t="shared" si="454"/>
        <v>127539825.57000001</v>
      </c>
      <c r="S857" s="367">
        <f t="shared" si="454"/>
        <v>0</v>
      </c>
      <c r="T857" s="367">
        <f t="shared" si="454"/>
        <v>0</v>
      </c>
      <c r="U857" s="90">
        <f t="shared" si="454"/>
        <v>13694400000</v>
      </c>
      <c r="V857" s="90">
        <f t="shared" si="454"/>
        <v>0</v>
      </c>
      <c r="W857" s="90">
        <f t="shared" si="454"/>
        <v>0</v>
      </c>
      <c r="X857" s="90">
        <f t="shared" si="454"/>
        <v>0</v>
      </c>
      <c r="Y857" s="90">
        <f t="shared" si="454"/>
        <v>6885000000</v>
      </c>
      <c r="Z857" s="90">
        <f t="shared" si="454"/>
        <v>0</v>
      </c>
      <c r="AA857" s="90">
        <f t="shared" si="454"/>
        <v>0</v>
      </c>
      <c r="AB857" s="90">
        <f t="shared" si="454"/>
        <v>0</v>
      </c>
      <c r="AC857" s="90">
        <f t="shared" si="454"/>
        <v>0</v>
      </c>
      <c r="AD857" s="90">
        <f t="shared" si="454"/>
        <v>0</v>
      </c>
    </row>
    <row r="860" spans="5:30" ht="17.399999999999999" x14ac:dyDescent="0.2">
      <c r="E860" s="305" t="str">
        <f>CURR_INT_ABBR</f>
        <v>USD</v>
      </c>
    </row>
    <row r="862" spans="5:30" ht="84" x14ac:dyDescent="0.2">
      <c r="E862" s="303" t="s">
        <v>140</v>
      </c>
      <c r="F862" s="10"/>
      <c r="G862" s="302" t="s">
        <v>482</v>
      </c>
      <c r="H862" s="340" t="s">
        <v>143</v>
      </c>
      <c r="I862" s="341" t="s">
        <v>565</v>
      </c>
      <c r="J862" s="342" t="s">
        <v>141</v>
      </c>
      <c r="K862" s="339" t="str">
        <f>Government1</f>
        <v>Ministerio de Agricultura y Ganadería</v>
      </c>
      <c r="L862" s="339" t="str">
        <f>Government2</f>
        <v>Ministerio de Energía y Minas</v>
      </c>
      <c r="M862" s="339" t="str">
        <f>Government3</f>
        <v>Ministerio de Educación Nacional, de Educación Superior e Investigación Científica</v>
      </c>
      <c r="N862" s="339" t="str">
        <f>Government4</f>
        <v>Ministerio de Medioambiente</v>
      </c>
      <c r="O862" s="339" t="str">
        <f>Government5</f>
        <v>Ministerio de Servicio Público</v>
      </c>
      <c r="P862" s="339" t="str">
        <f>Government6</f>
        <v>Ministerio de Salud Pública y Lucha contra el SIDA</v>
      </c>
      <c r="Q862" s="339" t="str">
        <f>Government7</f>
        <v xml:space="preserve">Ministerio de Derechos Humanos, Asuntos Sociales y Género </v>
      </c>
      <c r="R862" s="339" t="str">
        <f>Government8</f>
        <v>Ministerio de Desarrollo Municipal</v>
      </c>
      <c r="S862" s="339" t="str">
        <f>Government9</f>
        <v>[No está en uso]</v>
      </c>
      <c r="T862" s="339" t="str">
        <f>Government10</f>
        <v>[No está en uso]</v>
      </c>
      <c r="U862" s="97" t="str">
        <f>Partner1</f>
        <v>UNICEF</v>
      </c>
      <c r="V862" s="97" t="str">
        <f>Partner2</f>
        <v>Organización Mundial de la Salud</v>
      </c>
      <c r="W862" s="97" t="str">
        <f>Partner3</f>
        <v>Banco Mundial</v>
      </c>
      <c r="X862" s="97" t="str">
        <f>Partner4</f>
        <v>Organización de las Naciones Unidas para la Alimentación y la Agricultura</v>
      </c>
      <c r="Y862" s="97" t="str">
        <f>Partner5</f>
        <v>Programa Mundial de Alimentos</v>
      </c>
      <c r="Z862" s="97" t="str">
        <f>Partner6</f>
        <v>[No está en uso]</v>
      </c>
      <c r="AA862" s="97" t="str">
        <f>Partner7</f>
        <v>[No está en uso]</v>
      </c>
      <c r="AB862" s="97" t="str">
        <f>Partner8</f>
        <v>[No está en uso]</v>
      </c>
      <c r="AC862" s="97" t="str">
        <f>Partner9</f>
        <v>[No está en uso]</v>
      </c>
      <c r="AD862" s="97" t="str">
        <f>Partner10</f>
        <v>[No está en uso]</v>
      </c>
    </row>
    <row r="863" spans="5:30" x14ac:dyDescent="0.2">
      <c r="H863" s="372"/>
      <c r="I863" s="372"/>
      <c r="J863" s="372"/>
    </row>
    <row r="864" spans="5:30" ht="12" x14ac:dyDescent="0.2">
      <c r="E864" s="301" t="str">
        <f>Strategy1</f>
        <v>Objetivo estratégico 1: Fortalecer la gobernanza de la nutrición</v>
      </c>
      <c r="G864" s="94"/>
      <c r="H864" s="363"/>
      <c r="I864" s="364"/>
      <c r="J864" s="356"/>
      <c r="K864" s="369"/>
      <c r="L864" s="369"/>
      <c r="M864" s="369"/>
      <c r="N864" s="369"/>
      <c r="O864" s="369"/>
      <c r="P864" s="369"/>
      <c r="Q864" s="369"/>
      <c r="R864" s="369"/>
      <c r="S864" s="369"/>
      <c r="T864" s="369"/>
      <c r="U864" s="96"/>
      <c r="V864" s="96"/>
      <c r="W864" s="96"/>
      <c r="X864" s="96"/>
      <c r="Y864" s="96"/>
      <c r="Z864" s="96"/>
      <c r="AA864" s="96"/>
      <c r="AB864" s="96"/>
      <c r="AC864" s="96"/>
      <c r="AD864" s="96"/>
    </row>
    <row r="865" spans="5:30" ht="12" x14ac:dyDescent="0.2">
      <c r="E865" s="301"/>
      <c r="F865" s="94" t="str">
        <f>STRAT1_IND1</f>
        <v>Se refuerza la coordinación multisectorial en materia de nutrición</v>
      </c>
      <c r="G865" s="94" t="str">
        <f ca="1">OFFSET(Variables_Lu!$D$10,Basic_Setup!H34,0)</f>
        <v>Governance</v>
      </c>
      <c r="H865" s="354">
        <f t="shared" ref="H865:AD865" si="455">H788/EXCHANGE_RATE</f>
        <v>292542.48611111112</v>
      </c>
      <c r="I865" s="355">
        <f t="shared" si="455"/>
        <v>131120.15512377862</v>
      </c>
      <c r="J865" s="356">
        <f t="shared" si="455"/>
        <v>161422.33098733251</v>
      </c>
      <c r="K865" s="369">
        <f t="shared" si="455"/>
        <v>949.89246666999998</v>
      </c>
      <c r="L865" s="369">
        <f t="shared" si="455"/>
        <v>108.98589676750001</v>
      </c>
      <c r="M865" s="369">
        <f t="shared" si="455"/>
        <v>286</v>
      </c>
      <c r="N865" s="369">
        <f t="shared" si="455"/>
        <v>30.614904850000002</v>
      </c>
      <c r="O865" s="369">
        <f t="shared" si="455"/>
        <v>13.17096332</v>
      </c>
      <c r="P865" s="369">
        <f t="shared" si="455"/>
        <v>4628.8159429449997</v>
      </c>
      <c r="Q865" s="369">
        <f t="shared" si="455"/>
        <v>576.50862932000007</v>
      </c>
      <c r="R865" s="369">
        <f t="shared" si="455"/>
        <v>28.342183459999998</v>
      </c>
      <c r="S865" s="369">
        <f t="shared" si="455"/>
        <v>0</v>
      </c>
      <c r="T865" s="369">
        <f t="shared" si="455"/>
        <v>0</v>
      </c>
      <c r="U865" s="96">
        <f t="shared" si="455"/>
        <v>4800</v>
      </c>
      <c r="V865" s="96">
        <f t="shared" si="455"/>
        <v>0</v>
      </c>
      <c r="W865" s="96">
        <f t="shared" si="455"/>
        <v>0</v>
      </c>
      <c r="X865" s="96">
        <f t="shared" si="455"/>
        <v>0</v>
      </c>
      <c r="Y865" s="96">
        <f t="shared" si="455"/>
        <v>150000</v>
      </c>
      <c r="Z865" s="96">
        <f t="shared" si="455"/>
        <v>0</v>
      </c>
      <c r="AA865" s="96">
        <f t="shared" si="455"/>
        <v>0</v>
      </c>
      <c r="AB865" s="96">
        <f t="shared" si="455"/>
        <v>0</v>
      </c>
      <c r="AC865" s="96">
        <f t="shared" si="455"/>
        <v>0</v>
      </c>
      <c r="AD865" s="96">
        <f t="shared" si="455"/>
        <v>0</v>
      </c>
    </row>
    <row r="866" spans="5:30" ht="22.8" x14ac:dyDescent="0.2">
      <c r="E866" s="301"/>
      <c r="F866" s="94" t="str">
        <f>STRAT1_IND2</f>
        <v>Está en funcionamiento el sistema multisectorial de información sobre nutrición para la adopción de decisiones eficaces.</v>
      </c>
      <c r="G866" s="94" t="str">
        <f ca="1">OFFSET(Variables_Lu!$D$10,Basic_Setup!H35,0)</f>
        <v>Governance</v>
      </c>
      <c r="H866" s="354">
        <f t="shared" ref="H866:AD866" si="456">H789/EXCHANGE_RATE</f>
        <v>292542.48611111112</v>
      </c>
      <c r="I866" s="355">
        <f t="shared" si="456"/>
        <v>285120.15512377862</v>
      </c>
      <c r="J866" s="356">
        <f t="shared" si="456"/>
        <v>7422.3309873325006</v>
      </c>
      <c r="K866" s="369">
        <f t="shared" si="456"/>
        <v>949.89246666999998</v>
      </c>
      <c r="L866" s="369">
        <f t="shared" si="456"/>
        <v>108.98589676750001</v>
      </c>
      <c r="M866" s="369">
        <f t="shared" si="456"/>
        <v>286</v>
      </c>
      <c r="N866" s="369">
        <f t="shared" si="456"/>
        <v>30.614904850000002</v>
      </c>
      <c r="O866" s="369">
        <f t="shared" si="456"/>
        <v>13.17096332</v>
      </c>
      <c r="P866" s="369">
        <f t="shared" si="456"/>
        <v>4628.8159429449997</v>
      </c>
      <c r="Q866" s="369">
        <f t="shared" si="456"/>
        <v>576.50862932000007</v>
      </c>
      <c r="R866" s="369">
        <f t="shared" si="456"/>
        <v>28.342183459999998</v>
      </c>
      <c r="S866" s="369">
        <f t="shared" si="456"/>
        <v>0</v>
      </c>
      <c r="T866" s="369">
        <f t="shared" si="456"/>
        <v>0</v>
      </c>
      <c r="U866" s="96">
        <f t="shared" si="456"/>
        <v>800</v>
      </c>
      <c r="V866" s="96">
        <f t="shared" si="456"/>
        <v>0</v>
      </c>
      <c r="W866" s="96">
        <f t="shared" si="456"/>
        <v>0</v>
      </c>
      <c r="X866" s="96">
        <f t="shared" si="456"/>
        <v>0</v>
      </c>
      <c r="Y866" s="96">
        <f t="shared" si="456"/>
        <v>0</v>
      </c>
      <c r="Z866" s="96">
        <f t="shared" si="456"/>
        <v>0</v>
      </c>
      <c r="AA866" s="96">
        <f t="shared" si="456"/>
        <v>0</v>
      </c>
      <c r="AB866" s="96">
        <f t="shared" si="456"/>
        <v>0</v>
      </c>
      <c r="AC866" s="96">
        <f t="shared" si="456"/>
        <v>0</v>
      </c>
      <c r="AD866" s="96">
        <f t="shared" si="456"/>
        <v>0</v>
      </c>
    </row>
    <row r="867" spans="5:30" ht="22.8" x14ac:dyDescent="0.2">
      <c r="E867" s="301"/>
      <c r="F867" s="94" t="str">
        <f>STRAT1_IND3</f>
        <v>La investigación en nutrición se utiliza para aclarar que la toma de decisiones se mejora y se refuerza.</v>
      </c>
      <c r="G867" s="94" t="str">
        <f ca="1">OFFSET(Variables_Lu!$D$10,Basic_Setup!H36,0)</f>
        <v>Governance</v>
      </c>
      <c r="H867" s="354">
        <f t="shared" ref="H867:AD867" si="457">H790/EXCHANGE_RATE</f>
        <v>292542.48611111112</v>
      </c>
      <c r="I867" s="355">
        <f t="shared" si="457"/>
        <v>284320.15512377862</v>
      </c>
      <c r="J867" s="356">
        <f t="shared" si="457"/>
        <v>8222.3309873324997</v>
      </c>
      <c r="K867" s="369">
        <f t="shared" si="457"/>
        <v>949.89246666999998</v>
      </c>
      <c r="L867" s="369">
        <f t="shared" si="457"/>
        <v>108.98589676750001</v>
      </c>
      <c r="M867" s="369">
        <f t="shared" si="457"/>
        <v>286</v>
      </c>
      <c r="N867" s="369">
        <f t="shared" si="457"/>
        <v>30.614904850000002</v>
      </c>
      <c r="O867" s="369">
        <f t="shared" si="457"/>
        <v>13.17096332</v>
      </c>
      <c r="P867" s="369">
        <f t="shared" si="457"/>
        <v>4628.8159429449997</v>
      </c>
      <c r="Q867" s="369">
        <f t="shared" si="457"/>
        <v>576.50862932000007</v>
      </c>
      <c r="R867" s="369">
        <f t="shared" si="457"/>
        <v>28.342183459999998</v>
      </c>
      <c r="S867" s="369">
        <f t="shared" si="457"/>
        <v>0</v>
      </c>
      <c r="T867" s="369">
        <f t="shared" si="457"/>
        <v>0</v>
      </c>
      <c r="U867" s="96">
        <f t="shared" si="457"/>
        <v>1600</v>
      </c>
      <c r="V867" s="96">
        <f t="shared" si="457"/>
        <v>0</v>
      </c>
      <c r="W867" s="96">
        <f t="shared" si="457"/>
        <v>0</v>
      </c>
      <c r="X867" s="96">
        <f t="shared" si="457"/>
        <v>0</v>
      </c>
      <c r="Y867" s="96">
        <f t="shared" si="457"/>
        <v>0</v>
      </c>
      <c r="Z867" s="96">
        <f t="shared" si="457"/>
        <v>0</v>
      </c>
      <c r="AA867" s="96">
        <f t="shared" si="457"/>
        <v>0</v>
      </c>
      <c r="AB867" s="96">
        <f t="shared" si="457"/>
        <v>0</v>
      </c>
      <c r="AC867" s="96">
        <f t="shared" si="457"/>
        <v>0</v>
      </c>
      <c r="AD867" s="96">
        <f t="shared" si="457"/>
        <v>0</v>
      </c>
    </row>
    <row r="868" spans="5:30" ht="22.8" x14ac:dyDescent="0.2">
      <c r="E868" s="301"/>
      <c r="F868" s="94" t="str">
        <f>STRAT1_IND4</f>
        <v>El marco legislativo y reglamentario de la nutrición se ha fortalecido y está en funcionamiento.</v>
      </c>
      <c r="G868" s="94" t="str">
        <f ca="1">OFFSET(Variables_Lu!$D$10,Basic_Setup!H37,0)</f>
        <v>Governance</v>
      </c>
      <c r="H868" s="354">
        <f t="shared" ref="H868:AD868" si="458">H791/EXCHANGE_RATE</f>
        <v>292542.48611111112</v>
      </c>
      <c r="I868" s="355">
        <f t="shared" si="458"/>
        <v>285120.15512377862</v>
      </c>
      <c r="J868" s="356">
        <f t="shared" si="458"/>
        <v>7422.3309873325006</v>
      </c>
      <c r="K868" s="369">
        <f t="shared" si="458"/>
        <v>949.89246666999998</v>
      </c>
      <c r="L868" s="369">
        <f t="shared" si="458"/>
        <v>108.98589676750001</v>
      </c>
      <c r="M868" s="369">
        <f t="shared" si="458"/>
        <v>286</v>
      </c>
      <c r="N868" s="369">
        <f t="shared" si="458"/>
        <v>30.614904850000002</v>
      </c>
      <c r="O868" s="369">
        <f t="shared" si="458"/>
        <v>13.17096332</v>
      </c>
      <c r="P868" s="369">
        <f t="shared" si="458"/>
        <v>4628.8159429449997</v>
      </c>
      <c r="Q868" s="369">
        <f t="shared" si="458"/>
        <v>576.50862932000007</v>
      </c>
      <c r="R868" s="369">
        <f t="shared" si="458"/>
        <v>28.342183459999998</v>
      </c>
      <c r="S868" s="369">
        <f t="shared" si="458"/>
        <v>0</v>
      </c>
      <c r="T868" s="369">
        <f t="shared" si="458"/>
        <v>0</v>
      </c>
      <c r="U868" s="96">
        <f t="shared" si="458"/>
        <v>800</v>
      </c>
      <c r="V868" s="96">
        <f t="shared" si="458"/>
        <v>0</v>
      </c>
      <c r="W868" s="96">
        <f t="shared" si="458"/>
        <v>0</v>
      </c>
      <c r="X868" s="96">
        <f t="shared" si="458"/>
        <v>0</v>
      </c>
      <c r="Y868" s="96">
        <f t="shared" si="458"/>
        <v>0</v>
      </c>
      <c r="Z868" s="96">
        <f t="shared" si="458"/>
        <v>0</v>
      </c>
      <c r="AA868" s="96">
        <f t="shared" si="458"/>
        <v>0</v>
      </c>
      <c r="AB868" s="96">
        <f t="shared" si="458"/>
        <v>0</v>
      </c>
      <c r="AC868" s="96">
        <f t="shared" si="458"/>
        <v>0</v>
      </c>
      <c r="AD868" s="96">
        <f t="shared" si="458"/>
        <v>0</v>
      </c>
    </row>
    <row r="869" spans="5:30" ht="12" x14ac:dyDescent="0.2">
      <c r="E869" s="301"/>
      <c r="F869" s="94" t="str">
        <f>STRAT1_IND5</f>
        <v>Objetivo estratégico 1 Indicador 5</v>
      </c>
      <c r="G869" s="94" t="str">
        <f ca="1">OFFSET(Variables_Lu!$D$10,Basic_Setup!H38,0)</f>
        <v>Governance</v>
      </c>
      <c r="H869" s="354">
        <f t="shared" ref="H869:AD869" si="459">H792/EXCHANGE_RATE</f>
        <v>0</v>
      </c>
      <c r="I869" s="355">
        <f t="shared" si="459"/>
        <v>0</v>
      </c>
      <c r="J869" s="356">
        <f t="shared" si="459"/>
        <v>0</v>
      </c>
      <c r="K869" s="369">
        <f t="shared" si="459"/>
        <v>0</v>
      </c>
      <c r="L869" s="369">
        <f t="shared" si="459"/>
        <v>0</v>
      </c>
      <c r="M869" s="369">
        <f t="shared" si="459"/>
        <v>0</v>
      </c>
      <c r="N869" s="369">
        <f t="shared" si="459"/>
        <v>0</v>
      </c>
      <c r="O869" s="369">
        <f t="shared" si="459"/>
        <v>0</v>
      </c>
      <c r="P869" s="369">
        <f t="shared" si="459"/>
        <v>0</v>
      </c>
      <c r="Q869" s="369">
        <f t="shared" si="459"/>
        <v>0</v>
      </c>
      <c r="R869" s="369">
        <f t="shared" si="459"/>
        <v>0</v>
      </c>
      <c r="S869" s="369">
        <f t="shared" si="459"/>
        <v>0</v>
      </c>
      <c r="T869" s="369">
        <f t="shared" si="459"/>
        <v>0</v>
      </c>
      <c r="U869" s="96">
        <f t="shared" si="459"/>
        <v>0</v>
      </c>
      <c r="V869" s="96">
        <f t="shared" si="459"/>
        <v>0</v>
      </c>
      <c r="W869" s="96">
        <f t="shared" si="459"/>
        <v>0</v>
      </c>
      <c r="X869" s="96">
        <f t="shared" si="459"/>
        <v>0</v>
      </c>
      <c r="Y869" s="96">
        <f t="shared" si="459"/>
        <v>0</v>
      </c>
      <c r="Z869" s="96">
        <f t="shared" si="459"/>
        <v>0</v>
      </c>
      <c r="AA869" s="96">
        <f t="shared" si="459"/>
        <v>0</v>
      </c>
      <c r="AB869" s="96">
        <f t="shared" si="459"/>
        <v>0</v>
      </c>
      <c r="AC869" s="96">
        <f t="shared" si="459"/>
        <v>0</v>
      </c>
      <c r="AD869" s="96">
        <f t="shared" si="459"/>
        <v>0</v>
      </c>
    </row>
    <row r="870" spans="5:30" ht="24" x14ac:dyDescent="0.2">
      <c r="E870" s="301"/>
      <c r="F870" s="338" t="str">
        <f>"Subtotal: "&amp;E244</f>
        <v>Subtotal: Objetivo estratégico 1: Fortalecer la gobernanza de la nutrición</v>
      </c>
      <c r="G870" s="333"/>
      <c r="H870" s="357">
        <f t="shared" ref="H870:AD870" si="460">H793/EXCHANGE_RATE</f>
        <v>1170169.9444444445</v>
      </c>
      <c r="I870" s="358">
        <f t="shared" si="460"/>
        <v>985680.62049511448</v>
      </c>
      <c r="J870" s="358">
        <f t="shared" si="460"/>
        <v>184489.32394932999</v>
      </c>
      <c r="K870" s="370">
        <f t="shared" si="460"/>
        <v>3799.5698666799999</v>
      </c>
      <c r="L870" s="370">
        <f t="shared" si="460"/>
        <v>435.94358707000004</v>
      </c>
      <c r="M870" s="370">
        <f t="shared" si="460"/>
        <v>1144</v>
      </c>
      <c r="N870" s="370">
        <f t="shared" si="460"/>
        <v>122.45961940000001</v>
      </c>
      <c r="O870" s="370">
        <f t="shared" si="460"/>
        <v>52.683853280000001</v>
      </c>
      <c r="P870" s="370">
        <f t="shared" si="460"/>
        <v>18515.263771779999</v>
      </c>
      <c r="Q870" s="370">
        <f t="shared" si="460"/>
        <v>2306.0345172800003</v>
      </c>
      <c r="R870" s="370">
        <f t="shared" si="460"/>
        <v>113.36873383999999</v>
      </c>
      <c r="S870" s="370">
        <f t="shared" si="460"/>
        <v>0</v>
      </c>
      <c r="T870" s="370">
        <f t="shared" si="460"/>
        <v>0</v>
      </c>
      <c r="U870" s="337">
        <f t="shared" si="460"/>
        <v>8000</v>
      </c>
      <c r="V870" s="337">
        <f t="shared" si="460"/>
        <v>0</v>
      </c>
      <c r="W870" s="337">
        <f t="shared" si="460"/>
        <v>0</v>
      </c>
      <c r="X870" s="337">
        <f t="shared" si="460"/>
        <v>0</v>
      </c>
      <c r="Y870" s="337">
        <f t="shared" si="460"/>
        <v>150000</v>
      </c>
      <c r="Z870" s="337">
        <f t="shared" si="460"/>
        <v>0</v>
      </c>
      <c r="AA870" s="337">
        <f t="shared" si="460"/>
        <v>0</v>
      </c>
      <c r="AB870" s="337">
        <f t="shared" si="460"/>
        <v>0</v>
      </c>
      <c r="AC870" s="337">
        <f t="shared" si="460"/>
        <v>0</v>
      </c>
      <c r="AD870" s="337">
        <f t="shared" si="460"/>
        <v>0</v>
      </c>
    </row>
    <row r="871" spans="5:30" ht="12" x14ac:dyDescent="0.2">
      <c r="E871" s="301" t="str">
        <f>Strategy2</f>
        <v>Objetivo estratégico 2: Fortalecer el acceso al tratamiento y a los servicios de salud y nutrición de calidad, así como al tratamiento de todas las formas de malnutrición</v>
      </c>
      <c r="G871" s="94"/>
      <c r="H871" s="363"/>
      <c r="I871" s="364"/>
      <c r="J871" s="356"/>
      <c r="K871" s="369"/>
      <c r="L871" s="369"/>
      <c r="M871" s="369"/>
      <c r="N871" s="369"/>
      <c r="O871" s="369"/>
      <c r="P871" s="369"/>
      <c r="Q871" s="369"/>
      <c r="R871" s="369"/>
      <c r="S871" s="369"/>
      <c r="T871" s="369"/>
      <c r="U871" s="96"/>
      <c r="V871" s="96"/>
      <c r="W871" s="96"/>
      <c r="X871" s="96"/>
      <c r="Y871" s="96"/>
      <c r="Z871" s="96"/>
      <c r="AA871" s="96"/>
      <c r="AB871" s="96"/>
      <c r="AC871" s="96"/>
      <c r="AD871" s="96"/>
    </row>
    <row r="872" spans="5:30" ht="34.200000000000003" x14ac:dyDescent="0.2">
      <c r="E872" s="301"/>
      <c r="F872" s="94" t="str">
        <f>STRAT2_IND1</f>
        <v>Se fortalece el acceso y la utilización sostenible de los servicios de salud y nutrición para los niños menores de 5 años, los adolescentes, las mujeres embarazadas y lactantes, y los demás grupos vulnerables</v>
      </c>
      <c r="G872" s="94" t="str">
        <f ca="1">OFFSET(Variables_Lu!$D$10,Basic_Setup!H40,0)</f>
        <v>Nutrition-specific</v>
      </c>
      <c r="H872" s="354">
        <f t="shared" ref="H872:AD872" si="461">H795/EXCHANGE_RATE</f>
        <v>4445191.6092638886</v>
      </c>
      <c r="I872" s="355">
        <f t="shared" si="461"/>
        <v>-405240.07214912254</v>
      </c>
      <c r="J872" s="356">
        <f t="shared" si="461"/>
        <v>4850431.6814130116</v>
      </c>
      <c r="K872" s="369">
        <f t="shared" si="461"/>
        <v>50265.143027954167</v>
      </c>
      <c r="L872" s="369">
        <f t="shared" si="461"/>
        <v>5767.1703706135422</v>
      </c>
      <c r="M872" s="369">
        <f t="shared" si="461"/>
        <v>15134.166666666666</v>
      </c>
      <c r="N872" s="369">
        <f t="shared" si="461"/>
        <v>1620.0387149791666</v>
      </c>
      <c r="O872" s="369">
        <f t="shared" si="461"/>
        <v>696.96347568333329</v>
      </c>
      <c r="P872" s="369">
        <f t="shared" si="461"/>
        <v>244941.51031417289</v>
      </c>
      <c r="Q872" s="369">
        <f t="shared" si="461"/>
        <v>30506.914968183333</v>
      </c>
      <c r="R872" s="369">
        <f t="shared" si="461"/>
        <v>1499.7738747583332</v>
      </c>
      <c r="S872" s="369">
        <f t="shared" si="461"/>
        <v>0</v>
      </c>
      <c r="T872" s="369">
        <f t="shared" si="461"/>
        <v>0</v>
      </c>
      <c r="U872" s="96">
        <f t="shared" si="461"/>
        <v>3000000</v>
      </c>
      <c r="V872" s="96">
        <f t="shared" si="461"/>
        <v>0</v>
      </c>
      <c r="W872" s="96">
        <f t="shared" si="461"/>
        <v>0</v>
      </c>
      <c r="X872" s="96">
        <f t="shared" si="461"/>
        <v>0</v>
      </c>
      <c r="Y872" s="96">
        <f t="shared" si="461"/>
        <v>1500000</v>
      </c>
      <c r="Z872" s="96">
        <f t="shared" si="461"/>
        <v>0</v>
      </c>
      <c r="AA872" s="96">
        <f t="shared" si="461"/>
        <v>0</v>
      </c>
      <c r="AB872" s="96">
        <f t="shared" si="461"/>
        <v>0</v>
      </c>
      <c r="AC872" s="96">
        <f t="shared" si="461"/>
        <v>0</v>
      </c>
      <c r="AD872" s="96">
        <f t="shared" si="461"/>
        <v>0</v>
      </c>
    </row>
    <row r="873" spans="5:30" ht="45.6" x14ac:dyDescent="0.2">
      <c r="E873" s="301"/>
      <c r="F873" s="94" t="str">
        <f>STRAT2_IND2</f>
        <v xml:space="preserve">Se reduce la prevalencia de enfermedades relacionadas con la prevalencia de la malnutrición (paludismo, diarrea, neumonía, parásitos intestinales, VIH, TNM) en lactantes, adolescentes y mujeres en edad reproductiva. </v>
      </c>
      <c r="G873" s="94" t="str">
        <f ca="1">OFFSET(Variables_Lu!$D$10,Basic_Setup!H41,0)</f>
        <v>Nutrition-sensitive</v>
      </c>
      <c r="H873" s="354">
        <f t="shared" ref="H873:AD873" si="462">H796/EXCHANGE_RATE</f>
        <v>4445191.6092638886</v>
      </c>
      <c r="I873" s="355">
        <f t="shared" si="462"/>
        <v>3594759.9278508774</v>
      </c>
      <c r="J873" s="356">
        <f t="shared" si="462"/>
        <v>850431.68141301139</v>
      </c>
      <c r="K873" s="369">
        <f t="shared" si="462"/>
        <v>50265.143027954167</v>
      </c>
      <c r="L873" s="369">
        <f t="shared" si="462"/>
        <v>5767.1703706135422</v>
      </c>
      <c r="M873" s="369">
        <f t="shared" si="462"/>
        <v>15134.166666666666</v>
      </c>
      <c r="N873" s="369">
        <f t="shared" si="462"/>
        <v>1620.0387149791666</v>
      </c>
      <c r="O873" s="369">
        <f t="shared" si="462"/>
        <v>696.96347568333329</v>
      </c>
      <c r="P873" s="369">
        <f t="shared" si="462"/>
        <v>244941.51031417289</v>
      </c>
      <c r="Q873" s="369">
        <f t="shared" si="462"/>
        <v>30506.914968183333</v>
      </c>
      <c r="R873" s="369">
        <f t="shared" si="462"/>
        <v>1499.7738747583332</v>
      </c>
      <c r="S873" s="369">
        <f t="shared" si="462"/>
        <v>0</v>
      </c>
      <c r="T873" s="369">
        <f t="shared" si="462"/>
        <v>0</v>
      </c>
      <c r="U873" s="96">
        <f t="shared" si="462"/>
        <v>500000</v>
      </c>
      <c r="V873" s="96">
        <f t="shared" si="462"/>
        <v>0</v>
      </c>
      <c r="W873" s="96">
        <f t="shared" si="462"/>
        <v>0</v>
      </c>
      <c r="X873" s="96">
        <f t="shared" si="462"/>
        <v>0</v>
      </c>
      <c r="Y873" s="96">
        <f t="shared" si="462"/>
        <v>0</v>
      </c>
      <c r="Z873" s="96">
        <f t="shared" si="462"/>
        <v>0</v>
      </c>
      <c r="AA873" s="96">
        <f t="shared" si="462"/>
        <v>0</v>
      </c>
      <c r="AB873" s="96">
        <f t="shared" si="462"/>
        <v>0</v>
      </c>
      <c r="AC873" s="96">
        <f t="shared" si="462"/>
        <v>0</v>
      </c>
      <c r="AD873" s="96">
        <f t="shared" si="462"/>
        <v>0</v>
      </c>
    </row>
    <row r="874" spans="5:30" ht="12" x14ac:dyDescent="0.2">
      <c r="E874" s="301"/>
      <c r="F874" s="94" t="str">
        <f>STRAT2_IND3</f>
        <v>Se refuerzan las intervenciones comunitarias en materia de nutrición.</v>
      </c>
      <c r="G874" s="94" t="str">
        <f ca="1">OFFSET(Variables_Lu!$D$10,Basic_Setup!H42,0)</f>
        <v>Nutrition-specific</v>
      </c>
      <c r="H874" s="354">
        <f t="shared" ref="H874:AD874" si="463">H797/EXCHANGE_RATE</f>
        <v>4445191.6092638886</v>
      </c>
      <c r="I874" s="355">
        <f t="shared" si="463"/>
        <v>2794759.9278508774</v>
      </c>
      <c r="J874" s="356">
        <f t="shared" si="463"/>
        <v>1650431.6814130116</v>
      </c>
      <c r="K874" s="369">
        <f t="shared" si="463"/>
        <v>50265.143027954167</v>
      </c>
      <c r="L874" s="369">
        <f t="shared" si="463"/>
        <v>5767.1703706135422</v>
      </c>
      <c r="M874" s="369">
        <f t="shared" si="463"/>
        <v>15134.166666666666</v>
      </c>
      <c r="N874" s="369">
        <f t="shared" si="463"/>
        <v>1620.0387149791666</v>
      </c>
      <c r="O874" s="369">
        <f t="shared" si="463"/>
        <v>696.96347568333329</v>
      </c>
      <c r="P874" s="369">
        <f t="shared" si="463"/>
        <v>244941.51031417289</v>
      </c>
      <c r="Q874" s="369">
        <f t="shared" si="463"/>
        <v>30506.914968183333</v>
      </c>
      <c r="R874" s="369">
        <f t="shared" si="463"/>
        <v>1499.7738747583332</v>
      </c>
      <c r="S874" s="369">
        <f t="shared" si="463"/>
        <v>0</v>
      </c>
      <c r="T874" s="369">
        <f t="shared" si="463"/>
        <v>0</v>
      </c>
      <c r="U874" s="96">
        <f t="shared" si="463"/>
        <v>1300000</v>
      </c>
      <c r="V874" s="96">
        <f t="shared" si="463"/>
        <v>0</v>
      </c>
      <c r="W874" s="96">
        <f t="shared" si="463"/>
        <v>0</v>
      </c>
      <c r="X874" s="96">
        <f t="shared" si="463"/>
        <v>0</v>
      </c>
      <c r="Y874" s="96">
        <f t="shared" si="463"/>
        <v>0</v>
      </c>
      <c r="Z874" s="96">
        <f t="shared" si="463"/>
        <v>0</v>
      </c>
      <c r="AA874" s="96">
        <f t="shared" si="463"/>
        <v>0</v>
      </c>
      <c r="AB874" s="96">
        <f t="shared" si="463"/>
        <v>0</v>
      </c>
      <c r="AC874" s="96">
        <f t="shared" si="463"/>
        <v>0</v>
      </c>
      <c r="AD874" s="96">
        <f t="shared" si="463"/>
        <v>0</v>
      </c>
    </row>
    <row r="875" spans="5:30" ht="12" x14ac:dyDescent="0.2">
      <c r="E875" s="301"/>
      <c r="F875" s="94" t="str">
        <f>STRAT2_IND4</f>
        <v>Objetivo estratégico 2 Indicador 4</v>
      </c>
      <c r="G875" s="94" t="str">
        <f ca="1">OFFSET(Variables_Lu!$D$10,Basic_Setup!H43,0)</f>
        <v>Nutrition-specific</v>
      </c>
      <c r="H875" s="354">
        <f t="shared" ref="H875:AD875" si="464">H798/EXCHANGE_RATE</f>
        <v>0</v>
      </c>
      <c r="I875" s="355">
        <f t="shared" si="464"/>
        <v>0</v>
      </c>
      <c r="J875" s="356">
        <f t="shared" si="464"/>
        <v>0</v>
      </c>
      <c r="K875" s="369">
        <f t="shared" si="464"/>
        <v>0</v>
      </c>
      <c r="L875" s="369">
        <f t="shared" si="464"/>
        <v>0</v>
      </c>
      <c r="M875" s="369">
        <f t="shared" si="464"/>
        <v>0</v>
      </c>
      <c r="N875" s="369">
        <f t="shared" si="464"/>
        <v>0</v>
      </c>
      <c r="O875" s="369">
        <f t="shared" si="464"/>
        <v>0</v>
      </c>
      <c r="P875" s="369">
        <f t="shared" si="464"/>
        <v>0</v>
      </c>
      <c r="Q875" s="369">
        <f t="shared" si="464"/>
        <v>0</v>
      </c>
      <c r="R875" s="369">
        <f t="shared" si="464"/>
        <v>0</v>
      </c>
      <c r="S875" s="369">
        <f t="shared" si="464"/>
        <v>0</v>
      </c>
      <c r="T875" s="369">
        <f t="shared" si="464"/>
        <v>0</v>
      </c>
      <c r="U875" s="96">
        <f t="shared" si="464"/>
        <v>0</v>
      </c>
      <c r="V875" s="96">
        <f t="shared" si="464"/>
        <v>0</v>
      </c>
      <c r="W875" s="96">
        <f t="shared" si="464"/>
        <v>0</v>
      </c>
      <c r="X875" s="96">
        <f t="shared" si="464"/>
        <v>0</v>
      </c>
      <c r="Y875" s="96">
        <f t="shared" si="464"/>
        <v>0</v>
      </c>
      <c r="Z875" s="96">
        <f t="shared" si="464"/>
        <v>0</v>
      </c>
      <c r="AA875" s="96">
        <f t="shared" si="464"/>
        <v>0</v>
      </c>
      <c r="AB875" s="96">
        <f t="shared" si="464"/>
        <v>0</v>
      </c>
      <c r="AC875" s="96">
        <f t="shared" si="464"/>
        <v>0</v>
      </c>
      <c r="AD875" s="96">
        <f t="shared" si="464"/>
        <v>0</v>
      </c>
    </row>
    <row r="876" spans="5:30" ht="12" x14ac:dyDescent="0.2">
      <c r="E876" s="301"/>
      <c r="F876" s="94" t="str">
        <f>STRAT2_IND5</f>
        <v>Objetivo estratégico 2 Indicador 5</v>
      </c>
      <c r="G876" s="94" t="str">
        <f ca="1">OFFSET(Variables_Lu!$D$10,Basic_Setup!H44,0)</f>
        <v>Nutrition-specific</v>
      </c>
      <c r="H876" s="354">
        <f t="shared" ref="H876:AD876" si="465">H799/EXCHANGE_RATE</f>
        <v>0</v>
      </c>
      <c r="I876" s="355">
        <f t="shared" si="465"/>
        <v>0</v>
      </c>
      <c r="J876" s="356">
        <f t="shared" si="465"/>
        <v>0</v>
      </c>
      <c r="K876" s="369">
        <f t="shared" si="465"/>
        <v>0</v>
      </c>
      <c r="L876" s="369">
        <f t="shared" si="465"/>
        <v>0</v>
      </c>
      <c r="M876" s="369">
        <f t="shared" si="465"/>
        <v>0</v>
      </c>
      <c r="N876" s="369">
        <f t="shared" si="465"/>
        <v>0</v>
      </c>
      <c r="O876" s="369">
        <f t="shared" si="465"/>
        <v>0</v>
      </c>
      <c r="P876" s="369">
        <f t="shared" si="465"/>
        <v>0</v>
      </c>
      <c r="Q876" s="369">
        <f t="shared" si="465"/>
        <v>0</v>
      </c>
      <c r="R876" s="369">
        <f t="shared" si="465"/>
        <v>0</v>
      </c>
      <c r="S876" s="369">
        <f t="shared" si="465"/>
        <v>0</v>
      </c>
      <c r="T876" s="369">
        <f t="shared" si="465"/>
        <v>0</v>
      </c>
      <c r="U876" s="96">
        <f t="shared" si="465"/>
        <v>0</v>
      </c>
      <c r="V876" s="96">
        <f t="shared" si="465"/>
        <v>0</v>
      </c>
      <c r="W876" s="96">
        <f t="shared" si="465"/>
        <v>0</v>
      </c>
      <c r="X876" s="96">
        <f t="shared" si="465"/>
        <v>0</v>
      </c>
      <c r="Y876" s="96">
        <f t="shared" si="465"/>
        <v>0</v>
      </c>
      <c r="Z876" s="96">
        <f t="shared" si="465"/>
        <v>0</v>
      </c>
      <c r="AA876" s="96">
        <f t="shared" si="465"/>
        <v>0</v>
      </c>
      <c r="AB876" s="96">
        <f t="shared" si="465"/>
        <v>0</v>
      </c>
      <c r="AC876" s="96">
        <f t="shared" si="465"/>
        <v>0</v>
      </c>
      <c r="AD876" s="96">
        <f t="shared" si="465"/>
        <v>0</v>
      </c>
    </row>
    <row r="877" spans="5:30" ht="30.75" customHeight="1" x14ac:dyDescent="0.2">
      <c r="E877" s="301"/>
      <c r="F877" s="338" t="str">
        <f>"Subtotal: "&amp;E251</f>
        <v>Subtotal: Objetivo estratégico 2: Fortalecer el acceso al tratamiento y a los servicios de salud y nutrición de calidad, así como al tratamiento de todas las formas de malnutrición</v>
      </c>
      <c r="G877" s="333"/>
      <c r="H877" s="357">
        <f t="shared" ref="H877:AD877" si="466">H800/EXCHANGE_RATE</f>
        <v>13335574.827791667</v>
      </c>
      <c r="I877" s="358">
        <f t="shared" si="466"/>
        <v>5984279.7835526317</v>
      </c>
      <c r="J877" s="358">
        <f t="shared" si="466"/>
        <v>7351295.0442390349</v>
      </c>
      <c r="K877" s="370">
        <f t="shared" si="466"/>
        <v>150795.42908386252</v>
      </c>
      <c r="L877" s="370">
        <f t="shared" si="466"/>
        <v>17301.511111840628</v>
      </c>
      <c r="M877" s="370">
        <f t="shared" si="466"/>
        <v>45402.5</v>
      </c>
      <c r="N877" s="370">
        <f t="shared" si="466"/>
        <v>4860.1161449374995</v>
      </c>
      <c r="O877" s="370">
        <f t="shared" si="466"/>
        <v>2090.8904270499997</v>
      </c>
      <c r="P877" s="370">
        <f t="shared" si="466"/>
        <v>734824.53094251873</v>
      </c>
      <c r="Q877" s="370">
        <f t="shared" si="466"/>
        <v>91520.744904549996</v>
      </c>
      <c r="R877" s="370">
        <f t="shared" si="466"/>
        <v>4499.3216242749995</v>
      </c>
      <c r="S877" s="370">
        <f t="shared" si="466"/>
        <v>0</v>
      </c>
      <c r="T877" s="370">
        <f t="shared" si="466"/>
        <v>0</v>
      </c>
      <c r="U877" s="337">
        <f t="shared" si="466"/>
        <v>4800000</v>
      </c>
      <c r="V877" s="337">
        <f t="shared" si="466"/>
        <v>0</v>
      </c>
      <c r="W877" s="337">
        <f t="shared" si="466"/>
        <v>0</v>
      </c>
      <c r="X877" s="337">
        <f t="shared" si="466"/>
        <v>0</v>
      </c>
      <c r="Y877" s="337">
        <f t="shared" si="466"/>
        <v>1500000</v>
      </c>
      <c r="Z877" s="337">
        <f t="shared" si="466"/>
        <v>0</v>
      </c>
      <c r="AA877" s="337">
        <f t="shared" si="466"/>
        <v>0</v>
      </c>
      <c r="AB877" s="337">
        <f t="shared" si="466"/>
        <v>0</v>
      </c>
      <c r="AC877" s="337">
        <f t="shared" si="466"/>
        <v>0</v>
      </c>
      <c r="AD877" s="337">
        <f t="shared" si="466"/>
        <v>0</v>
      </c>
    </row>
    <row r="878" spans="5:30" ht="12" x14ac:dyDescent="0.2">
      <c r="E878" s="301" t="str">
        <f>Strategy3</f>
        <v>Objetivo estratégico 3: Aumentar la disponibilidad y el acceso a alimentos nutritivos de alto valor, seguros y diversificados</v>
      </c>
      <c r="G878" s="94"/>
      <c r="H878" s="363"/>
      <c r="I878" s="364"/>
      <c r="J878" s="356"/>
      <c r="K878" s="369"/>
      <c r="L878" s="369"/>
      <c r="M878" s="369"/>
      <c r="N878" s="369"/>
      <c r="O878" s="369"/>
      <c r="P878" s="369"/>
      <c r="Q878" s="369"/>
      <c r="R878" s="369"/>
      <c r="S878" s="369"/>
      <c r="T878" s="369"/>
      <c r="U878" s="96"/>
      <c r="V878" s="96"/>
      <c r="W878" s="96"/>
      <c r="X878" s="96"/>
      <c r="Y878" s="96"/>
      <c r="Z878" s="96"/>
      <c r="AA878" s="96"/>
      <c r="AB878" s="96"/>
      <c r="AC878" s="96"/>
      <c r="AD878" s="96"/>
    </row>
    <row r="879" spans="5:30" ht="22.8" x14ac:dyDescent="0.2">
      <c r="F879" s="94" t="str">
        <f>STRAT3_IND1</f>
        <v xml:space="preserve">Aumenta la disponibilidad y el acceso a alimentos de alto valor nutritivo en los hogares. </v>
      </c>
      <c r="G879" s="94" t="str">
        <f ca="1">OFFSET(Variables_Lu!$D$10,Basic_Setup!H46,0)</f>
        <v>Nutrition-specific</v>
      </c>
      <c r="H879" s="354">
        <f t="shared" ref="H879:AD879" si="467">H802/EXCHANGE_RATE</f>
        <v>23704176.236600082</v>
      </c>
      <c r="I879" s="355">
        <f t="shared" si="467"/>
        <v>18935252.62127677</v>
      </c>
      <c r="J879" s="356">
        <f t="shared" si="467"/>
        <v>4768923.6153233116</v>
      </c>
      <c r="K879" s="369">
        <f t="shared" si="467"/>
        <v>594395.21101875254</v>
      </c>
      <c r="L879" s="369">
        <f t="shared" si="467"/>
        <v>68197.924902263141</v>
      </c>
      <c r="M879" s="369">
        <f t="shared" si="467"/>
        <v>178964.5</v>
      </c>
      <c r="N879" s="369">
        <f t="shared" si="467"/>
        <v>19157.276709887501</v>
      </c>
      <c r="O879" s="369">
        <f t="shared" si="467"/>
        <v>8241.7302974899994</v>
      </c>
      <c r="P879" s="369">
        <f t="shared" si="467"/>
        <v>2896481.5762978336</v>
      </c>
      <c r="Q879" s="369">
        <f t="shared" si="467"/>
        <v>360750.27479699004</v>
      </c>
      <c r="R879" s="369">
        <f t="shared" si="467"/>
        <v>17735.121300095001</v>
      </c>
      <c r="S879" s="369">
        <f t="shared" si="467"/>
        <v>0</v>
      </c>
      <c r="T879" s="369">
        <f t="shared" si="467"/>
        <v>0</v>
      </c>
      <c r="U879" s="96">
        <f t="shared" si="467"/>
        <v>0</v>
      </c>
      <c r="V879" s="96">
        <f t="shared" si="467"/>
        <v>0</v>
      </c>
      <c r="W879" s="96">
        <f t="shared" si="467"/>
        <v>0</v>
      </c>
      <c r="X879" s="96">
        <f t="shared" si="467"/>
        <v>0</v>
      </c>
      <c r="Y879" s="96">
        <f t="shared" si="467"/>
        <v>625000</v>
      </c>
      <c r="Z879" s="96">
        <f t="shared" si="467"/>
        <v>0</v>
      </c>
      <c r="AA879" s="96">
        <f t="shared" si="467"/>
        <v>0</v>
      </c>
      <c r="AB879" s="96">
        <f t="shared" si="467"/>
        <v>0</v>
      </c>
      <c r="AC879" s="96">
        <f t="shared" si="467"/>
        <v>0</v>
      </c>
      <c r="AD879" s="96">
        <f t="shared" si="467"/>
        <v>0</v>
      </c>
    </row>
    <row r="880" spans="5:30" ht="12" x14ac:dyDescent="0.2">
      <c r="E880" s="301"/>
      <c r="F880" s="94" t="str">
        <f>STRAT3_IND2</f>
        <v xml:space="preserve"> La seguridad alimentaria está garantizada para toda la nación.</v>
      </c>
      <c r="G880" s="94" t="str">
        <f ca="1">OFFSET(Variables_Lu!$D$10,Basic_Setup!H47,0)</f>
        <v>Nutrition-sensitive</v>
      </c>
      <c r="H880" s="354">
        <f t="shared" ref="H880:AD880" si="468">H803/EXCHANGE_RATE</f>
        <v>23704176.236600082</v>
      </c>
      <c r="I880" s="355">
        <f t="shared" si="468"/>
        <v>19560252.62127677</v>
      </c>
      <c r="J880" s="356">
        <f t="shared" si="468"/>
        <v>4143923.6153233121</v>
      </c>
      <c r="K880" s="369">
        <f t="shared" si="468"/>
        <v>594395.21101875254</v>
      </c>
      <c r="L880" s="369">
        <f t="shared" si="468"/>
        <v>68197.924902263141</v>
      </c>
      <c r="M880" s="369">
        <f t="shared" si="468"/>
        <v>178964.5</v>
      </c>
      <c r="N880" s="369">
        <f t="shared" si="468"/>
        <v>19157.276709887501</v>
      </c>
      <c r="O880" s="369">
        <f t="shared" si="468"/>
        <v>8241.7302974899994</v>
      </c>
      <c r="P880" s="369">
        <f t="shared" si="468"/>
        <v>2896481.5762978336</v>
      </c>
      <c r="Q880" s="369">
        <f t="shared" si="468"/>
        <v>360750.27479699004</v>
      </c>
      <c r="R880" s="369">
        <f t="shared" si="468"/>
        <v>17735.121300095001</v>
      </c>
      <c r="S880" s="369">
        <f t="shared" si="468"/>
        <v>0</v>
      </c>
      <c r="T880" s="369">
        <f t="shared" si="468"/>
        <v>0</v>
      </c>
      <c r="U880" s="96">
        <f t="shared" si="468"/>
        <v>0</v>
      </c>
      <c r="V880" s="96">
        <f t="shared" si="468"/>
        <v>0</v>
      </c>
      <c r="W880" s="96">
        <f t="shared" si="468"/>
        <v>0</v>
      </c>
      <c r="X880" s="96">
        <f t="shared" si="468"/>
        <v>0</v>
      </c>
      <c r="Y880" s="96">
        <f t="shared" si="468"/>
        <v>0</v>
      </c>
      <c r="Z880" s="96">
        <f t="shared" si="468"/>
        <v>0</v>
      </c>
      <c r="AA880" s="96">
        <f t="shared" si="468"/>
        <v>0</v>
      </c>
      <c r="AB880" s="96">
        <f t="shared" si="468"/>
        <v>0</v>
      </c>
      <c r="AC880" s="96">
        <f t="shared" si="468"/>
        <v>0</v>
      </c>
      <c r="AD880" s="96">
        <f t="shared" si="468"/>
        <v>0</v>
      </c>
    </row>
    <row r="881" spans="5:30" ht="12" x14ac:dyDescent="0.2">
      <c r="E881" s="301"/>
      <c r="F881" s="94" t="str">
        <f>STRAT3_IND3</f>
        <v>Objetivo estratégico 3 Indicador 3</v>
      </c>
      <c r="G881" s="94" t="str">
        <f ca="1">OFFSET(Variables_Lu!$D$10,Basic_Setup!H48,0)</f>
        <v>Nutrition-specific</v>
      </c>
      <c r="H881" s="354">
        <f t="shared" ref="H881:AD881" si="469">H804/EXCHANGE_RATE</f>
        <v>0</v>
      </c>
      <c r="I881" s="355">
        <f t="shared" si="469"/>
        <v>0</v>
      </c>
      <c r="J881" s="356">
        <f t="shared" si="469"/>
        <v>0</v>
      </c>
      <c r="K881" s="369">
        <f t="shared" si="469"/>
        <v>0</v>
      </c>
      <c r="L881" s="369">
        <f t="shared" si="469"/>
        <v>0</v>
      </c>
      <c r="M881" s="369">
        <f t="shared" si="469"/>
        <v>0</v>
      </c>
      <c r="N881" s="369">
        <f t="shared" si="469"/>
        <v>0</v>
      </c>
      <c r="O881" s="369">
        <f t="shared" si="469"/>
        <v>0</v>
      </c>
      <c r="P881" s="369">
        <f t="shared" si="469"/>
        <v>0</v>
      </c>
      <c r="Q881" s="369">
        <f t="shared" si="469"/>
        <v>0</v>
      </c>
      <c r="R881" s="369">
        <f t="shared" si="469"/>
        <v>0</v>
      </c>
      <c r="S881" s="369">
        <f t="shared" si="469"/>
        <v>0</v>
      </c>
      <c r="T881" s="369">
        <f t="shared" si="469"/>
        <v>0</v>
      </c>
      <c r="U881" s="96">
        <f t="shared" si="469"/>
        <v>0</v>
      </c>
      <c r="V881" s="96">
        <f t="shared" si="469"/>
        <v>0</v>
      </c>
      <c r="W881" s="96">
        <f t="shared" si="469"/>
        <v>0</v>
      </c>
      <c r="X881" s="96">
        <f t="shared" si="469"/>
        <v>0</v>
      </c>
      <c r="Y881" s="96">
        <f t="shared" si="469"/>
        <v>0</v>
      </c>
      <c r="Z881" s="96">
        <f t="shared" si="469"/>
        <v>0</v>
      </c>
      <c r="AA881" s="96">
        <f t="shared" si="469"/>
        <v>0</v>
      </c>
      <c r="AB881" s="96">
        <f t="shared" si="469"/>
        <v>0</v>
      </c>
      <c r="AC881" s="96">
        <f t="shared" si="469"/>
        <v>0</v>
      </c>
      <c r="AD881" s="96">
        <f t="shared" si="469"/>
        <v>0</v>
      </c>
    </row>
    <row r="882" spans="5:30" ht="12" x14ac:dyDescent="0.2">
      <c r="E882" s="301"/>
      <c r="F882" s="94" t="str">
        <f>STRAT3_IND4</f>
        <v>Objetivo estratégico 3 Indicador 4</v>
      </c>
      <c r="G882" s="94" t="str">
        <f ca="1">OFFSET(Variables_Lu!$D$10,Basic_Setup!H49,0)</f>
        <v>Nutrition-specific</v>
      </c>
      <c r="H882" s="354">
        <f t="shared" ref="H882:AD882" si="470">H805/EXCHANGE_RATE</f>
        <v>0</v>
      </c>
      <c r="I882" s="355">
        <f t="shared" si="470"/>
        <v>0</v>
      </c>
      <c r="J882" s="356">
        <f t="shared" si="470"/>
        <v>0</v>
      </c>
      <c r="K882" s="369">
        <f t="shared" si="470"/>
        <v>0</v>
      </c>
      <c r="L882" s="369">
        <f t="shared" si="470"/>
        <v>0</v>
      </c>
      <c r="M882" s="369">
        <f t="shared" si="470"/>
        <v>0</v>
      </c>
      <c r="N882" s="369">
        <f t="shared" si="470"/>
        <v>0</v>
      </c>
      <c r="O882" s="369">
        <f t="shared" si="470"/>
        <v>0</v>
      </c>
      <c r="P882" s="369">
        <f t="shared" si="470"/>
        <v>0</v>
      </c>
      <c r="Q882" s="369">
        <f t="shared" si="470"/>
        <v>0</v>
      </c>
      <c r="R882" s="369">
        <f t="shared" si="470"/>
        <v>0</v>
      </c>
      <c r="S882" s="369">
        <f t="shared" si="470"/>
        <v>0</v>
      </c>
      <c r="T882" s="369">
        <f t="shared" si="470"/>
        <v>0</v>
      </c>
      <c r="U882" s="96">
        <f t="shared" si="470"/>
        <v>0</v>
      </c>
      <c r="V882" s="96">
        <f t="shared" si="470"/>
        <v>0</v>
      </c>
      <c r="W882" s="96">
        <f t="shared" si="470"/>
        <v>0</v>
      </c>
      <c r="X882" s="96">
        <f t="shared" si="470"/>
        <v>0</v>
      </c>
      <c r="Y882" s="96">
        <f t="shared" si="470"/>
        <v>0</v>
      </c>
      <c r="Z882" s="96">
        <f t="shared" si="470"/>
        <v>0</v>
      </c>
      <c r="AA882" s="96">
        <f t="shared" si="470"/>
        <v>0</v>
      </c>
      <c r="AB882" s="96">
        <f t="shared" si="470"/>
        <v>0</v>
      </c>
      <c r="AC882" s="96">
        <f t="shared" si="470"/>
        <v>0</v>
      </c>
      <c r="AD882" s="96">
        <f t="shared" si="470"/>
        <v>0</v>
      </c>
    </row>
    <row r="883" spans="5:30" ht="12" x14ac:dyDescent="0.2">
      <c r="E883" s="301"/>
      <c r="F883" s="94" t="str">
        <f>STRAT3_IND5</f>
        <v>Objetivo estratégico 3 Indicador 5</v>
      </c>
      <c r="G883" s="94" t="str">
        <f ca="1">OFFSET(Variables_Lu!$D$10,Basic_Setup!H50,0)</f>
        <v>Nutrition-specific</v>
      </c>
      <c r="H883" s="354">
        <f t="shared" ref="H883:AD883" si="471">H806/EXCHANGE_RATE</f>
        <v>0</v>
      </c>
      <c r="I883" s="355">
        <f t="shared" si="471"/>
        <v>0</v>
      </c>
      <c r="J883" s="356">
        <f t="shared" si="471"/>
        <v>0</v>
      </c>
      <c r="K883" s="369">
        <f t="shared" si="471"/>
        <v>0</v>
      </c>
      <c r="L883" s="369">
        <f t="shared" si="471"/>
        <v>0</v>
      </c>
      <c r="M883" s="369">
        <f t="shared" si="471"/>
        <v>0</v>
      </c>
      <c r="N883" s="369">
        <f t="shared" si="471"/>
        <v>0</v>
      </c>
      <c r="O883" s="369">
        <f t="shared" si="471"/>
        <v>0</v>
      </c>
      <c r="P883" s="369">
        <f t="shared" si="471"/>
        <v>0</v>
      </c>
      <c r="Q883" s="369">
        <f t="shared" si="471"/>
        <v>0</v>
      </c>
      <c r="R883" s="369">
        <f t="shared" si="471"/>
        <v>0</v>
      </c>
      <c r="S883" s="369">
        <f t="shared" si="471"/>
        <v>0</v>
      </c>
      <c r="T883" s="369">
        <f t="shared" si="471"/>
        <v>0</v>
      </c>
      <c r="U883" s="96">
        <f t="shared" si="471"/>
        <v>0</v>
      </c>
      <c r="V883" s="96">
        <f t="shared" si="471"/>
        <v>0</v>
      </c>
      <c r="W883" s="96">
        <f t="shared" si="471"/>
        <v>0</v>
      </c>
      <c r="X883" s="96">
        <f t="shared" si="471"/>
        <v>0</v>
      </c>
      <c r="Y883" s="96">
        <f t="shared" si="471"/>
        <v>0</v>
      </c>
      <c r="Z883" s="96">
        <f t="shared" si="471"/>
        <v>0</v>
      </c>
      <c r="AA883" s="96">
        <f t="shared" si="471"/>
        <v>0</v>
      </c>
      <c r="AB883" s="96">
        <f t="shared" si="471"/>
        <v>0</v>
      </c>
      <c r="AC883" s="96">
        <f t="shared" si="471"/>
        <v>0</v>
      </c>
      <c r="AD883" s="96">
        <f t="shared" si="471"/>
        <v>0</v>
      </c>
    </row>
    <row r="884" spans="5:30" ht="36" x14ac:dyDescent="0.2">
      <c r="E884" s="301"/>
      <c r="F884" s="338" t="str">
        <f>"Subtotal: "&amp;E258</f>
        <v>Subtotal: Objetivo estratégico 3: Aumentar la disponibilidad y el acceso a alimentos nutritivos de alto valor, seguros y diversificados</v>
      </c>
      <c r="G884" s="333"/>
      <c r="H884" s="357">
        <f t="shared" ref="H884:AD884" si="472">H807/EXCHANGE_RATE</f>
        <v>47408352.473200165</v>
      </c>
      <c r="I884" s="358">
        <f t="shared" si="472"/>
        <v>38495505.24255354</v>
      </c>
      <c r="J884" s="358">
        <f t="shared" si="472"/>
        <v>8912847.2306466233</v>
      </c>
      <c r="K884" s="370">
        <f t="shared" si="472"/>
        <v>1188790.4220375051</v>
      </c>
      <c r="L884" s="370">
        <f t="shared" si="472"/>
        <v>136395.84980452628</v>
      </c>
      <c r="M884" s="370">
        <f t="shared" si="472"/>
        <v>357929</v>
      </c>
      <c r="N884" s="370">
        <f t="shared" si="472"/>
        <v>38314.553419775002</v>
      </c>
      <c r="O884" s="370">
        <f t="shared" si="472"/>
        <v>16483.460594979999</v>
      </c>
      <c r="P884" s="370">
        <f t="shared" si="472"/>
        <v>5792963.1525956672</v>
      </c>
      <c r="Q884" s="370">
        <f t="shared" si="472"/>
        <v>721500.54959398007</v>
      </c>
      <c r="R884" s="370">
        <f t="shared" si="472"/>
        <v>35470.242600190002</v>
      </c>
      <c r="S884" s="370">
        <f t="shared" si="472"/>
        <v>0</v>
      </c>
      <c r="T884" s="370">
        <f t="shared" si="472"/>
        <v>0</v>
      </c>
      <c r="U884" s="337">
        <f t="shared" si="472"/>
        <v>0</v>
      </c>
      <c r="V884" s="337">
        <f t="shared" si="472"/>
        <v>0</v>
      </c>
      <c r="W884" s="337">
        <f t="shared" si="472"/>
        <v>0</v>
      </c>
      <c r="X884" s="337">
        <f t="shared" si="472"/>
        <v>0</v>
      </c>
      <c r="Y884" s="337">
        <f t="shared" si="472"/>
        <v>625000</v>
      </c>
      <c r="Z884" s="337">
        <f t="shared" si="472"/>
        <v>0</v>
      </c>
      <c r="AA884" s="337">
        <f t="shared" si="472"/>
        <v>0</v>
      </c>
      <c r="AB884" s="337">
        <f t="shared" si="472"/>
        <v>0</v>
      </c>
      <c r="AC884" s="337">
        <f t="shared" si="472"/>
        <v>0</v>
      </c>
      <c r="AD884" s="337">
        <f t="shared" si="472"/>
        <v>0</v>
      </c>
    </row>
    <row r="885" spans="5:30" ht="12" x14ac:dyDescent="0.2">
      <c r="E885" s="301" t="str">
        <f>Strategy4</f>
        <v>Objetivo estratégico 4: Fortalecer la protección social, la resiliencia de la respuesta a las emergencias y los desastres naturales.</v>
      </c>
      <c r="G885" s="94"/>
      <c r="H885" s="363"/>
      <c r="I885" s="364"/>
      <c r="J885" s="356"/>
      <c r="K885" s="369"/>
      <c r="L885" s="369"/>
      <c r="M885" s="369"/>
      <c r="N885" s="369"/>
      <c r="O885" s="369"/>
      <c r="P885" s="369"/>
      <c r="Q885" s="369"/>
      <c r="R885" s="369"/>
      <c r="S885" s="369"/>
      <c r="T885" s="369"/>
      <c r="U885" s="96"/>
      <c r="V885" s="96"/>
      <c r="W885" s="96"/>
      <c r="X885" s="96"/>
      <c r="Y885" s="96"/>
      <c r="Z885" s="96"/>
      <c r="AA885" s="96"/>
      <c r="AB885" s="96"/>
      <c r="AC885" s="96"/>
      <c r="AD885" s="96"/>
    </row>
    <row r="886" spans="5:30" ht="22.8" x14ac:dyDescent="0.2">
      <c r="F886" s="94" t="str">
        <f>STRAT4_IND1</f>
        <v xml:space="preserve">Se garantiza la protección social de los niños menores de 5 años, los adolescentes, FE/FA y otros grupos vulnerables. </v>
      </c>
      <c r="G886" s="94" t="str">
        <f ca="1">OFFSET(Variables_Lu!$D$10,Basic_Setup!H52,0)</f>
        <v>Nutrition-sensitive</v>
      </c>
      <c r="H886" s="354">
        <f t="shared" ref="H886:AD886" si="473">H809/EXCHANGE_RATE</f>
        <v>7204139.3550790371</v>
      </c>
      <c r="I886" s="355">
        <f t="shared" si="473"/>
        <v>4331423.2647911645</v>
      </c>
      <c r="J886" s="356">
        <f t="shared" si="473"/>
        <v>2872716.0902878731</v>
      </c>
      <c r="K886" s="369">
        <f t="shared" si="473"/>
        <v>334599.62138450751</v>
      </c>
      <c r="L886" s="369">
        <f t="shared" si="473"/>
        <v>38390.282136351881</v>
      </c>
      <c r="M886" s="369">
        <f t="shared" si="473"/>
        <v>100743.5</v>
      </c>
      <c r="N886" s="369">
        <f t="shared" si="473"/>
        <v>10784.100233412499</v>
      </c>
      <c r="O886" s="369">
        <f t="shared" si="473"/>
        <v>4639.4718294700006</v>
      </c>
      <c r="P886" s="369">
        <f t="shared" si="473"/>
        <v>1630500.4159023762</v>
      </c>
      <c r="Q886" s="369">
        <f t="shared" si="473"/>
        <v>203075.16467797002</v>
      </c>
      <c r="R886" s="369">
        <f t="shared" si="473"/>
        <v>9983.5341237850007</v>
      </c>
      <c r="S886" s="369">
        <f t="shared" si="473"/>
        <v>0</v>
      </c>
      <c r="T886" s="369">
        <f t="shared" si="473"/>
        <v>0</v>
      </c>
      <c r="U886" s="96">
        <f t="shared" si="473"/>
        <v>40000</v>
      </c>
      <c r="V886" s="96">
        <f t="shared" si="473"/>
        <v>0</v>
      </c>
      <c r="W886" s="96">
        <f t="shared" si="473"/>
        <v>0</v>
      </c>
      <c r="X886" s="96">
        <f t="shared" si="473"/>
        <v>0</v>
      </c>
      <c r="Y886" s="96">
        <f t="shared" si="473"/>
        <v>500000</v>
      </c>
      <c r="Z886" s="96">
        <f t="shared" si="473"/>
        <v>0</v>
      </c>
      <c r="AA886" s="96">
        <f t="shared" si="473"/>
        <v>0</v>
      </c>
      <c r="AB886" s="96">
        <f t="shared" si="473"/>
        <v>0</v>
      </c>
      <c r="AC886" s="96">
        <f t="shared" si="473"/>
        <v>0</v>
      </c>
      <c r="AD886" s="96">
        <f t="shared" si="473"/>
        <v>0</v>
      </c>
    </row>
    <row r="887" spans="5:30" ht="34.200000000000003" x14ac:dyDescent="0.2">
      <c r="E887" s="301"/>
      <c r="F887" s="94" t="str">
        <f>STRAT4_IND2</f>
        <v xml:space="preserve">Se fortalece la capacidad de resiliencia y el estado nutricional de las poblaciones vulnerables, incluidos los niños de las zonas desfavorecidas.  </v>
      </c>
      <c r="G887" s="94" t="str">
        <f ca="1">OFFSET(Variables_Lu!$D$10,Basic_Setup!H53,0)</f>
        <v>Nutrition-specific</v>
      </c>
      <c r="H887" s="354">
        <f t="shared" ref="H887:AD887" si="474">H810/EXCHANGE_RATE</f>
        <v>7204139.3550790371</v>
      </c>
      <c r="I887" s="355">
        <f t="shared" si="474"/>
        <v>4781423.2647911645</v>
      </c>
      <c r="J887" s="356">
        <f t="shared" si="474"/>
        <v>2422716.0902878731</v>
      </c>
      <c r="K887" s="369">
        <f t="shared" si="474"/>
        <v>334599.62138450751</v>
      </c>
      <c r="L887" s="369">
        <f t="shared" si="474"/>
        <v>38390.282136351881</v>
      </c>
      <c r="M887" s="369">
        <f t="shared" si="474"/>
        <v>100743.5</v>
      </c>
      <c r="N887" s="369">
        <f t="shared" si="474"/>
        <v>10784.100233412499</v>
      </c>
      <c r="O887" s="369">
        <f t="shared" si="474"/>
        <v>4639.4718294700006</v>
      </c>
      <c r="P887" s="369">
        <f t="shared" si="474"/>
        <v>1630500.4159023762</v>
      </c>
      <c r="Q887" s="369">
        <f t="shared" si="474"/>
        <v>203075.16467797002</v>
      </c>
      <c r="R887" s="369">
        <f t="shared" si="474"/>
        <v>9983.5341237850007</v>
      </c>
      <c r="S887" s="369">
        <f t="shared" si="474"/>
        <v>0</v>
      </c>
      <c r="T887" s="369">
        <f t="shared" si="474"/>
        <v>0</v>
      </c>
      <c r="U887" s="96">
        <f t="shared" si="474"/>
        <v>40000</v>
      </c>
      <c r="V887" s="96">
        <f t="shared" si="474"/>
        <v>0</v>
      </c>
      <c r="W887" s="96">
        <f t="shared" si="474"/>
        <v>0</v>
      </c>
      <c r="X887" s="96">
        <f t="shared" si="474"/>
        <v>0</v>
      </c>
      <c r="Y887" s="96">
        <f t="shared" si="474"/>
        <v>50000</v>
      </c>
      <c r="Z887" s="96">
        <f t="shared" si="474"/>
        <v>0</v>
      </c>
      <c r="AA887" s="96">
        <f t="shared" si="474"/>
        <v>0</v>
      </c>
      <c r="AB887" s="96">
        <f t="shared" si="474"/>
        <v>0</v>
      </c>
      <c r="AC887" s="96">
        <f t="shared" si="474"/>
        <v>0</v>
      </c>
      <c r="AD887" s="96">
        <f t="shared" si="474"/>
        <v>0</v>
      </c>
    </row>
    <row r="888" spans="5:30" ht="22.8" x14ac:dyDescent="0.2">
      <c r="E888" s="301"/>
      <c r="F888" s="94" t="str">
        <f>STRAT4_IND3</f>
        <v xml:space="preserve"> Se introducen eficazmente intervenciones para emergencias y catástrofes naturales integrales de la nutrición.</v>
      </c>
      <c r="G888" s="94" t="str">
        <f ca="1">OFFSET(Variables_Lu!$D$10,Basic_Setup!H54,0)</f>
        <v>Nutrition-specific</v>
      </c>
      <c r="H888" s="354">
        <f t="shared" ref="H888:AD888" si="475">H811/EXCHANGE_RATE</f>
        <v>7204139.3550790371</v>
      </c>
      <c r="I888" s="355">
        <f t="shared" si="475"/>
        <v>4551423.2647911645</v>
      </c>
      <c r="J888" s="356">
        <f t="shared" si="475"/>
        <v>2652716.0902878731</v>
      </c>
      <c r="K888" s="369">
        <f t="shared" si="475"/>
        <v>334599.62138450751</v>
      </c>
      <c r="L888" s="369">
        <f t="shared" si="475"/>
        <v>38390.282136351881</v>
      </c>
      <c r="M888" s="369">
        <f t="shared" si="475"/>
        <v>100743.5</v>
      </c>
      <c r="N888" s="369">
        <f t="shared" si="475"/>
        <v>10784.100233412499</v>
      </c>
      <c r="O888" s="369">
        <f t="shared" si="475"/>
        <v>4639.4718294700006</v>
      </c>
      <c r="P888" s="369">
        <f t="shared" si="475"/>
        <v>1630500.4159023762</v>
      </c>
      <c r="Q888" s="369">
        <f t="shared" si="475"/>
        <v>203075.16467797002</v>
      </c>
      <c r="R888" s="369">
        <f t="shared" si="475"/>
        <v>9983.5341237850007</v>
      </c>
      <c r="S888" s="369">
        <f t="shared" si="475"/>
        <v>0</v>
      </c>
      <c r="T888" s="369">
        <f t="shared" si="475"/>
        <v>0</v>
      </c>
      <c r="U888" s="96">
        <f t="shared" si="475"/>
        <v>320000</v>
      </c>
      <c r="V888" s="96">
        <f t="shared" si="475"/>
        <v>0</v>
      </c>
      <c r="W888" s="96">
        <f t="shared" si="475"/>
        <v>0</v>
      </c>
      <c r="X888" s="96">
        <f t="shared" si="475"/>
        <v>0</v>
      </c>
      <c r="Y888" s="96">
        <f t="shared" si="475"/>
        <v>0</v>
      </c>
      <c r="Z888" s="96">
        <f t="shared" si="475"/>
        <v>0</v>
      </c>
      <c r="AA888" s="96">
        <f t="shared" si="475"/>
        <v>0</v>
      </c>
      <c r="AB888" s="96">
        <f t="shared" si="475"/>
        <v>0</v>
      </c>
      <c r="AC888" s="96">
        <f t="shared" si="475"/>
        <v>0</v>
      </c>
      <c r="AD888" s="96">
        <f t="shared" si="475"/>
        <v>0</v>
      </c>
    </row>
    <row r="889" spans="5:30" ht="12" x14ac:dyDescent="0.2">
      <c r="E889" s="301"/>
      <c r="F889" s="94" t="str">
        <f>STRAT4_IND4</f>
        <v>Objetivo estratégico 4 Indicador 4</v>
      </c>
      <c r="G889" s="94" t="str">
        <f ca="1">OFFSET(Variables_Lu!$D$10,Basic_Setup!H55,0)</f>
        <v>Nutrition-specific</v>
      </c>
      <c r="H889" s="354">
        <f t="shared" ref="H889:AD889" si="476">H812/EXCHANGE_RATE</f>
        <v>0</v>
      </c>
      <c r="I889" s="355">
        <f t="shared" si="476"/>
        <v>0</v>
      </c>
      <c r="J889" s="356">
        <f t="shared" si="476"/>
        <v>0</v>
      </c>
      <c r="K889" s="369">
        <f t="shared" si="476"/>
        <v>0</v>
      </c>
      <c r="L889" s="369">
        <f t="shared" si="476"/>
        <v>0</v>
      </c>
      <c r="M889" s="369">
        <f t="shared" si="476"/>
        <v>0</v>
      </c>
      <c r="N889" s="369">
        <f t="shared" si="476"/>
        <v>0</v>
      </c>
      <c r="O889" s="369">
        <f t="shared" si="476"/>
        <v>0</v>
      </c>
      <c r="P889" s="369">
        <f t="shared" si="476"/>
        <v>0</v>
      </c>
      <c r="Q889" s="369">
        <f t="shared" si="476"/>
        <v>0</v>
      </c>
      <c r="R889" s="369">
        <f t="shared" si="476"/>
        <v>0</v>
      </c>
      <c r="S889" s="369">
        <f t="shared" si="476"/>
        <v>0</v>
      </c>
      <c r="T889" s="369">
        <f t="shared" si="476"/>
        <v>0</v>
      </c>
      <c r="U889" s="96">
        <f t="shared" si="476"/>
        <v>0</v>
      </c>
      <c r="V889" s="96">
        <f t="shared" si="476"/>
        <v>0</v>
      </c>
      <c r="W889" s="96">
        <f t="shared" si="476"/>
        <v>0</v>
      </c>
      <c r="X889" s="96">
        <f t="shared" si="476"/>
        <v>0</v>
      </c>
      <c r="Y889" s="96">
        <f t="shared" si="476"/>
        <v>0</v>
      </c>
      <c r="Z889" s="96">
        <f t="shared" si="476"/>
        <v>0</v>
      </c>
      <c r="AA889" s="96">
        <f t="shared" si="476"/>
        <v>0</v>
      </c>
      <c r="AB889" s="96">
        <f t="shared" si="476"/>
        <v>0</v>
      </c>
      <c r="AC889" s="96">
        <f t="shared" si="476"/>
        <v>0</v>
      </c>
      <c r="AD889" s="96">
        <f t="shared" si="476"/>
        <v>0</v>
      </c>
    </row>
    <row r="890" spans="5:30" ht="12" x14ac:dyDescent="0.2">
      <c r="E890" s="301"/>
      <c r="F890" s="94" t="str">
        <f>STRAT4_IND5</f>
        <v>Objetivo estratégico 4 Indicador 5</v>
      </c>
      <c r="G890" s="94" t="str">
        <f ca="1">OFFSET(Variables_Lu!$D$10,Basic_Setup!H56,0)</f>
        <v>Nutrition-specific</v>
      </c>
      <c r="H890" s="354">
        <f t="shared" ref="H890:AD890" si="477">H813/EXCHANGE_RATE</f>
        <v>0</v>
      </c>
      <c r="I890" s="355">
        <f t="shared" si="477"/>
        <v>0</v>
      </c>
      <c r="J890" s="356">
        <f t="shared" si="477"/>
        <v>0</v>
      </c>
      <c r="K890" s="369">
        <f t="shared" si="477"/>
        <v>0</v>
      </c>
      <c r="L890" s="369">
        <f t="shared" si="477"/>
        <v>0</v>
      </c>
      <c r="M890" s="369">
        <f t="shared" si="477"/>
        <v>0</v>
      </c>
      <c r="N890" s="369">
        <f t="shared" si="477"/>
        <v>0</v>
      </c>
      <c r="O890" s="369">
        <f t="shared" si="477"/>
        <v>0</v>
      </c>
      <c r="P890" s="369">
        <f t="shared" si="477"/>
        <v>0</v>
      </c>
      <c r="Q890" s="369">
        <f t="shared" si="477"/>
        <v>0</v>
      </c>
      <c r="R890" s="369">
        <f t="shared" si="477"/>
        <v>0</v>
      </c>
      <c r="S890" s="369">
        <f t="shared" si="477"/>
        <v>0</v>
      </c>
      <c r="T890" s="369">
        <f t="shared" si="477"/>
        <v>0</v>
      </c>
      <c r="U890" s="96">
        <f t="shared" si="477"/>
        <v>0</v>
      </c>
      <c r="V890" s="96">
        <f t="shared" si="477"/>
        <v>0</v>
      </c>
      <c r="W890" s="96">
        <f t="shared" si="477"/>
        <v>0</v>
      </c>
      <c r="X890" s="96">
        <f t="shared" si="477"/>
        <v>0</v>
      </c>
      <c r="Y890" s="96">
        <f t="shared" si="477"/>
        <v>0</v>
      </c>
      <c r="Z890" s="96">
        <f t="shared" si="477"/>
        <v>0</v>
      </c>
      <c r="AA890" s="96">
        <f t="shared" si="477"/>
        <v>0</v>
      </c>
      <c r="AB890" s="96">
        <f t="shared" si="477"/>
        <v>0</v>
      </c>
      <c r="AC890" s="96">
        <f t="shared" si="477"/>
        <v>0</v>
      </c>
      <c r="AD890" s="96">
        <f t="shared" si="477"/>
        <v>0</v>
      </c>
    </row>
    <row r="891" spans="5:30" ht="36" x14ac:dyDescent="0.2">
      <c r="E891" s="301"/>
      <c r="F891" s="338" t="str">
        <f>"Subtotal: "&amp;E265</f>
        <v>Subtotal: Objetivo estratégico 4: Fortalecer la protección social, la resiliencia de la respuesta a las emergencias y los desastres naturales.</v>
      </c>
      <c r="G891" s="333"/>
      <c r="H891" s="357">
        <f t="shared" ref="H891:AD891" si="478">H814/EXCHANGE_RATE</f>
        <v>21612418.065237112</v>
      </c>
      <c r="I891" s="358">
        <f t="shared" si="478"/>
        <v>13664269.794373494</v>
      </c>
      <c r="J891" s="358">
        <f t="shared" si="478"/>
        <v>7948148.2708636187</v>
      </c>
      <c r="K891" s="370">
        <f t="shared" si="478"/>
        <v>1003798.8641535224</v>
      </c>
      <c r="L891" s="370">
        <f t="shared" si="478"/>
        <v>115170.84640905564</v>
      </c>
      <c r="M891" s="370">
        <f t="shared" si="478"/>
        <v>302230.5</v>
      </c>
      <c r="N891" s="370">
        <f t="shared" si="478"/>
        <v>32352.300700237494</v>
      </c>
      <c r="O891" s="370">
        <f t="shared" si="478"/>
        <v>13918.415488410001</v>
      </c>
      <c r="P891" s="370">
        <f t="shared" si="478"/>
        <v>4891501.2477071285</v>
      </c>
      <c r="Q891" s="370">
        <f t="shared" si="478"/>
        <v>609225.49403390998</v>
      </c>
      <c r="R891" s="370">
        <f t="shared" si="478"/>
        <v>29950.602371355006</v>
      </c>
      <c r="S891" s="370">
        <f t="shared" si="478"/>
        <v>0</v>
      </c>
      <c r="T891" s="370">
        <f t="shared" si="478"/>
        <v>0</v>
      </c>
      <c r="U891" s="337">
        <f t="shared" si="478"/>
        <v>400000</v>
      </c>
      <c r="V891" s="337">
        <f t="shared" si="478"/>
        <v>0</v>
      </c>
      <c r="W891" s="337">
        <f t="shared" si="478"/>
        <v>0</v>
      </c>
      <c r="X891" s="337">
        <f t="shared" si="478"/>
        <v>0</v>
      </c>
      <c r="Y891" s="337">
        <f t="shared" si="478"/>
        <v>550000</v>
      </c>
      <c r="Z891" s="337">
        <f t="shared" si="478"/>
        <v>0</v>
      </c>
      <c r="AA891" s="337">
        <f t="shared" si="478"/>
        <v>0</v>
      </c>
      <c r="AB891" s="337">
        <f t="shared" si="478"/>
        <v>0</v>
      </c>
      <c r="AC891" s="337">
        <f t="shared" si="478"/>
        <v>0</v>
      </c>
      <c r="AD891" s="337">
        <f t="shared" si="478"/>
        <v>0</v>
      </c>
    </row>
    <row r="892" spans="5:30" ht="12" x14ac:dyDescent="0.2">
      <c r="E892" s="301" t="str">
        <f>Strategy5</f>
        <v xml:space="preserve">Objetivo estratégico 5: Promoción de prácticas favorables a una nutrición óptima, de higiene y saneamiento básico. </v>
      </c>
      <c r="G892" s="94"/>
      <c r="H892" s="363"/>
      <c r="I892" s="364"/>
      <c r="J892" s="356"/>
      <c r="K892" s="369"/>
      <c r="L892" s="369"/>
      <c r="M892" s="369"/>
      <c r="N892" s="369"/>
      <c r="O892" s="369"/>
      <c r="P892" s="369"/>
      <c r="Q892" s="369"/>
      <c r="R892" s="369"/>
      <c r="S892" s="369"/>
      <c r="T892" s="369"/>
      <c r="U892" s="96"/>
      <c r="V892" s="96"/>
      <c r="W892" s="96"/>
      <c r="X892" s="96"/>
      <c r="Y892" s="96"/>
      <c r="Z892" s="96"/>
      <c r="AA892" s="96"/>
      <c r="AB892" s="96"/>
      <c r="AC892" s="96"/>
      <c r="AD892" s="96"/>
    </row>
    <row r="893" spans="5:30" ht="34.200000000000003" x14ac:dyDescent="0.2">
      <c r="F893" s="94" t="str">
        <f>STRAT5_IND1</f>
        <v>Se mejoran las prácticas nutricionales favorables para los niños menores de 5 años, los adolescentes, las mujeres embarazadas y lactantes, y otros grupos vulnerables.</v>
      </c>
      <c r="G893" s="94" t="str">
        <f ca="1">OFFSET(Variables_Lu!$D$10,Basic_Setup!H58,0)</f>
        <v>Nutrition-specific</v>
      </c>
      <c r="H893" s="354">
        <f t="shared" ref="H893:AD893" si="479">H816/EXCHANGE_RATE</f>
        <v>2482833.5311728334</v>
      </c>
      <c r="I893" s="355">
        <f t="shared" si="479"/>
        <v>218817.66496195263</v>
      </c>
      <c r="J893" s="356">
        <f t="shared" si="479"/>
        <v>2264015.8662108807</v>
      </c>
      <c r="K893" s="369">
        <f t="shared" si="479"/>
        <v>9182.2938444766642</v>
      </c>
      <c r="L893" s="369">
        <f t="shared" si="479"/>
        <v>1053.5303354191667</v>
      </c>
      <c r="M893" s="369">
        <f t="shared" si="479"/>
        <v>2764.6666666666661</v>
      </c>
      <c r="N893" s="369">
        <f t="shared" si="479"/>
        <v>295.94408021666658</v>
      </c>
      <c r="O893" s="369">
        <f t="shared" si="479"/>
        <v>127.31931209333331</v>
      </c>
      <c r="P893" s="369">
        <f t="shared" si="479"/>
        <v>44745.220781801669</v>
      </c>
      <c r="Q893" s="369">
        <f t="shared" si="479"/>
        <v>5572.9167500933336</v>
      </c>
      <c r="R893" s="369">
        <f t="shared" si="479"/>
        <v>273.97444011333329</v>
      </c>
      <c r="S893" s="369">
        <f t="shared" si="479"/>
        <v>0</v>
      </c>
      <c r="T893" s="369">
        <f t="shared" si="479"/>
        <v>0</v>
      </c>
      <c r="U893" s="96">
        <f t="shared" si="479"/>
        <v>1200000</v>
      </c>
      <c r="V893" s="96">
        <f t="shared" si="479"/>
        <v>0</v>
      </c>
      <c r="W893" s="96">
        <f t="shared" si="479"/>
        <v>0</v>
      </c>
      <c r="X893" s="96">
        <f t="shared" si="479"/>
        <v>0</v>
      </c>
      <c r="Y893" s="96">
        <f t="shared" si="479"/>
        <v>1000000</v>
      </c>
      <c r="Z893" s="96">
        <f t="shared" si="479"/>
        <v>0</v>
      </c>
      <c r="AA893" s="96">
        <f t="shared" si="479"/>
        <v>0</v>
      </c>
      <c r="AB893" s="96">
        <f t="shared" si="479"/>
        <v>0</v>
      </c>
      <c r="AC893" s="96">
        <f t="shared" si="479"/>
        <v>0</v>
      </c>
      <c r="AD893" s="96">
        <f t="shared" si="479"/>
        <v>0</v>
      </c>
    </row>
    <row r="894" spans="5:30" ht="22.8" x14ac:dyDescent="0.2">
      <c r="E894" s="301"/>
      <c r="F894" s="94" t="str">
        <f>STRAT5_IND2</f>
        <v>Se promueven dietas saludables y estilos de vida saludables para las personas.</v>
      </c>
      <c r="G894" s="94" t="str">
        <f ca="1">OFFSET(Variables_Lu!$D$10,Basic_Setup!H59,0)</f>
        <v>Nutrition-specific</v>
      </c>
      <c r="H894" s="354">
        <f t="shared" ref="H894:AD894" si="480">H817/EXCHANGE_RATE</f>
        <v>2482833.5311728334</v>
      </c>
      <c r="I894" s="355">
        <f t="shared" si="480"/>
        <v>1938817.6649619527</v>
      </c>
      <c r="J894" s="356">
        <f t="shared" si="480"/>
        <v>544015.86621088081</v>
      </c>
      <c r="K894" s="369">
        <f t="shared" si="480"/>
        <v>9182.2938444766642</v>
      </c>
      <c r="L894" s="369">
        <f t="shared" si="480"/>
        <v>1053.5303354191667</v>
      </c>
      <c r="M894" s="369">
        <f t="shared" si="480"/>
        <v>2764.6666666666661</v>
      </c>
      <c r="N894" s="369">
        <f t="shared" si="480"/>
        <v>295.94408021666658</v>
      </c>
      <c r="O894" s="369">
        <f t="shared" si="480"/>
        <v>127.31931209333331</v>
      </c>
      <c r="P894" s="369">
        <f t="shared" si="480"/>
        <v>44745.220781801669</v>
      </c>
      <c r="Q894" s="369">
        <f t="shared" si="480"/>
        <v>5572.9167500933336</v>
      </c>
      <c r="R894" s="369">
        <f t="shared" si="480"/>
        <v>273.97444011333329</v>
      </c>
      <c r="S894" s="369">
        <f t="shared" si="480"/>
        <v>0</v>
      </c>
      <c r="T894" s="369">
        <f t="shared" si="480"/>
        <v>0</v>
      </c>
      <c r="U894" s="96">
        <f t="shared" si="480"/>
        <v>480000</v>
      </c>
      <c r="V894" s="96">
        <f t="shared" si="480"/>
        <v>0</v>
      </c>
      <c r="W894" s="96">
        <f t="shared" si="480"/>
        <v>0</v>
      </c>
      <c r="X894" s="96">
        <f t="shared" si="480"/>
        <v>0</v>
      </c>
      <c r="Y894" s="96">
        <f t="shared" si="480"/>
        <v>0</v>
      </c>
      <c r="Z894" s="96">
        <f t="shared" si="480"/>
        <v>0</v>
      </c>
      <c r="AA894" s="96">
        <f t="shared" si="480"/>
        <v>0</v>
      </c>
      <c r="AB894" s="96">
        <f t="shared" si="480"/>
        <v>0</v>
      </c>
      <c r="AC894" s="96">
        <f t="shared" si="480"/>
        <v>0</v>
      </c>
      <c r="AD894" s="96">
        <f t="shared" si="480"/>
        <v>0</v>
      </c>
    </row>
    <row r="895" spans="5:30" ht="22.8" x14ac:dyDescent="0.2">
      <c r="E895" s="301"/>
      <c r="F895" s="94" t="str">
        <f>STRAT5_IND3</f>
        <v>Se promueven las buenas prácticas WASH a nivel comunitario y doméstico</v>
      </c>
      <c r="G895" s="94" t="str">
        <f ca="1">OFFSET(Variables_Lu!$D$10,Basic_Setup!H60,0)</f>
        <v>Nutrition-sensitive</v>
      </c>
      <c r="H895" s="354">
        <f t="shared" ref="H895:AD895" si="481">H818/EXCHANGE_RATE</f>
        <v>2482833.5311728334</v>
      </c>
      <c r="I895" s="355">
        <f t="shared" si="481"/>
        <v>1698817.6649619527</v>
      </c>
      <c r="J895" s="356">
        <f t="shared" si="481"/>
        <v>784015.86621088081</v>
      </c>
      <c r="K895" s="369">
        <f t="shared" si="481"/>
        <v>9182.2938444766642</v>
      </c>
      <c r="L895" s="369">
        <f t="shared" si="481"/>
        <v>1053.5303354191667</v>
      </c>
      <c r="M895" s="369">
        <f t="shared" si="481"/>
        <v>2764.6666666666661</v>
      </c>
      <c r="N895" s="369">
        <f t="shared" si="481"/>
        <v>295.94408021666658</v>
      </c>
      <c r="O895" s="369">
        <f t="shared" si="481"/>
        <v>127.31931209333331</v>
      </c>
      <c r="P895" s="369">
        <f t="shared" si="481"/>
        <v>44745.220781801669</v>
      </c>
      <c r="Q895" s="369">
        <f t="shared" si="481"/>
        <v>5572.9167500933336</v>
      </c>
      <c r="R895" s="369">
        <f t="shared" si="481"/>
        <v>273.97444011333329</v>
      </c>
      <c r="S895" s="369">
        <f t="shared" si="481"/>
        <v>0</v>
      </c>
      <c r="T895" s="369">
        <f t="shared" si="481"/>
        <v>0</v>
      </c>
      <c r="U895" s="96">
        <f t="shared" si="481"/>
        <v>720000</v>
      </c>
      <c r="V895" s="96">
        <f t="shared" si="481"/>
        <v>0</v>
      </c>
      <c r="W895" s="96">
        <f t="shared" si="481"/>
        <v>0</v>
      </c>
      <c r="X895" s="96">
        <f t="shared" si="481"/>
        <v>0</v>
      </c>
      <c r="Y895" s="96">
        <f t="shared" si="481"/>
        <v>0</v>
      </c>
      <c r="Z895" s="96">
        <f t="shared" si="481"/>
        <v>0</v>
      </c>
      <c r="AA895" s="96">
        <f t="shared" si="481"/>
        <v>0</v>
      </c>
      <c r="AB895" s="96">
        <f t="shared" si="481"/>
        <v>0</v>
      </c>
      <c r="AC895" s="96">
        <f t="shared" si="481"/>
        <v>0</v>
      </c>
      <c r="AD895" s="96">
        <f t="shared" si="481"/>
        <v>0</v>
      </c>
    </row>
    <row r="896" spans="5:30" ht="12" x14ac:dyDescent="0.2">
      <c r="E896" s="301"/>
      <c r="F896" s="94" t="str">
        <f>STRAT5_IND4</f>
        <v>Objetivo estratégico 5 Indicador 4</v>
      </c>
      <c r="G896" s="94" t="str">
        <f ca="1">OFFSET(Variables_Lu!$D$10,Basic_Setup!H61,0)</f>
        <v>Nutrition-specific</v>
      </c>
      <c r="H896" s="354">
        <f t="shared" ref="H896:AD896" si="482">H819/EXCHANGE_RATE</f>
        <v>0</v>
      </c>
      <c r="I896" s="355">
        <f t="shared" si="482"/>
        <v>0</v>
      </c>
      <c r="J896" s="356">
        <f t="shared" si="482"/>
        <v>0</v>
      </c>
      <c r="K896" s="369">
        <f t="shared" si="482"/>
        <v>0</v>
      </c>
      <c r="L896" s="369">
        <f t="shared" si="482"/>
        <v>0</v>
      </c>
      <c r="M896" s="369">
        <f t="shared" si="482"/>
        <v>0</v>
      </c>
      <c r="N896" s="369">
        <f t="shared" si="482"/>
        <v>0</v>
      </c>
      <c r="O896" s="369">
        <f t="shared" si="482"/>
        <v>0</v>
      </c>
      <c r="P896" s="369">
        <f t="shared" si="482"/>
        <v>0</v>
      </c>
      <c r="Q896" s="369">
        <f t="shared" si="482"/>
        <v>0</v>
      </c>
      <c r="R896" s="369">
        <f t="shared" si="482"/>
        <v>0</v>
      </c>
      <c r="S896" s="369">
        <f t="shared" si="482"/>
        <v>0</v>
      </c>
      <c r="T896" s="369">
        <f t="shared" si="482"/>
        <v>0</v>
      </c>
      <c r="U896" s="96">
        <f t="shared" si="482"/>
        <v>0</v>
      </c>
      <c r="V896" s="96">
        <f t="shared" si="482"/>
        <v>0</v>
      </c>
      <c r="W896" s="96">
        <f t="shared" si="482"/>
        <v>0</v>
      </c>
      <c r="X896" s="96">
        <f t="shared" si="482"/>
        <v>0</v>
      </c>
      <c r="Y896" s="96">
        <f t="shared" si="482"/>
        <v>0</v>
      </c>
      <c r="Z896" s="96">
        <f t="shared" si="482"/>
        <v>0</v>
      </c>
      <c r="AA896" s="96">
        <f t="shared" si="482"/>
        <v>0</v>
      </c>
      <c r="AB896" s="96">
        <f t="shared" si="482"/>
        <v>0</v>
      </c>
      <c r="AC896" s="96">
        <f t="shared" si="482"/>
        <v>0</v>
      </c>
      <c r="AD896" s="96">
        <f t="shared" si="482"/>
        <v>0</v>
      </c>
    </row>
    <row r="897" spans="5:30" ht="12" x14ac:dyDescent="0.2">
      <c r="E897" s="301"/>
      <c r="F897" s="94" t="str">
        <f>STRAT5_IND5</f>
        <v>Objetivo estratégico 5 Indicador 5</v>
      </c>
      <c r="G897" s="94" t="str">
        <f ca="1">OFFSET(Variables_Lu!$D$10,Basic_Setup!H62,0)</f>
        <v>Nutrition-specific</v>
      </c>
      <c r="H897" s="354">
        <f t="shared" ref="H897:AD897" si="483">H820/EXCHANGE_RATE</f>
        <v>0</v>
      </c>
      <c r="I897" s="355">
        <f t="shared" si="483"/>
        <v>0</v>
      </c>
      <c r="J897" s="356">
        <f t="shared" si="483"/>
        <v>0</v>
      </c>
      <c r="K897" s="369">
        <f t="shared" si="483"/>
        <v>0</v>
      </c>
      <c r="L897" s="369">
        <f t="shared" si="483"/>
        <v>0</v>
      </c>
      <c r="M897" s="369">
        <f t="shared" si="483"/>
        <v>0</v>
      </c>
      <c r="N897" s="369">
        <f t="shared" si="483"/>
        <v>0</v>
      </c>
      <c r="O897" s="369">
        <f t="shared" si="483"/>
        <v>0</v>
      </c>
      <c r="P897" s="369">
        <f t="shared" si="483"/>
        <v>0</v>
      </c>
      <c r="Q897" s="369">
        <f t="shared" si="483"/>
        <v>0</v>
      </c>
      <c r="R897" s="369">
        <f t="shared" si="483"/>
        <v>0</v>
      </c>
      <c r="S897" s="369">
        <f t="shared" si="483"/>
        <v>0</v>
      </c>
      <c r="T897" s="369">
        <f t="shared" si="483"/>
        <v>0</v>
      </c>
      <c r="U897" s="96">
        <f t="shared" si="483"/>
        <v>0</v>
      </c>
      <c r="V897" s="96">
        <f t="shared" si="483"/>
        <v>0</v>
      </c>
      <c r="W897" s="96">
        <f t="shared" si="483"/>
        <v>0</v>
      </c>
      <c r="X897" s="96">
        <f t="shared" si="483"/>
        <v>0</v>
      </c>
      <c r="Y897" s="96">
        <f t="shared" si="483"/>
        <v>0</v>
      </c>
      <c r="Z897" s="96">
        <f t="shared" si="483"/>
        <v>0</v>
      </c>
      <c r="AA897" s="96">
        <f t="shared" si="483"/>
        <v>0</v>
      </c>
      <c r="AB897" s="96">
        <f t="shared" si="483"/>
        <v>0</v>
      </c>
      <c r="AC897" s="96">
        <f t="shared" si="483"/>
        <v>0</v>
      </c>
      <c r="AD897" s="96">
        <f t="shared" si="483"/>
        <v>0</v>
      </c>
    </row>
    <row r="898" spans="5:30" ht="36" x14ac:dyDescent="0.2">
      <c r="E898" s="301"/>
      <c r="F898" s="338" t="str">
        <f>"Subtotal: "&amp;E272</f>
        <v xml:space="preserve">Subtotal: Objetivo estratégico 5: Promoción de prácticas favorables a una nutrición óptima, de higiene y saneamiento básico. </v>
      </c>
      <c r="G898" s="333"/>
      <c r="H898" s="357">
        <f t="shared" ref="H898:AD898" si="484">H821/EXCHANGE_RATE</f>
        <v>7448500.5935185011</v>
      </c>
      <c r="I898" s="358">
        <f t="shared" si="484"/>
        <v>3856452.9948858577</v>
      </c>
      <c r="J898" s="358">
        <f t="shared" si="484"/>
        <v>3592047.5986326425</v>
      </c>
      <c r="K898" s="370">
        <f t="shared" si="484"/>
        <v>27546.881533429994</v>
      </c>
      <c r="L898" s="370">
        <f t="shared" si="484"/>
        <v>3160.5910062574999</v>
      </c>
      <c r="M898" s="370">
        <f t="shared" si="484"/>
        <v>8293.9999999999982</v>
      </c>
      <c r="N898" s="370">
        <f t="shared" si="484"/>
        <v>887.83224064999979</v>
      </c>
      <c r="O898" s="370">
        <f t="shared" si="484"/>
        <v>381.95793627999996</v>
      </c>
      <c r="P898" s="370">
        <f t="shared" si="484"/>
        <v>134235.662345405</v>
      </c>
      <c r="Q898" s="370">
        <f t="shared" si="484"/>
        <v>16718.750250279998</v>
      </c>
      <c r="R898" s="370">
        <f t="shared" si="484"/>
        <v>821.92332033999992</v>
      </c>
      <c r="S898" s="370">
        <f t="shared" si="484"/>
        <v>0</v>
      </c>
      <c r="T898" s="370">
        <f t="shared" si="484"/>
        <v>0</v>
      </c>
      <c r="U898" s="337">
        <f t="shared" si="484"/>
        <v>2400000</v>
      </c>
      <c r="V898" s="337">
        <f t="shared" si="484"/>
        <v>0</v>
      </c>
      <c r="W898" s="337">
        <f t="shared" si="484"/>
        <v>0</v>
      </c>
      <c r="X898" s="337">
        <f t="shared" si="484"/>
        <v>0</v>
      </c>
      <c r="Y898" s="337">
        <f t="shared" si="484"/>
        <v>1000000</v>
      </c>
      <c r="Z898" s="337">
        <f t="shared" si="484"/>
        <v>0</v>
      </c>
      <c r="AA898" s="337">
        <f t="shared" si="484"/>
        <v>0</v>
      </c>
      <c r="AB898" s="337">
        <f t="shared" si="484"/>
        <v>0</v>
      </c>
      <c r="AC898" s="337">
        <f t="shared" si="484"/>
        <v>0</v>
      </c>
      <c r="AD898" s="337">
        <f t="shared" si="484"/>
        <v>0</v>
      </c>
    </row>
    <row r="899" spans="5:30" ht="12" x14ac:dyDescent="0.2">
      <c r="E899" s="301" t="str">
        <f>Strategy6</f>
        <v>Objetivo estratégico 6: [No está en uso]</v>
      </c>
      <c r="G899" s="94"/>
      <c r="H899" s="363"/>
      <c r="I899" s="364"/>
      <c r="J899" s="356"/>
      <c r="K899" s="369"/>
      <c r="L899" s="369"/>
      <c r="M899" s="369"/>
      <c r="N899" s="369"/>
      <c r="O899" s="369"/>
      <c r="P899" s="369"/>
      <c r="Q899" s="369"/>
      <c r="R899" s="369"/>
      <c r="S899" s="369"/>
      <c r="T899" s="369"/>
      <c r="U899" s="96"/>
      <c r="V899" s="96"/>
      <c r="W899" s="96"/>
      <c r="X899" s="96"/>
      <c r="Y899" s="96"/>
      <c r="Z899" s="96"/>
      <c r="AA899" s="96"/>
      <c r="AB899" s="96"/>
      <c r="AC899" s="96"/>
      <c r="AD899" s="96"/>
    </row>
    <row r="900" spans="5:30" ht="12" x14ac:dyDescent="0.2">
      <c r="E900" s="301"/>
      <c r="F900" s="94" t="str">
        <f>STRAT6_IND1</f>
        <v>Objetivo estratégico 6 Indicador 1</v>
      </c>
      <c r="G900" s="94" t="str">
        <f ca="1">OFFSET(Variables_Lu!$D$10,Basic_Setup!H64,0)</f>
        <v>Nutrition-specific</v>
      </c>
      <c r="H900" s="354">
        <f t="shared" ref="H900:AD900" si="485">H823/EXCHANGE_RATE</f>
        <v>0</v>
      </c>
      <c r="I900" s="355">
        <f t="shared" si="485"/>
        <v>0</v>
      </c>
      <c r="J900" s="356">
        <f t="shared" si="485"/>
        <v>0</v>
      </c>
      <c r="K900" s="369">
        <f t="shared" si="485"/>
        <v>0</v>
      </c>
      <c r="L900" s="369">
        <f t="shared" si="485"/>
        <v>0</v>
      </c>
      <c r="M900" s="369">
        <f t="shared" si="485"/>
        <v>0</v>
      </c>
      <c r="N900" s="369">
        <f t="shared" si="485"/>
        <v>0</v>
      </c>
      <c r="O900" s="369">
        <f t="shared" si="485"/>
        <v>0</v>
      </c>
      <c r="P900" s="369">
        <f t="shared" si="485"/>
        <v>0</v>
      </c>
      <c r="Q900" s="369">
        <f t="shared" si="485"/>
        <v>0</v>
      </c>
      <c r="R900" s="369">
        <f t="shared" si="485"/>
        <v>0</v>
      </c>
      <c r="S900" s="369">
        <f t="shared" si="485"/>
        <v>0</v>
      </c>
      <c r="T900" s="369">
        <f t="shared" si="485"/>
        <v>0</v>
      </c>
      <c r="U900" s="96">
        <f t="shared" si="485"/>
        <v>0</v>
      </c>
      <c r="V900" s="96">
        <f t="shared" si="485"/>
        <v>0</v>
      </c>
      <c r="W900" s="96">
        <f t="shared" si="485"/>
        <v>0</v>
      </c>
      <c r="X900" s="96">
        <f t="shared" si="485"/>
        <v>0</v>
      </c>
      <c r="Y900" s="96">
        <f t="shared" si="485"/>
        <v>0</v>
      </c>
      <c r="Z900" s="96">
        <f t="shared" si="485"/>
        <v>0</v>
      </c>
      <c r="AA900" s="96">
        <f t="shared" si="485"/>
        <v>0</v>
      </c>
      <c r="AB900" s="96">
        <f t="shared" si="485"/>
        <v>0</v>
      </c>
      <c r="AC900" s="96">
        <f t="shared" si="485"/>
        <v>0</v>
      </c>
      <c r="AD900" s="96">
        <f t="shared" si="485"/>
        <v>0</v>
      </c>
    </row>
    <row r="901" spans="5:30" ht="12" x14ac:dyDescent="0.2">
      <c r="E901" s="301"/>
      <c r="F901" s="94" t="str">
        <f>STRAT6_IND2</f>
        <v>Objetivo estratégico 6 Indicador 2</v>
      </c>
      <c r="G901" s="94" t="str">
        <f ca="1">OFFSET(Variables_Lu!$D$10,Basic_Setup!H65,0)</f>
        <v>Nutrition-specific</v>
      </c>
      <c r="H901" s="354">
        <f t="shared" ref="H901:AD901" si="486">H824/EXCHANGE_RATE</f>
        <v>0</v>
      </c>
      <c r="I901" s="355">
        <f t="shared" si="486"/>
        <v>0</v>
      </c>
      <c r="J901" s="356">
        <f t="shared" si="486"/>
        <v>0</v>
      </c>
      <c r="K901" s="369">
        <f t="shared" si="486"/>
        <v>0</v>
      </c>
      <c r="L901" s="369">
        <f t="shared" si="486"/>
        <v>0</v>
      </c>
      <c r="M901" s="369">
        <f t="shared" si="486"/>
        <v>0</v>
      </c>
      <c r="N901" s="369">
        <f t="shared" si="486"/>
        <v>0</v>
      </c>
      <c r="O901" s="369">
        <f t="shared" si="486"/>
        <v>0</v>
      </c>
      <c r="P901" s="369">
        <f t="shared" si="486"/>
        <v>0</v>
      </c>
      <c r="Q901" s="369">
        <f t="shared" si="486"/>
        <v>0</v>
      </c>
      <c r="R901" s="369">
        <f t="shared" si="486"/>
        <v>0</v>
      </c>
      <c r="S901" s="369">
        <f t="shared" si="486"/>
        <v>0</v>
      </c>
      <c r="T901" s="369">
        <f t="shared" si="486"/>
        <v>0</v>
      </c>
      <c r="U901" s="96">
        <f t="shared" si="486"/>
        <v>0</v>
      </c>
      <c r="V901" s="96">
        <f t="shared" si="486"/>
        <v>0</v>
      </c>
      <c r="W901" s="96">
        <f t="shared" si="486"/>
        <v>0</v>
      </c>
      <c r="X901" s="96">
        <f t="shared" si="486"/>
        <v>0</v>
      </c>
      <c r="Y901" s="96">
        <f t="shared" si="486"/>
        <v>0</v>
      </c>
      <c r="Z901" s="96">
        <f t="shared" si="486"/>
        <v>0</v>
      </c>
      <c r="AA901" s="96">
        <f t="shared" si="486"/>
        <v>0</v>
      </c>
      <c r="AB901" s="96">
        <f t="shared" si="486"/>
        <v>0</v>
      </c>
      <c r="AC901" s="96">
        <f t="shared" si="486"/>
        <v>0</v>
      </c>
      <c r="AD901" s="96">
        <f t="shared" si="486"/>
        <v>0</v>
      </c>
    </row>
    <row r="902" spans="5:30" ht="12" x14ac:dyDescent="0.2">
      <c r="E902" s="301"/>
      <c r="F902" s="94" t="str">
        <f>STRAT6_IND3</f>
        <v>Objetivo estratégico 6 Indicador 3</v>
      </c>
      <c r="G902" s="94" t="str">
        <f ca="1">OFFSET(Variables_Lu!$D$10,Basic_Setup!H66,0)</f>
        <v>Nutrition-specific</v>
      </c>
      <c r="H902" s="354">
        <f t="shared" ref="H902:AD902" si="487">H825/EXCHANGE_RATE</f>
        <v>0</v>
      </c>
      <c r="I902" s="355">
        <f t="shared" si="487"/>
        <v>0</v>
      </c>
      <c r="J902" s="356">
        <f t="shared" si="487"/>
        <v>0</v>
      </c>
      <c r="K902" s="369">
        <f t="shared" si="487"/>
        <v>0</v>
      </c>
      <c r="L902" s="369">
        <f t="shared" si="487"/>
        <v>0</v>
      </c>
      <c r="M902" s="369">
        <f t="shared" si="487"/>
        <v>0</v>
      </c>
      <c r="N902" s="369">
        <f t="shared" si="487"/>
        <v>0</v>
      </c>
      <c r="O902" s="369">
        <f t="shared" si="487"/>
        <v>0</v>
      </c>
      <c r="P902" s="369">
        <f t="shared" si="487"/>
        <v>0</v>
      </c>
      <c r="Q902" s="369">
        <f t="shared" si="487"/>
        <v>0</v>
      </c>
      <c r="R902" s="369">
        <f t="shared" si="487"/>
        <v>0</v>
      </c>
      <c r="S902" s="369">
        <f t="shared" si="487"/>
        <v>0</v>
      </c>
      <c r="T902" s="369">
        <f t="shared" si="487"/>
        <v>0</v>
      </c>
      <c r="U902" s="96">
        <f t="shared" si="487"/>
        <v>0</v>
      </c>
      <c r="V902" s="96">
        <f t="shared" si="487"/>
        <v>0</v>
      </c>
      <c r="W902" s="96">
        <f t="shared" si="487"/>
        <v>0</v>
      </c>
      <c r="X902" s="96">
        <f t="shared" si="487"/>
        <v>0</v>
      </c>
      <c r="Y902" s="96">
        <f t="shared" si="487"/>
        <v>0</v>
      </c>
      <c r="Z902" s="96">
        <f t="shared" si="487"/>
        <v>0</v>
      </c>
      <c r="AA902" s="96">
        <f t="shared" si="487"/>
        <v>0</v>
      </c>
      <c r="AB902" s="96">
        <f t="shared" si="487"/>
        <v>0</v>
      </c>
      <c r="AC902" s="96">
        <f t="shared" si="487"/>
        <v>0</v>
      </c>
      <c r="AD902" s="96">
        <f t="shared" si="487"/>
        <v>0</v>
      </c>
    </row>
    <row r="903" spans="5:30" ht="12" x14ac:dyDescent="0.2">
      <c r="E903" s="301"/>
      <c r="F903" s="94" t="str">
        <f>STRAT6_IND4</f>
        <v>Objetivo estratégico 6 Indicador 4</v>
      </c>
      <c r="G903" s="94" t="str">
        <f ca="1">OFFSET(Variables_Lu!$D$10,Basic_Setup!H67,0)</f>
        <v>Nutrition-specific</v>
      </c>
      <c r="H903" s="354">
        <f t="shared" ref="H903:AD903" si="488">H826/EXCHANGE_RATE</f>
        <v>0</v>
      </c>
      <c r="I903" s="355">
        <f t="shared" si="488"/>
        <v>0</v>
      </c>
      <c r="J903" s="356">
        <f t="shared" si="488"/>
        <v>0</v>
      </c>
      <c r="K903" s="369">
        <f t="shared" si="488"/>
        <v>0</v>
      </c>
      <c r="L903" s="369">
        <f t="shared" si="488"/>
        <v>0</v>
      </c>
      <c r="M903" s="369">
        <f t="shared" si="488"/>
        <v>0</v>
      </c>
      <c r="N903" s="369">
        <f t="shared" si="488"/>
        <v>0</v>
      </c>
      <c r="O903" s="369">
        <f t="shared" si="488"/>
        <v>0</v>
      </c>
      <c r="P903" s="369">
        <f t="shared" si="488"/>
        <v>0</v>
      </c>
      <c r="Q903" s="369">
        <f t="shared" si="488"/>
        <v>0</v>
      </c>
      <c r="R903" s="369">
        <f t="shared" si="488"/>
        <v>0</v>
      </c>
      <c r="S903" s="369">
        <f t="shared" si="488"/>
        <v>0</v>
      </c>
      <c r="T903" s="369">
        <f t="shared" si="488"/>
        <v>0</v>
      </c>
      <c r="U903" s="96">
        <f t="shared" si="488"/>
        <v>0</v>
      </c>
      <c r="V903" s="96">
        <f t="shared" si="488"/>
        <v>0</v>
      </c>
      <c r="W903" s="96">
        <f t="shared" si="488"/>
        <v>0</v>
      </c>
      <c r="X903" s="96">
        <f t="shared" si="488"/>
        <v>0</v>
      </c>
      <c r="Y903" s="96">
        <f t="shared" si="488"/>
        <v>0</v>
      </c>
      <c r="Z903" s="96">
        <f t="shared" si="488"/>
        <v>0</v>
      </c>
      <c r="AA903" s="96">
        <f t="shared" si="488"/>
        <v>0</v>
      </c>
      <c r="AB903" s="96">
        <f t="shared" si="488"/>
        <v>0</v>
      </c>
      <c r="AC903" s="96">
        <f t="shared" si="488"/>
        <v>0</v>
      </c>
      <c r="AD903" s="96">
        <f t="shared" si="488"/>
        <v>0</v>
      </c>
    </row>
    <row r="904" spans="5:30" ht="12" x14ac:dyDescent="0.2">
      <c r="E904" s="301"/>
      <c r="F904" s="94" t="str">
        <f>STRAT6_IND5</f>
        <v>Objetivo estratégico 6 Indicador 5</v>
      </c>
      <c r="G904" s="94" t="str">
        <f ca="1">OFFSET(Variables_Lu!$D$10,Basic_Setup!H68,0)</f>
        <v>Nutrition-specific</v>
      </c>
      <c r="H904" s="354">
        <f t="shared" ref="H904:AD904" si="489">H827/EXCHANGE_RATE</f>
        <v>0</v>
      </c>
      <c r="I904" s="355">
        <f t="shared" si="489"/>
        <v>0</v>
      </c>
      <c r="J904" s="356">
        <f t="shared" si="489"/>
        <v>0</v>
      </c>
      <c r="K904" s="369">
        <f t="shared" si="489"/>
        <v>0</v>
      </c>
      <c r="L904" s="369">
        <f t="shared" si="489"/>
        <v>0</v>
      </c>
      <c r="M904" s="369">
        <f t="shared" si="489"/>
        <v>0</v>
      </c>
      <c r="N904" s="369">
        <f t="shared" si="489"/>
        <v>0</v>
      </c>
      <c r="O904" s="369">
        <f t="shared" si="489"/>
        <v>0</v>
      </c>
      <c r="P904" s="369">
        <f t="shared" si="489"/>
        <v>0</v>
      </c>
      <c r="Q904" s="369">
        <f t="shared" si="489"/>
        <v>0</v>
      </c>
      <c r="R904" s="369">
        <f t="shared" si="489"/>
        <v>0</v>
      </c>
      <c r="S904" s="369">
        <f t="shared" si="489"/>
        <v>0</v>
      </c>
      <c r="T904" s="369">
        <f t="shared" si="489"/>
        <v>0</v>
      </c>
      <c r="U904" s="96">
        <f t="shared" si="489"/>
        <v>0</v>
      </c>
      <c r="V904" s="96">
        <f t="shared" si="489"/>
        <v>0</v>
      </c>
      <c r="W904" s="96">
        <f t="shared" si="489"/>
        <v>0</v>
      </c>
      <c r="X904" s="96">
        <f t="shared" si="489"/>
        <v>0</v>
      </c>
      <c r="Y904" s="96">
        <f t="shared" si="489"/>
        <v>0</v>
      </c>
      <c r="Z904" s="96">
        <f t="shared" si="489"/>
        <v>0</v>
      </c>
      <c r="AA904" s="96">
        <f t="shared" si="489"/>
        <v>0</v>
      </c>
      <c r="AB904" s="96">
        <f t="shared" si="489"/>
        <v>0</v>
      </c>
      <c r="AC904" s="96">
        <f t="shared" si="489"/>
        <v>0</v>
      </c>
      <c r="AD904" s="96">
        <f t="shared" si="489"/>
        <v>0</v>
      </c>
    </row>
    <row r="905" spans="5:30" ht="12" x14ac:dyDescent="0.2">
      <c r="E905" s="301"/>
      <c r="F905" s="338" t="str">
        <f>"Subtotal: "&amp;E279</f>
        <v>Subtotal: Objetivo estratégico 6: [No está en uso]</v>
      </c>
      <c r="G905" s="333"/>
      <c r="H905" s="357">
        <f t="shared" ref="H905:AD905" si="490">H828/EXCHANGE_RATE</f>
        <v>0</v>
      </c>
      <c r="I905" s="358">
        <f t="shared" si="490"/>
        <v>0</v>
      </c>
      <c r="J905" s="358">
        <f t="shared" si="490"/>
        <v>0</v>
      </c>
      <c r="K905" s="370">
        <f t="shared" si="490"/>
        <v>0</v>
      </c>
      <c r="L905" s="370">
        <f t="shared" si="490"/>
        <v>0</v>
      </c>
      <c r="M905" s="370">
        <f t="shared" si="490"/>
        <v>0</v>
      </c>
      <c r="N905" s="370">
        <f t="shared" si="490"/>
        <v>0</v>
      </c>
      <c r="O905" s="370">
        <f t="shared" si="490"/>
        <v>0</v>
      </c>
      <c r="P905" s="370">
        <f t="shared" si="490"/>
        <v>0</v>
      </c>
      <c r="Q905" s="370">
        <f t="shared" si="490"/>
        <v>0</v>
      </c>
      <c r="R905" s="370">
        <f t="shared" si="490"/>
        <v>0</v>
      </c>
      <c r="S905" s="370">
        <f t="shared" si="490"/>
        <v>0</v>
      </c>
      <c r="T905" s="370">
        <f t="shared" si="490"/>
        <v>0</v>
      </c>
      <c r="U905" s="337">
        <f t="shared" si="490"/>
        <v>0</v>
      </c>
      <c r="V905" s="337">
        <f t="shared" si="490"/>
        <v>0</v>
      </c>
      <c r="W905" s="337">
        <f t="shared" si="490"/>
        <v>0</v>
      </c>
      <c r="X905" s="337">
        <f t="shared" si="490"/>
        <v>0</v>
      </c>
      <c r="Y905" s="337">
        <f t="shared" si="490"/>
        <v>0</v>
      </c>
      <c r="Z905" s="337">
        <f t="shared" si="490"/>
        <v>0</v>
      </c>
      <c r="AA905" s="337">
        <f t="shared" si="490"/>
        <v>0</v>
      </c>
      <c r="AB905" s="337">
        <f t="shared" si="490"/>
        <v>0</v>
      </c>
      <c r="AC905" s="337">
        <f t="shared" si="490"/>
        <v>0</v>
      </c>
      <c r="AD905" s="337">
        <f t="shared" si="490"/>
        <v>0</v>
      </c>
    </row>
    <row r="906" spans="5:30" ht="12" x14ac:dyDescent="0.2">
      <c r="E906" s="301" t="str">
        <f>Strategy7</f>
        <v>Objetivo estratégico 7: [No está en uso]</v>
      </c>
      <c r="G906" s="94"/>
      <c r="H906" s="363"/>
      <c r="I906" s="364"/>
      <c r="J906" s="356"/>
      <c r="K906" s="369"/>
      <c r="L906" s="369"/>
      <c r="M906" s="369"/>
      <c r="N906" s="369"/>
      <c r="O906" s="369"/>
      <c r="P906" s="369"/>
      <c r="Q906" s="369"/>
      <c r="R906" s="369"/>
      <c r="S906" s="369"/>
      <c r="T906" s="369"/>
      <c r="U906" s="96"/>
      <c r="V906" s="96"/>
      <c r="W906" s="96"/>
      <c r="X906" s="96"/>
      <c r="Y906" s="96"/>
      <c r="Z906" s="96"/>
      <c r="AA906" s="96"/>
      <c r="AB906" s="96"/>
      <c r="AC906" s="96"/>
      <c r="AD906" s="96"/>
    </row>
    <row r="907" spans="5:30" ht="12" x14ac:dyDescent="0.2">
      <c r="E907" s="301"/>
      <c r="F907" s="94" t="str">
        <f>STRAT7_IND1</f>
        <v>Objetivo estratégico 7 Indicador 1</v>
      </c>
      <c r="G907" s="94" t="str">
        <f ca="1">OFFSET(Variables_Lu!$D$10,Basic_Setup!H70,0)</f>
        <v>Nutrition-specific</v>
      </c>
      <c r="H907" s="354">
        <f t="shared" ref="H907:AD907" si="491">H830/EXCHANGE_RATE</f>
        <v>0</v>
      </c>
      <c r="I907" s="355">
        <f t="shared" si="491"/>
        <v>0</v>
      </c>
      <c r="J907" s="356">
        <f t="shared" si="491"/>
        <v>0</v>
      </c>
      <c r="K907" s="369">
        <f t="shared" si="491"/>
        <v>0</v>
      </c>
      <c r="L907" s="369">
        <f t="shared" si="491"/>
        <v>0</v>
      </c>
      <c r="M907" s="369">
        <f t="shared" si="491"/>
        <v>0</v>
      </c>
      <c r="N907" s="369">
        <f t="shared" si="491"/>
        <v>0</v>
      </c>
      <c r="O907" s="369">
        <f t="shared" si="491"/>
        <v>0</v>
      </c>
      <c r="P907" s="369">
        <f t="shared" si="491"/>
        <v>0</v>
      </c>
      <c r="Q907" s="369">
        <f t="shared" si="491"/>
        <v>0</v>
      </c>
      <c r="R907" s="369">
        <f t="shared" si="491"/>
        <v>0</v>
      </c>
      <c r="S907" s="369">
        <f t="shared" si="491"/>
        <v>0</v>
      </c>
      <c r="T907" s="369">
        <f t="shared" si="491"/>
        <v>0</v>
      </c>
      <c r="U907" s="96">
        <f t="shared" si="491"/>
        <v>0</v>
      </c>
      <c r="V907" s="96">
        <f t="shared" si="491"/>
        <v>0</v>
      </c>
      <c r="W907" s="96">
        <f t="shared" si="491"/>
        <v>0</v>
      </c>
      <c r="X907" s="96">
        <f t="shared" si="491"/>
        <v>0</v>
      </c>
      <c r="Y907" s="96">
        <f t="shared" si="491"/>
        <v>0</v>
      </c>
      <c r="Z907" s="96">
        <f t="shared" si="491"/>
        <v>0</v>
      </c>
      <c r="AA907" s="96">
        <f t="shared" si="491"/>
        <v>0</v>
      </c>
      <c r="AB907" s="96">
        <f t="shared" si="491"/>
        <v>0</v>
      </c>
      <c r="AC907" s="96">
        <f t="shared" si="491"/>
        <v>0</v>
      </c>
      <c r="AD907" s="96">
        <f t="shared" si="491"/>
        <v>0</v>
      </c>
    </row>
    <row r="908" spans="5:30" ht="12" x14ac:dyDescent="0.2">
      <c r="E908" s="301"/>
      <c r="F908" s="94" t="str">
        <f>STRAT7_IND2</f>
        <v>Objetivo estratégico 7 Indicador 2</v>
      </c>
      <c r="G908" s="94" t="str">
        <f ca="1">OFFSET(Variables_Lu!$D$10,Basic_Setup!H71,0)</f>
        <v>Nutrition-specific</v>
      </c>
      <c r="H908" s="354">
        <f t="shared" ref="H908:AD908" si="492">H831/EXCHANGE_RATE</f>
        <v>0</v>
      </c>
      <c r="I908" s="355">
        <f t="shared" si="492"/>
        <v>0</v>
      </c>
      <c r="J908" s="356">
        <f t="shared" si="492"/>
        <v>0</v>
      </c>
      <c r="K908" s="369">
        <f t="shared" si="492"/>
        <v>0</v>
      </c>
      <c r="L908" s="369">
        <f t="shared" si="492"/>
        <v>0</v>
      </c>
      <c r="M908" s="369">
        <f t="shared" si="492"/>
        <v>0</v>
      </c>
      <c r="N908" s="369">
        <f t="shared" si="492"/>
        <v>0</v>
      </c>
      <c r="O908" s="369">
        <f t="shared" si="492"/>
        <v>0</v>
      </c>
      <c r="P908" s="369">
        <f t="shared" si="492"/>
        <v>0</v>
      </c>
      <c r="Q908" s="369">
        <f t="shared" si="492"/>
        <v>0</v>
      </c>
      <c r="R908" s="369">
        <f t="shared" si="492"/>
        <v>0</v>
      </c>
      <c r="S908" s="369">
        <f t="shared" si="492"/>
        <v>0</v>
      </c>
      <c r="T908" s="369">
        <f t="shared" si="492"/>
        <v>0</v>
      </c>
      <c r="U908" s="96">
        <f t="shared" si="492"/>
        <v>0</v>
      </c>
      <c r="V908" s="96">
        <f t="shared" si="492"/>
        <v>0</v>
      </c>
      <c r="W908" s="96">
        <f t="shared" si="492"/>
        <v>0</v>
      </c>
      <c r="X908" s="96">
        <f t="shared" si="492"/>
        <v>0</v>
      </c>
      <c r="Y908" s="96">
        <f t="shared" si="492"/>
        <v>0</v>
      </c>
      <c r="Z908" s="96">
        <f t="shared" si="492"/>
        <v>0</v>
      </c>
      <c r="AA908" s="96">
        <f t="shared" si="492"/>
        <v>0</v>
      </c>
      <c r="AB908" s="96">
        <f t="shared" si="492"/>
        <v>0</v>
      </c>
      <c r="AC908" s="96">
        <f t="shared" si="492"/>
        <v>0</v>
      </c>
      <c r="AD908" s="96">
        <f t="shared" si="492"/>
        <v>0</v>
      </c>
    </row>
    <row r="909" spans="5:30" ht="12" x14ac:dyDescent="0.2">
      <c r="E909" s="301"/>
      <c r="F909" s="94" t="str">
        <f>STRAT7_IND3</f>
        <v>Objetivo estratégico 7 Indicador 3</v>
      </c>
      <c r="G909" s="94" t="str">
        <f ca="1">OFFSET(Variables_Lu!$D$10,Basic_Setup!H72,0)</f>
        <v>Nutrition-specific</v>
      </c>
      <c r="H909" s="354">
        <f t="shared" ref="H909:AD909" si="493">H832/EXCHANGE_RATE</f>
        <v>0</v>
      </c>
      <c r="I909" s="355">
        <f t="shared" si="493"/>
        <v>0</v>
      </c>
      <c r="J909" s="356">
        <f t="shared" si="493"/>
        <v>0</v>
      </c>
      <c r="K909" s="369">
        <f t="shared" si="493"/>
        <v>0</v>
      </c>
      <c r="L909" s="369">
        <f t="shared" si="493"/>
        <v>0</v>
      </c>
      <c r="M909" s="369">
        <f t="shared" si="493"/>
        <v>0</v>
      </c>
      <c r="N909" s="369">
        <f t="shared" si="493"/>
        <v>0</v>
      </c>
      <c r="O909" s="369">
        <f t="shared" si="493"/>
        <v>0</v>
      </c>
      <c r="P909" s="369">
        <f t="shared" si="493"/>
        <v>0</v>
      </c>
      <c r="Q909" s="369">
        <f t="shared" si="493"/>
        <v>0</v>
      </c>
      <c r="R909" s="369">
        <f t="shared" si="493"/>
        <v>0</v>
      </c>
      <c r="S909" s="369">
        <f t="shared" si="493"/>
        <v>0</v>
      </c>
      <c r="T909" s="369">
        <f t="shared" si="493"/>
        <v>0</v>
      </c>
      <c r="U909" s="96">
        <f t="shared" si="493"/>
        <v>0</v>
      </c>
      <c r="V909" s="96">
        <f t="shared" si="493"/>
        <v>0</v>
      </c>
      <c r="W909" s="96">
        <f t="shared" si="493"/>
        <v>0</v>
      </c>
      <c r="X909" s="96">
        <f t="shared" si="493"/>
        <v>0</v>
      </c>
      <c r="Y909" s="96">
        <f t="shared" si="493"/>
        <v>0</v>
      </c>
      <c r="Z909" s="96">
        <f t="shared" si="493"/>
        <v>0</v>
      </c>
      <c r="AA909" s="96">
        <f t="shared" si="493"/>
        <v>0</v>
      </c>
      <c r="AB909" s="96">
        <f t="shared" si="493"/>
        <v>0</v>
      </c>
      <c r="AC909" s="96">
        <f t="shared" si="493"/>
        <v>0</v>
      </c>
      <c r="AD909" s="96">
        <f t="shared" si="493"/>
        <v>0</v>
      </c>
    </row>
    <row r="910" spans="5:30" ht="12" x14ac:dyDescent="0.2">
      <c r="E910" s="301"/>
      <c r="F910" s="94" t="str">
        <f>STRAT7_IND4</f>
        <v>Objetivo estratégico 7 Indicador 4</v>
      </c>
      <c r="G910" s="94" t="str">
        <f ca="1">OFFSET(Variables_Lu!$D$10,Basic_Setup!H73,0)</f>
        <v>Nutrition-specific</v>
      </c>
      <c r="H910" s="354">
        <f t="shared" ref="H910:AD910" si="494">H833/EXCHANGE_RATE</f>
        <v>0</v>
      </c>
      <c r="I910" s="355">
        <f t="shared" si="494"/>
        <v>0</v>
      </c>
      <c r="J910" s="356">
        <f t="shared" si="494"/>
        <v>0</v>
      </c>
      <c r="K910" s="369">
        <f t="shared" si="494"/>
        <v>0</v>
      </c>
      <c r="L910" s="369">
        <f t="shared" si="494"/>
        <v>0</v>
      </c>
      <c r="M910" s="369">
        <f t="shared" si="494"/>
        <v>0</v>
      </c>
      <c r="N910" s="369">
        <f t="shared" si="494"/>
        <v>0</v>
      </c>
      <c r="O910" s="369">
        <f t="shared" si="494"/>
        <v>0</v>
      </c>
      <c r="P910" s="369">
        <f t="shared" si="494"/>
        <v>0</v>
      </c>
      <c r="Q910" s="369">
        <f t="shared" si="494"/>
        <v>0</v>
      </c>
      <c r="R910" s="369">
        <f t="shared" si="494"/>
        <v>0</v>
      </c>
      <c r="S910" s="369">
        <f t="shared" si="494"/>
        <v>0</v>
      </c>
      <c r="T910" s="369">
        <f t="shared" si="494"/>
        <v>0</v>
      </c>
      <c r="U910" s="96">
        <f t="shared" si="494"/>
        <v>0</v>
      </c>
      <c r="V910" s="96">
        <f t="shared" si="494"/>
        <v>0</v>
      </c>
      <c r="W910" s="96">
        <f t="shared" si="494"/>
        <v>0</v>
      </c>
      <c r="X910" s="96">
        <f t="shared" si="494"/>
        <v>0</v>
      </c>
      <c r="Y910" s="96">
        <f t="shared" si="494"/>
        <v>0</v>
      </c>
      <c r="Z910" s="96">
        <f t="shared" si="494"/>
        <v>0</v>
      </c>
      <c r="AA910" s="96">
        <f t="shared" si="494"/>
        <v>0</v>
      </c>
      <c r="AB910" s="96">
        <f t="shared" si="494"/>
        <v>0</v>
      </c>
      <c r="AC910" s="96">
        <f t="shared" si="494"/>
        <v>0</v>
      </c>
      <c r="AD910" s="96">
        <f t="shared" si="494"/>
        <v>0</v>
      </c>
    </row>
    <row r="911" spans="5:30" ht="12" x14ac:dyDescent="0.2">
      <c r="E911" s="301"/>
      <c r="F911" s="94" t="str">
        <f>STRAT7_IND5</f>
        <v>Objetivo estratégico 7 Indicador 5</v>
      </c>
      <c r="G911" s="94" t="str">
        <f ca="1">OFFSET(Variables_Lu!$D$10,Basic_Setup!H74,0)</f>
        <v>Nutrition-specific</v>
      </c>
      <c r="H911" s="354">
        <f t="shared" ref="H911:AD911" si="495">H834/EXCHANGE_RATE</f>
        <v>0</v>
      </c>
      <c r="I911" s="355">
        <f t="shared" si="495"/>
        <v>0</v>
      </c>
      <c r="J911" s="356">
        <f t="shared" si="495"/>
        <v>0</v>
      </c>
      <c r="K911" s="369">
        <f t="shared" si="495"/>
        <v>0</v>
      </c>
      <c r="L911" s="369">
        <f t="shared" si="495"/>
        <v>0</v>
      </c>
      <c r="M911" s="369">
        <f t="shared" si="495"/>
        <v>0</v>
      </c>
      <c r="N911" s="369">
        <f t="shared" si="495"/>
        <v>0</v>
      </c>
      <c r="O911" s="369">
        <f t="shared" si="495"/>
        <v>0</v>
      </c>
      <c r="P911" s="369">
        <f t="shared" si="495"/>
        <v>0</v>
      </c>
      <c r="Q911" s="369">
        <f t="shared" si="495"/>
        <v>0</v>
      </c>
      <c r="R911" s="369">
        <f t="shared" si="495"/>
        <v>0</v>
      </c>
      <c r="S911" s="369">
        <f t="shared" si="495"/>
        <v>0</v>
      </c>
      <c r="T911" s="369">
        <f t="shared" si="495"/>
        <v>0</v>
      </c>
      <c r="U911" s="96">
        <f t="shared" si="495"/>
        <v>0</v>
      </c>
      <c r="V911" s="96">
        <f t="shared" si="495"/>
        <v>0</v>
      </c>
      <c r="W911" s="96">
        <f t="shared" si="495"/>
        <v>0</v>
      </c>
      <c r="X911" s="96">
        <f t="shared" si="495"/>
        <v>0</v>
      </c>
      <c r="Y911" s="96">
        <f t="shared" si="495"/>
        <v>0</v>
      </c>
      <c r="Z911" s="96">
        <f t="shared" si="495"/>
        <v>0</v>
      </c>
      <c r="AA911" s="96">
        <f t="shared" si="495"/>
        <v>0</v>
      </c>
      <c r="AB911" s="96">
        <f t="shared" si="495"/>
        <v>0</v>
      </c>
      <c r="AC911" s="96">
        <f t="shared" si="495"/>
        <v>0</v>
      </c>
      <c r="AD911" s="96">
        <f t="shared" si="495"/>
        <v>0</v>
      </c>
    </row>
    <row r="912" spans="5:30" ht="12" x14ac:dyDescent="0.2">
      <c r="E912" s="301"/>
      <c r="F912" s="338" t="str">
        <f>"Subtotal: "&amp;E286</f>
        <v>Subtotal: Objetivo estratégico 7: [No está en uso]</v>
      </c>
      <c r="G912" s="333"/>
      <c r="H912" s="357">
        <f t="shared" ref="H912:AD912" si="496">H835/EXCHANGE_RATE</f>
        <v>0</v>
      </c>
      <c r="I912" s="358">
        <f t="shared" si="496"/>
        <v>0</v>
      </c>
      <c r="J912" s="358">
        <f t="shared" si="496"/>
        <v>0</v>
      </c>
      <c r="K912" s="370">
        <f t="shared" si="496"/>
        <v>0</v>
      </c>
      <c r="L912" s="370">
        <f t="shared" si="496"/>
        <v>0</v>
      </c>
      <c r="M912" s="370">
        <f t="shared" si="496"/>
        <v>0</v>
      </c>
      <c r="N912" s="370">
        <f t="shared" si="496"/>
        <v>0</v>
      </c>
      <c r="O912" s="370">
        <f t="shared" si="496"/>
        <v>0</v>
      </c>
      <c r="P912" s="370">
        <f t="shared" si="496"/>
        <v>0</v>
      </c>
      <c r="Q912" s="370">
        <f t="shared" si="496"/>
        <v>0</v>
      </c>
      <c r="R912" s="370">
        <f t="shared" si="496"/>
        <v>0</v>
      </c>
      <c r="S912" s="370">
        <f t="shared" si="496"/>
        <v>0</v>
      </c>
      <c r="T912" s="370">
        <f t="shared" si="496"/>
        <v>0</v>
      </c>
      <c r="U912" s="337">
        <f t="shared" si="496"/>
        <v>0</v>
      </c>
      <c r="V912" s="337">
        <f t="shared" si="496"/>
        <v>0</v>
      </c>
      <c r="W912" s="337">
        <f t="shared" si="496"/>
        <v>0</v>
      </c>
      <c r="X912" s="337">
        <f t="shared" si="496"/>
        <v>0</v>
      </c>
      <c r="Y912" s="337">
        <f t="shared" si="496"/>
        <v>0</v>
      </c>
      <c r="Z912" s="337">
        <f t="shared" si="496"/>
        <v>0</v>
      </c>
      <c r="AA912" s="337">
        <f t="shared" si="496"/>
        <v>0</v>
      </c>
      <c r="AB912" s="337">
        <f t="shared" si="496"/>
        <v>0</v>
      </c>
      <c r="AC912" s="337">
        <f t="shared" si="496"/>
        <v>0</v>
      </c>
      <c r="AD912" s="337">
        <f t="shared" si="496"/>
        <v>0</v>
      </c>
    </row>
    <row r="913" spans="5:30" ht="12" x14ac:dyDescent="0.2">
      <c r="E913" s="301" t="str">
        <f>Strategy8</f>
        <v>Objetivo estratégico 8: [No está en uso]</v>
      </c>
      <c r="G913" s="94"/>
      <c r="H913" s="363"/>
      <c r="I913" s="364"/>
      <c r="J913" s="356"/>
      <c r="K913" s="369"/>
      <c r="L913" s="369"/>
      <c r="M913" s="369"/>
      <c r="N913" s="369"/>
      <c r="O913" s="369"/>
      <c r="P913" s="369"/>
      <c r="Q913" s="369"/>
      <c r="R913" s="369"/>
      <c r="S913" s="369"/>
      <c r="T913" s="369"/>
      <c r="U913" s="96"/>
      <c r="V913" s="96"/>
      <c r="W913" s="96"/>
      <c r="X913" s="96"/>
      <c r="Y913" s="96"/>
      <c r="Z913" s="96"/>
      <c r="AA913" s="96"/>
      <c r="AB913" s="96"/>
      <c r="AC913" s="96"/>
      <c r="AD913" s="96"/>
    </row>
    <row r="914" spans="5:30" ht="12" x14ac:dyDescent="0.2">
      <c r="E914" s="301"/>
      <c r="F914" s="94" t="str">
        <f>STRAT8_IND1</f>
        <v>Objetivo estratégico 8 Indicador 1</v>
      </c>
      <c r="G914" s="94" t="str">
        <f ca="1">OFFSET(Variables_Lu!$D$10,Basic_Setup!H76,0)</f>
        <v>Nutrition-specific</v>
      </c>
      <c r="H914" s="354">
        <f t="shared" ref="H914:AD914" si="497">H837/EXCHANGE_RATE</f>
        <v>0</v>
      </c>
      <c r="I914" s="355">
        <f t="shared" si="497"/>
        <v>0</v>
      </c>
      <c r="J914" s="356">
        <f t="shared" si="497"/>
        <v>0</v>
      </c>
      <c r="K914" s="369">
        <f t="shared" si="497"/>
        <v>0</v>
      </c>
      <c r="L914" s="369">
        <f t="shared" si="497"/>
        <v>0</v>
      </c>
      <c r="M914" s="369">
        <f t="shared" si="497"/>
        <v>0</v>
      </c>
      <c r="N914" s="369">
        <f t="shared" si="497"/>
        <v>0</v>
      </c>
      <c r="O914" s="369">
        <f t="shared" si="497"/>
        <v>0</v>
      </c>
      <c r="P914" s="369">
        <f t="shared" si="497"/>
        <v>0</v>
      </c>
      <c r="Q914" s="369">
        <f t="shared" si="497"/>
        <v>0</v>
      </c>
      <c r="R914" s="369">
        <f t="shared" si="497"/>
        <v>0</v>
      </c>
      <c r="S914" s="369">
        <f t="shared" si="497"/>
        <v>0</v>
      </c>
      <c r="T914" s="369">
        <f t="shared" si="497"/>
        <v>0</v>
      </c>
      <c r="U914" s="96">
        <f t="shared" si="497"/>
        <v>0</v>
      </c>
      <c r="V914" s="96">
        <f t="shared" si="497"/>
        <v>0</v>
      </c>
      <c r="W914" s="96">
        <f t="shared" si="497"/>
        <v>0</v>
      </c>
      <c r="X914" s="96">
        <f t="shared" si="497"/>
        <v>0</v>
      </c>
      <c r="Y914" s="96">
        <f t="shared" si="497"/>
        <v>0</v>
      </c>
      <c r="Z914" s="96">
        <f t="shared" si="497"/>
        <v>0</v>
      </c>
      <c r="AA914" s="96">
        <f t="shared" si="497"/>
        <v>0</v>
      </c>
      <c r="AB914" s="96">
        <f t="shared" si="497"/>
        <v>0</v>
      </c>
      <c r="AC914" s="96">
        <f t="shared" si="497"/>
        <v>0</v>
      </c>
      <c r="AD914" s="96">
        <f t="shared" si="497"/>
        <v>0</v>
      </c>
    </row>
    <row r="915" spans="5:30" ht="12" x14ac:dyDescent="0.2">
      <c r="E915" s="301"/>
      <c r="F915" s="94" t="str">
        <f>STRAT8_IND2</f>
        <v>Objetivo estratégico 8 Indicador 2</v>
      </c>
      <c r="G915" s="94" t="str">
        <f ca="1">OFFSET(Variables_Lu!$D$10,Basic_Setup!H77,0)</f>
        <v>Nutrition-specific</v>
      </c>
      <c r="H915" s="354">
        <f t="shared" ref="H915:AD915" si="498">H838/EXCHANGE_RATE</f>
        <v>0</v>
      </c>
      <c r="I915" s="355">
        <f t="shared" si="498"/>
        <v>0</v>
      </c>
      <c r="J915" s="356">
        <f t="shared" si="498"/>
        <v>0</v>
      </c>
      <c r="K915" s="369">
        <f t="shared" si="498"/>
        <v>0</v>
      </c>
      <c r="L915" s="369">
        <f t="shared" si="498"/>
        <v>0</v>
      </c>
      <c r="M915" s="369">
        <f t="shared" si="498"/>
        <v>0</v>
      </c>
      <c r="N915" s="369">
        <f t="shared" si="498"/>
        <v>0</v>
      </c>
      <c r="O915" s="369">
        <f t="shared" si="498"/>
        <v>0</v>
      </c>
      <c r="P915" s="369">
        <f t="shared" si="498"/>
        <v>0</v>
      </c>
      <c r="Q915" s="369">
        <f t="shared" si="498"/>
        <v>0</v>
      </c>
      <c r="R915" s="369">
        <f t="shared" si="498"/>
        <v>0</v>
      </c>
      <c r="S915" s="369">
        <f t="shared" si="498"/>
        <v>0</v>
      </c>
      <c r="T915" s="369">
        <f t="shared" si="498"/>
        <v>0</v>
      </c>
      <c r="U915" s="96">
        <f t="shared" si="498"/>
        <v>0</v>
      </c>
      <c r="V915" s="96">
        <f t="shared" si="498"/>
        <v>0</v>
      </c>
      <c r="W915" s="96">
        <f t="shared" si="498"/>
        <v>0</v>
      </c>
      <c r="X915" s="96">
        <f t="shared" si="498"/>
        <v>0</v>
      </c>
      <c r="Y915" s="96">
        <f t="shared" si="498"/>
        <v>0</v>
      </c>
      <c r="Z915" s="96">
        <f t="shared" si="498"/>
        <v>0</v>
      </c>
      <c r="AA915" s="96">
        <f t="shared" si="498"/>
        <v>0</v>
      </c>
      <c r="AB915" s="96">
        <f t="shared" si="498"/>
        <v>0</v>
      </c>
      <c r="AC915" s="96">
        <f t="shared" si="498"/>
        <v>0</v>
      </c>
      <c r="AD915" s="96">
        <f t="shared" si="498"/>
        <v>0</v>
      </c>
    </row>
    <row r="916" spans="5:30" ht="12" x14ac:dyDescent="0.2">
      <c r="E916" s="301"/>
      <c r="F916" s="94" t="str">
        <f>STRAT8_IND3</f>
        <v>Objetivo estratégico 8 Indicador 3</v>
      </c>
      <c r="G916" s="94" t="str">
        <f ca="1">OFFSET(Variables_Lu!$D$10,Basic_Setup!H78,0)</f>
        <v>Nutrition-specific</v>
      </c>
      <c r="H916" s="354">
        <f t="shared" ref="H916:AD916" si="499">H839/EXCHANGE_RATE</f>
        <v>0</v>
      </c>
      <c r="I916" s="355">
        <f t="shared" si="499"/>
        <v>0</v>
      </c>
      <c r="J916" s="356">
        <f t="shared" si="499"/>
        <v>0</v>
      </c>
      <c r="K916" s="369">
        <f t="shared" si="499"/>
        <v>0</v>
      </c>
      <c r="L916" s="369">
        <f t="shared" si="499"/>
        <v>0</v>
      </c>
      <c r="M916" s="369">
        <f t="shared" si="499"/>
        <v>0</v>
      </c>
      <c r="N916" s="369">
        <f t="shared" si="499"/>
        <v>0</v>
      </c>
      <c r="O916" s="369">
        <f t="shared" si="499"/>
        <v>0</v>
      </c>
      <c r="P916" s="369">
        <f t="shared" si="499"/>
        <v>0</v>
      </c>
      <c r="Q916" s="369">
        <f t="shared" si="499"/>
        <v>0</v>
      </c>
      <c r="R916" s="369">
        <f t="shared" si="499"/>
        <v>0</v>
      </c>
      <c r="S916" s="369">
        <f t="shared" si="499"/>
        <v>0</v>
      </c>
      <c r="T916" s="369">
        <f t="shared" si="499"/>
        <v>0</v>
      </c>
      <c r="U916" s="96">
        <f t="shared" si="499"/>
        <v>0</v>
      </c>
      <c r="V916" s="96">
        <f t="shared" si="499"/>
        <v>0</v>
      </c>
      <c r="W916" s="96">
        <f t="shared" si="499"/>
        <v>0</v>
      </c>
      <c r="X916" s="96">
        <f t="shared" si="499"/>
        <v>0</v>
      </c>
      <c r="Y916" s="96">
        <f t="shared" si="499"/>
        <v>0</v>
      </c>
      <c r="Z916" s="96">
        <f t="shared" si="499"/>
        <v>0</v>
      </c>
      <c r="AA916" s="96">
        <f t="shared" si="499"/>
        <v>0</v>
      </c>
      <c r="AB916" s="96">
        <f t="shared" si="499"/>
        <v>0</v>
      </c>
      <c r="AC916" s="96">
        <f t="shared" si="499"/>
        <v>0</v>
      </c>
      <c r="AD916" s="96">
        <f t="shared" si="499"/>
        <v>0</v>
      </c>
    </row>
    <row r="917" spans="5:30" ht="12" x14ac:dyDescent="0.2">
      <c r="E917" s="301"/>
      <c r="F917" s="94" t="str">
        <f>STRAT8_IND4</f>
        <v>Objetivo estratégico 8 Indicador 4</v>
      </c>
      <c r="G917" s="94" t="str">
        <f ca="1">OFFSET(Variables_Lu!$D$10,Basic_Setup!H79,0)</f>
        <v>Nutrition-specific</v>
      </c>
      <c r="H917" s="354">
        <f t="shared" ref="H917:AD917" si="500">H840/EXCHANGE_RATE</f>
        <v>0</v>
      </c>
      <c r="I917" s="355">
        <f t="shared" si="500"/>
        <v>0</v>
      </c>
      <c r="J917" s="356">
        <f t="shared" si="500"/>
        <v>0</v>
      </c>
      <c r="K917" s="369">
        <f t="shared" si="500"/>
        <v>0</v>
      </c>
      <c r="L917" s="369">
        <f t="shared" si="500"/>
        <v>0</v>
      </c>
      <c r="M917" s="369">
        <f t="shared" si="500"/>
        <v>0</v>
      </c>
      <c r="N917" s="369">
        <f t="shared" si="500"/>
        <v>0</v>
      </c>
      <c r="O917" s="369">
        <f t="shared" si="500"/>
        <v>0</v>
      </c>
      <c r="P917" s="369">
        <f t="shared" si="500"/>
        <v>0</v>
      </c>
      <c r="Q917" s="369">
        <f t="shared" si="500"/>
        <v>0</v>
      </c>
      <c r="R917" s="369">
        <f t="shared" si="500"/>
        <v>0</v>
      </c>
      <c r="S917" s="369">
        <f t="shared" si="500"/>
        <v>0</v>
      </c>
      <c r="T917" s="369">
        <f t="shared" si="500"/>
        <v>0</v>
      </c>
      <c r="U917" s="96">
        <f t="shared" si="500"/>
        <v>0</v>
      </c>
      <c r="V917" s="96">
        <f t="shared" si="500"/>
        <v>0</v>
      </c>
      <c r="W917" s="96">
        <f t="shared" si="500"/>
        <v>0</v>
      </c>
      <c r="X917" s="96">
        <f t="shared" si="500"/>
        <v>0</v>
      </c>
      <c r="Y917" s="96">
        <f t="shared" si="500"/>
        <v>0</v>
      </c>
      <c r="Z917" s="96">
        <f t="shared" si="500"/>
        <v>0</v>
      </c>
      <c r="AA917" s="96">
        <f t="shared" si="500"/>
        <v>0</v>
      </c>
      <c r="AB917" s="96">
        <f t="shared" si="500"/>
        <v>0</v>
      </c>
      <c r="AC917" s="96">
        <f t="shared" si="500"/>
        <v>0</v>
      </c>
      <c r="AD917" s="96">
        <f t="shared" si="500"/>
        <v>0</v>
      </c>
    </row>
    <row r="918" spans="5:30" ht="12" x14ac:dyDescent="0.2">
      <c r="E918" s="301"/>
      <c r="F918" s="94" t="str">
        <f>STRAT8_IND5</f>
        <v>Objetivo estratégico 8 Indicador 5</v>
      </c>
      <c r="G918" s="94" t="str">
        <f ca="1">OFFSET(Variables_Lu!$D$10,Basic_Setup!H80,0)</f>
        <v>Nutrition-specific</v>
      </c>
      <c r="H918" s="354">
        <f t="shared" ref="H918:AD918" si="501">H841/EXCHANGE_RATE</f>
        <v>0</v>
      </c>
      <c r="I918" s="355">
        <f t="shared" si="501"/>
        <v>0</v>
      </c>
      <c r="J918" s="356">
        <f t="shared" si="501"/>
        <v>0</v>
      </c>
      <c r="K918" s="369">
        <f t="shared" si="501"/>
        <v>0</v>
      </c>
      <c r="L918" s="369">
        <f t="shared" si="501"/>
        <v>0</v>
      </c>
      <c r="M918" s="369">
        <f t="shared" si="501"/>
        <v>0</v>
      </c>
      <c r="N918" s="369">
        <f t="shared" si="501"/>
        <v>0</v>
      </c>
      <c r="O918" s="369">
        <f t="shared" si="501"/>
        <v>0</v>
      </c>
      <c r="P918" s="369">
        <f t="shared" si="501"/>
        <v>0</v>
      </c>
      <c r="Q918" s="369">
        <f t="shared" si="501"/>
        <v>0</v>
      </c>
      <c r="R918" s="369">
        <f t="shared" si="501"/>
        <v>0</v>
      </c>
      <c r="S918" s="369">
        <f t="shared" si="501"/>
        <v>0</v>
      </c>
      <c r="T918" s="369">
        <f t="shared" si="501"/>
        <v>0</v>
      </c>
      <c r="U918" s="96">
        <f t="shared" si="501"/>
        <v>0</v>
      </c>
      <c r="V918" s="96">
        <f t="shared" si="501"/>
        <v>0</v>
      </c>
      <c r="W918" s="96">
        <f t="shared" si="501"/>
        <v>0</v>
      </c>
      <c r="X918" s="96">
        <f t="shared" si="501"/>
        <v>0</v>
      </c>
      <c r="Y918" s="96">
        <f t="shared" si="501"/>
        <v>0</v>
      </c>
      <c r="Z918" s="96">
        <f t="shared" si="501"/>
        <v>0</v>
      </c>
      <c r="AA918" s="96">
        <f t="shared" si="501"/>
        <v>0</v>
      </c>
      <c r="AB918" s="96">
        <f t="shared" si="501"/>
        <v>0</v>
      </c>
      <c r="AC918" s="96">
        <f t="shared" si="501"/>
        <v>0</v>
      </c>
      <c r="AD918" s="96">
        <f t="shared" si="501"/>
        <v>0</v>
      </c>
    </row>
    <row r="919" spans="5:30" ht="12" x14ac:dyDescent="0.2">
      <c r="E919" s="301"/>
      <c r="F919" s="338" t="str">
        <f>"Subtotal: "&amp;E293</f>
        <v>Subtotal: Objetivo estratégico 8: [No está en uso]</v>
      </c>
      <c r="G919" s="333"/>
      <c r="H919" s="357">
        <f t="shared" ref="H919:AD919" si="502">H842/EXCHANGE_RATE</f>
        <v>0</v>
      </c>
      <c r="I919" s="358">
        <f t="shared" si="502"/>
        <v>0</v>
      </c>
      <c r="J919" s="358">
        <f t="shared" si="502"/>
        <v>0</v>
      </c>
      <c r="K919" s="370">
        <f t="shared" si="502"/>
        <v>0</v>
      </c>
      <c r="L919" s="370">
        <f t="shared" si="502"/>
        <v>0</v>
      </c>
      <c r="M919" s="370">
        <f t="shared" si="502"/>
        <v>0</v>
      </c>
      <c r="N919" s="370">
        <f t="shared" si="502"/>
        <v>0</v>
      </c>
      <c r="O919" s="370">
        <f t="shared" si="502"/>
        <v>0</v>
      </c>
      <c r="P919" s="370">
        <f t="shared" si="502"/>
        <v>0</v>
      </c>
      <c r="Q919" s="370">
        <f t="shared" si="502"/>
        <v>0</v>
      </c>
      <c r="R919" s="370">
        <f t="shared" si="502"/>
        <v>0</v>
      </c>
      <c r="S919" s="370">
        <f t="shared" si="502"/>
        <v>0</v>
      </c>
      <c r="T919" s="370">
        <f t="shared" si="502"/>
        <v>0</v>
      </c>
      <c r="U919" s="337">
        <f t="shared" si="502"/>
        <v>0</v>
      </c>
      <c r="V919" s="337">
        <f t="shared" si="502"/>
        <v>0</v>
      </c>
      <c r="W919" s="337">
        <f t="shared" si="502"/>
        <v>0</v>
      </c>
      <c r="X919" s="337">
        <f t="shared" si="502"/>
        <v>0</v>
      </c>
      <c r="Y919" s="337">
        <f t="shared" si="502"/>
        <v>0</v>
      </c>
      <c r="Z919" s="337">
        <f t="shared" si="502"/>
        <v>0</v>
      </c>
      <c r="AA919" s="337">
        <f t="shared" si="502"/>
        <v>0</v>
      </c>
      <c r="AB919" s="337">
        <f t="shared" si="502"/>
        <v>0</v>
      </c>
      <c r="AC919" s="337">
        <f t="shared" si="502"/>
        <v>0</v>
      </c>
      <c r="AD919" s="337">
        <f t="shared" si="502"/>
        <v>0</v>
      </c>
    </row>
    <row r="920" spans="5:30" ht="12" x14ac:dyDescent="0.2">
      <c r="E920" s="301" t="str">
        <f>Strategy9</f>
        <v>Objetivo estratégico 9: [No está en uso]</v>
      </c>
      <c r="G920" s="94"/>
      <c r="H920" s="363"/>
      <c r="I920" s="364"/>
      <c r="J920" s="356"/>
      <c r="K920" s="369"/>
      <c r="L920" s="369"/>
      <c r="M920" s="369"/>
      <c r="N920" s="369"/>
      <c r="O920" s="369"/>
      <c r="P920" s="369"/>
      <c r="Q920" s="369"/>
      <c r="R920" s="369"/>
      <c r="S920" s="369"/>
      <c r="T920" s="369"/>
      <c r="U920" s="96"/>
      <c r="V920" s="96"/>
      <c r="W920" s="96"/>
      <c r="X920" s="96"/>
      <c r="Y920" s="96"/>
      <c r="Z920" s="96"/>
      <c r="AA920" s="96"/>
      <c r="AB920" s="96"/>
      <c r="AC920" s="96"/>
      <c r="AD920" s="96"/>
    </row>
    <row r="921" spans="5:30" ht="12" x14ac:dyDescent="0.2">
      <c r="E921" s="301"/>
      <c r="F921" s="94" t="str">
        <f>STRAT9_IND1</f>
        <v>Objetivo estratégico 9 Indicador 1</v>
      </c>
      <c r="G921" s="94" t="str">
        <f ca="1">OFFSET(Variables_Lu!$D$10,Basic_Setup!H82,0)</f>
        <v>Nutrition-specific</v>
      </c>
      <c r="H921" s="354">
        <f t="shared" ref="H921:AD921" si="503">H844/EXCHANGE_RATE</f>
        <v>0</v>
      </c>
      <c r="I921" s="355">
        <f t="shared" si="503"/>
        <v>0</v>
      </c>
      <c r="J921" s="356">
        <f t="shared" si="503"/>
        <v>0</v>
      </c>
      <c r="K921" s="369">
        <f t="shared" si="503"/>
        <v>0</v>
      </c>
      <c r="L921" s="369">
        <f t="shared" si="503"/>
        <v>0</v>
      </c>
      <c r="M921" s="369">
        <f t="shared" si="503"/>
        <v>0</v>
      </c>
      <c r="N921" s="369">
        <f t="shared" si="503"/>
        <v>0</v>
      </c>
      <c r="O921" s="369">
        <f t="shared" si="503"/>
        <v>0</v>
      </c>
      <c r="P921" s="369">
        <f t="shared" si="503"/>
        <v>0</v>
      </c>
      <c r="Q921" s="369">
        <f t="shared" si="503"/>
        <v>0</v>
      </c>
      <c r="R921" s="369">
        <f t="shared" si="503"/>
        <v>0</v>
      </c>
      <c r="S921" s="369">
        <f t="shared" si="503"/>
        <v>0</v>
      </c>
      <c r="T921" s="369">
        <f t="shared" si="503"/>
        <v>0</v>
      </c>
      <c r="U921" s="96">
        <f t="shared" si="503"/>
        <v>0</v>
      </c>
      <c r="V921" s="96">
        <f t="shared" si="503"/>
        <v>0</v>
      </c>
      <c r="W921" s="96">
        <f t="shared" si="503"/>
        <v>0</v>
      </c>
      <c r="X921" s="96">
        <f t="shared" si="503"/>
        <v>0</v>
      </c>
      <c r="Y921" s="96">
        <f t="shared" si="503"/>
        <v>0</v>
      </c>
      <c r="Z921" s="96">
        <f t="shared" si="503"/>
        <v>0</v>
      </c>
      <c r="AA921" s="96">
        <f t="shared" si="503"/>
        <v>0</v>
      </c>
      <c r="AB921" s="96">
        <f t="shared" si="503"/>
        <v>0</v>
      </c>
      <c r="AC921" s="96">
        <f t="shared" si="503"/>
        <v>0</v>
      </c>
      <c r="AD921" s="96">
        <f t="shared" si="503"/>
        <v>0</v>
      </c>
    </row>
    <row r="922" spans="5:30" ht="12" x14ac:dyDescent="0.2">
      <c r="E922" s="301"/>
      <c r="F922" s="94" t="str">
        <f>STRAT9_IND2</f>
        <v>Objetivo estratégico 9 Indicador 2</v>
      </c>
      <c r="G922" s="94" t="str">
        <f ca="1">OFFSET(Variables_Lu!$D$10,Basic_Setup!H83,0)</f>
        <v>Nutrition-specific</v>
      </c>
      <c r="H922" s="354">
        <f t="shared" ref="H922:AD922" si="504">H845/EXCHANGE_RATE</f>
        <v>0</v>
      </c>
      <c r="I922" s="355">
        <f t="shared" si="504"/>
        <v>0</v>
      </c>
      <c r="J922" s="356">
        <f t="shared" si="504"/>
        <v>0</v>
      </c>
      <c r="K922" s="369">
        <f t="shared" si="504"/>
        <v>0</v>
      </c>
      <c r="L922" s="369">
        <f t="shared" si="504"/>
        <v>0</v>
      </c>
      <c r="M922" s="369">
        <f t="shared" si="504"/>
        <v>0</v>
      </c>
      <c r="N922" s="369">
        <f t="shared" si="504"/>
        <v>0</v>
      </c>
      <c r="O922" s="369">
        <f t="shared" si="504"/>
        <v>0</v>
      </c>
      <c r="P922" s="369">
        <f t="shared" si="504"/>
        <v>0</v>
      </c>
      <c r="Q922" s="369">
        <f t="shared" si="504"/>
        <v>0</v>
      </c>
      <c r="R922" s="369">
        <f t="shared" si="504"/>
        <v>0</v>
      </c>
      <c r="S922" s="369">
        <f t="shared" si="504"/>
        <v>0</v>
      </c>
      <c r="T922" s="369">
        <f t="shared" si="504"/>
        <v>0</v>
      </c>
      <c r="U922" s="96">
        <f t="shared" si="504"/>
        <v>0</v>
      </c>
      <c r="V922" s="96">
        <f t="shared" si="504"/>
        <v>0</v>
      </c>
      <c r="W922" s="96">
        <f t="shared" si="504"/>
        <v>0</v>
      </c>
      <c r="X922" s="96">
        <f t="shared" si="504"/>
        <v>0</v>
      </c>
      <c r="Y922" s="96">
        <f t="shared" si="504"/>
        <v>0</v>
      </c>
      <c r="Z922" s="96">
        <f t="shared" si="504"/>
        <v>0</v>
      </c>
      <c r="AA922" s="96">
        <f t="shared" si="504"/>
        <v>0</v>
      </c>
      <c r="AB922" s="96">
        <f t="shared" si="504"/>
        <v>0</v>
      </c>
      <c r="AC922" s="96">
        <f t="shared" si="504"/>
        <v>0</v>
      </c>
      <c r="AD922" s="96">
        <f t="shared" si="504"/>
        <v>0</v>
      </c>
    </row>
    <row r="923" spans="5:30" ht="12" x14ac:dyDescent="0.2">
      <c r="E923" s="301"/>
      <c r="F923" s="94" t="str">
        <f>STRAT9_IND3</f>
        <v>Objetivo estratégico 9 Indicador 3</v>
      </c>
      <c r="G923" s="94" t="str">
        <f ca="1">OFFSET(Variables_Lu!$D$10,Basic_Setup!H84,0)</f>
        <v>Nutrition-specific</v>
      </c>
      <c r="H923" s="354">
        <f t="shared" ref="H923:AD923" si="505">H846/EXCHANGE_RATE</f>
        <v>0</v>
      </c>
      <c r="I923" s="355">
        <f t="shared" si="505"/>
        <v>0</v>
      </c>
      <c r="J923" s="356">
        <f t="shared" si="505"/>
        <v>0</v>
      </c>
      <c r="K923" s="369">
        <f t="shared" si="505"/>
        <v>0</v>
      </c>
      <c r="L923" s="369">
        <f t="shared" si="505"/>
        <v>0</v>
      </c>
      <c r="M923" s="369">
        <f t="shared" si="505"/>
        <v>0</v>
      </c>
      <c r="N923" s="369">
        <f t="shared" si="505"/>
        <v>0</v>
      </c>
      <c r="O923" s="369">
        <f t="shared" si="505"/>
        <v>0</v>
      </c>
      <c r="P923" s="369">
        <f t="shared" si="505"/>
        <v>0</v>
      </c>
      <c r="Q923" s="369">
        <f t="shared" si="505"/>
        <v>0</v>
      </c>
      <c r="R923" s="369">
        <f t="shared" si="505"/>
        <v>0</v>
      </c>
      <c r="S923" s="369">
        <f t="shared" si="505"/>
        <v>0</v>
      </c>
      <c r="T923" s="369">
        <f t="shared" si="505"/>
        <v>0</v>
      </c>
      <c r="U923" s="96">
        <f t="shared" si="505"/>
        <v>0</v>
      </c>
      <c r="V923" s="96">
        <f t="shared" si="505"/>
        <v>0</v>
      </c>
      <c r="W923" s="96">
        <f t="shared" si="505"/>
        <v>0</v>
      </c>
      <c r="X923" s="96">
        <f t="shared" si="505"/>
        <v>0</v>
      </c>
      <c r="Y923" s="96">
        <f t="shared" si="505"/>
        <v>0</v>
      </c>
      <c r="Z923" s="96">
        <f t="shared" si="505"/>
        <v>0</v>
      </c>
      <c r="AA923" s="96">
        <f t="shared" si="505"/>
        <v>0</v>
      </c>
      <c r="AB923" s="96">
        <f t="shared" si="505"/>
        <v>0</v>
      </c>
      <c r="AC923" s="96">
        <f t="shared" si="505"/>
        <v>0</v>
      </c>
      <c r="AD923" s="96">
        <f t="shared" si="505"/>
        <v>0</v>
      </c>
    </row>
    <row r="924" spans="5:30" ht="11.25" customHeight="1" x14ac:dyDescent="0.2">
      <c r="E924" s="301"/>
      <c r="F924" s="94" t="str">
        <f>STRAT9_IND4</f>
        <v>Objetivo estratégico 9 Indicador 4</v>
      </c>
      <c r="G924" s="94" t="str">
        <f ca="1">OFFSET(Variables_Lu!$D$10,Basic_Setup!H85,0)</f>
        <v>Nutrition-specific</v>
      </c>
      <c r="H924" s="354">
        <f t="shared" ref="H924:AD924" si="506">H847/EXCHANGE_RATE</f>
        <v>0</v>
      </c>
      <c r="I924" s="355">
        <f t="shared" si="506"/>
        <v>0</v>
      </c>
      <c r="J924" s="356">
        <f t="shared" si="506"/>
        <v>0</v>
      </c>
      <c r="K924" s="369">
        <f t="shared" si="506"/>
        <v>0</v>
      </c>
      <c r="L924" s="369">
        <f t="shared" si="506"/>
        <v>0</v>
      </c>
      <c r="M924" s="369">
        <f t="shared" si="506"/>
        <v>0</v>
      </c>
      <c r="N924" s="369">
        <f t="shared" si="506"/>
        <v>0</v>
      </c>
      <c r="O924" s="369">
        <f t="shared" si="506"/>
        <v>0</v>
      </c>
      <c r="P924" s="369">
        <f t="shared" si="506"/>
        <v>0</v>
      </c>
      <c r="Q924" s="369">
        <f t="shared" si="506"/>
        <v>0</v>
      </c>
      <c r="R924" s="369">
        <f t="shared" si="506"/>
        <v>0</v>
      </c>
      <c r="S924" s="369">
        <f t="shared" si="506"/>
        <v>0</v>
      </c>
      <c r="T924" s="369">
        <f t="shared" si="506"/>
        <v>0</v>
      </c>
      <c r="U924" s="96">
        <f t="shared" si="506"/>
        <v>0</v>
      </c>
      <c r="V924" s="96">
        <f t="shared" si="506"/>
        <v>0</v>
      </c>
      <c r="W924" s="96">
        <f t="shared" si="506"/>
        <v>0</v>
      </c>
      <c r="X924" s="96">
        <f t="shared" si="506"/>
        <v>0</v>
      </c>
      <c r="Y924" s="96">
        <f t="shared" si="506"/>
        <v>0</v>
      </c>
      <c r="Z924" s="96">
        <f t="shared" si="506"/>
        <v>0</v>
      </c>
      <c r="AA924" s="96">
        <f t="shared" si="506"/>
        <v>0</v>
      </c>
      <c r="AB924" s="96">
        <f t="shared" si="506"/>
        <v>0</v>
      </c>
      <c r="AC924" s="96">
        <f t="shared" si="506"/>
        <v>0</v>
      </c>
      <c r="AD924" s="96">
        <f t="shared" si="506"/>
        <v>0</v>
      </c>
    </row>
    <row r="925" spans="5:30" ht="12" x14ac:dyDescent="0.2">
      <c r="E925" s="301"/>
      <c r="F925" s="94" t="str">
        <f>STRAT9_IND5</f>
        <v>Objetivo estratégico 9 Indicador 5</v>
      </c>
      <c r="G925" s="94" t="str">
        <f ca="1">OFFSET(Variables_Lu!$D$10,Basic_Setup!H86,0)</f>
        <v>Nutrition-specific</v>
      </c>
      <c r="H925" s="354">
        <f t="shared" ref="H925:AD925" si="507">H848/EXCHANGE_RATE</f>
        <v>0</v>
      </c>
      <c r="I925" s="355">
        <f t="shared" si="507"/>
        <v>0</v>
      </c>
      <c r="J925" s="356">
        <f t="shared" si="507"/>
        <v>0</v>
      </c>
      <c r="K925" s="369">
        <f t="shared" si="507"/>
        <v>0</v>
      </c>
      <c r="L925" s="369">
        <f t="shared" si="507"/>
        <v>0</v>
      </c>
      <c r="M925" s="369">
        <f t="shared" si="507"/>
        <v>0</v>
      </c>
      <c r="N925" s="369">
        <f t="shared" si="507"/>
        <v>0</v>
      </c>
      <c r="O925" s="369">
        <f t="shared" si="507"/>
        <v>0</v>
      </c>
      <c r="P925" s="369">
        <f t="shared" si="507"/>
        <v>0</v>
      </c>
      <c r="Q925" s="369">
        <f t="shared" si="507"/>
        <v>0</v>
      </c>
      <c r="R925" s="369">
        <f t="shared" si="507"/>
        <v>0</v>
      </c>
      <c r="S925" s="369">
        <f t="shared" si="507"/>
        <v>0</v>
      </c>
      <c r="T925" s="369">
        <f t="shared" si="507"/>
        <v>0</v>
      </c>
      <c r="U925" s="96">
        <f t="shared" si="507"/>
        <v>0</v>
      </c>
      <c r="V925" s="96">
        <f t="shared" si="507"/>
        <v>0</v>
      </c>
      <c r="W925" s="96">
        <f t="shared" si="507"/>
        <v>0</v>
      </c>
      <c r="X925" s="96">
        <f t="shared" si="507"/>
        <v>0</v>
      </c>
      <c r="Y925" s="96">
        <f t="shared" si="507"/>
        <v>0</v>
      </c>
      <c r="Z925" s="96">
        <f t="shared" si="507"/>
        <v>0</v>
      </c>
      <c r="AA925" s="96">
        <f t="shared" si="507"/>
        <v>0</v>
      </c>
      <c r="AB925" s="96">
        <f t="shared" si="507"/>
        <v>0</v>
      </c>
      <c r="AC925" s="96">
        <f t="shared" si="507"/>
        <v>0</v>
      </c>
      <c r="AD925" s="96">
        <f t="shared" si="507"/>
        <v>0</v>
      </c>
    </row>
    <row r="926" spans="5:30" ht="12" x14ac:dyDescent="0.2">
      <c r="E926" s="301"/>
      <c r="F926" s="338" t="str">
        <f>"Subtotal: "&amp;E300</f>
        <v>Subtotal: Objetivo estratégico 9: [No está en uso]</v>
      </c>
      <c r="G926" s="333"/>
      <c r="H926" s="357">
        <f t="shared" ref="H926:AD926" si="508">H849/EXCHANGE_RATE</f>
        <v>0</v>
      </c>
      <c r="I926" s="358">
        <f t="shared" si="508"/>
        <v>0</v>
      </c>
      <c r="J926" s="358">
        <f t="shared" si="508"/>
        <v>0</v>
      </c>
      <c r="K926" s="370">
        <f t="shared" si="508"/>
        <v>0</v>
      </c>
      <c r="L926" s="370">
        <f t="shared" si="508"/>
        <v>0</v>
      </c>
      <c r="M926" s="370">
        <f t="shared" si="508"/>
        <v>0</v>
      </c>
      <c r="N926" s="370">
        <f t="shared" si="508"/>
        <v>0</v>
      </c>
      <c r="O926" s="370">
        <f t="shared" si="508"/>
        <v>0</v>
      </c>
      <c r="P926" s="370">
        <f t="shared" si="508"/>
        <v>0</v>
      </c>
      <c r="Q926" s="370">
        <f t="shared" si="508"/>
        <v>0</v>
      </c>
      <c r="R926" s="370">
        <f t="shared" si="508"/>
        <v>0</v>
      </c>
      <c r="S926" s="370">
        <f t="shared" si="508"/>
        <v>0</v>
      </c>
      <c r="T926" s="370">
        <f t="shared" si="508"/>
        <v>0</v>
      </c>
      <c r="U926" s="337">
        <f t="shared" si="508"/>
        <v>0</v>
      </c>
      <c r="V926" s="337">
        <f t="shared" si="508"/>
        <v>0</v>
      </c>
      <c r="W926" s="337">
        <f t="shared" si="508"/>
        <v>0</v>
      </c>
      <c r="X926" s="337">
        <f t="shared" si="508"/>
        <v>0</v>
      </c>
      <c r="Y926" s="337">
        <f t="shared" si="508"/>
        <v>0</v>
      </c>
      <c r="Z926" s="337">
        <f t="shared" si="508"/>
        <v>0</v>
      </c>
      <c r="AA926" s="337">
        <f t="shared" si="508"/>
        <v>0</v>
      </c>
      <c r="AB926" s="337">
        <f t="shared" si="508"/>
        <v>0</v>
      </c>
      <c r="AC926" s="337">
        <f t="shared" si="508"/>
        <v>0</v>
      </c>
      <c r="AD926" s="337">
        <f t="shared" si="508"/>
        <v>0</v>
      </c>
    </row>
    <row r="927" spans="5:30" ht="12" x14ac:dyDescent="0.2">
      <c r="E927" s="301" t="str">
        <f>Strategy10</f>
        <v>Objetivo estratégico 10: [No está en uso]</v>
      </c>
      <c r="G927" s="94"/>
      <c r="H927" s="363"/>
      <c r="I927" s="364"/>
      <c r="J927" s="356"/>
      <c r="K927" s="369"/>
      <c r="L927" s="369"/>
      <c r="M927" s="369"/>
      <c r="N927" s="369"/>
      <c r="O927" s="369"/>
      <c r="P927" s="369"/>
      <c r="Q927" s="369"/>
      <c r="R927" s="369"/>
      <c r="S927" s="369"/>
      <c r="T927" s="369"/>
      <c r="U927" s="96"/>
      <c r="V927" s="96"/>
      <c r="W927" s="96"/>
      <c r="X927" s="96"/>
      <c r="Y927" s="96"/>
      <c r="Z927" s="96"/>
      <c r="AA927" s="96"/>
      <c r="AB927" s="96"/>
      <c r="AC927" s="96"/>
      <c r="AD927" s="96"/>
    </row>
    <row r="928" spans="5:30" ht="12" x14ac:dyDescent="0.2">
      <c r="F928" s="94" t="str">
        <f>STRAT10_IND1</f>
        <v>Objetivo estratégico 10 Indicador 1</v>
      </c>
      <c r="G928" s="94" t="str">
        <f ca="1">OFFSET(Variables_Lu!$D$10,Basic_Setup!H88,0)</f>
        <v>Nutrition-specific</v>
      </c>
      <c r="H928" s="354">
        <f t="shared" ref="H928:AD928" si="509">H851/EXCHANGE_RATE</f>
        <v>0</v>
      </c>
      <c r="I928" s="355">
        <f t="shared" si="509"/>
        <v>0</v>
      </c>
      <c r="J928" s="356">
        <f t="shared" si="509"/>
        <v>0</v>
      </c>
      <c r="K928" s="369">
        <f t="shared" si="509"/>
        <v>0</v>
      </c>
      <c r="L928" s="369">
        <f t="shared" si="509"/>
        <v>0</v>
      </c>
      <c r="M928" s="369">
        <f t="shared" si="509"/>
        <v>0</v>
      </c>
      <c r="N928" s="369">
        <f t="shared" si="509"/>
        <v>0</v>
      </c>
      <c r="O928" s="369">
        <f t="shared" si="509"/>
        <v>0</v>
      </c>
      <c r="P928" s="369">
        <f t="shared" si="509"/>
        <v>0</v>
      </c>
      <c r="Q928" s="369">
        <f t="shared" si="509"/>
        <v>0</v>
      </c>
      <c r="R928" s="369">
        <f t="shared" si="509"/>
        <v>0</v>
      </c>
      <c r="S928" s="369">
        <f t="shared" si="509"/>
        <v>0</v>
      </c>
      <c r="T928" s="369">
        <f t="shared" si="509"/>
        <v>0</v>
      </c>
      <c r="U928" s="96">
        <f t="shared" si="509"/>
        <v>0</v>
      </c>
      <c r="V928" s="96">
        <f t="shared" si="509"/>
        <v>0</v>
      </c>
      <c r="W928" s="96">
        <f t="shared" si="509"/>
        <v>0</v>
      </c>
      <c r="X928" s="96">
        <f t="shared" si="509"/>
        <v>0</v>
      </c>
      <c r="Y928" s="96">
        <f t="shared" si="509"/>
        <v>0</v>
      </c>
      <c r="Z928" s="96">
        <f t="shared" si="509"/>
        <v>0</v>
      </c>
      <c r="AA928" s="96">
        <f t="shared" si="509"/>
        <v>0</v>
      </c>
      <c r="AB928" s="96">
        <f t="shared" si="509"/>
        <v>0</v>
      </c>
      <c r="AC928" s="96">
        <f t="shared" si="509"/>
        <v>0</v>
      </c>
      <c r="AD928" s="96">
        <f t="shared" si="509"/>
        <v>0</v>
      </c>
    </row>
    <row r="929" spans="6:30" ht="12" x14ac:dyDescent="0.2">
      <c r="F929" s="94" t="str">
        <f>STRAT10_IND2</f>
        <v>Objetivo estratégico 10 Indicador 2</v>
      </c>
      <c r="G929" s="94" t="str">
        <f ca="1">OFFSET(Variables_Lu!$D$10,Basic_Setup!H89,0)</f>
        <v>Nutrition-specific</v>
      </c>
      <c r="H929" s="354">
        <f t="shared" ref="H929:AD929" si="510">H852/EXCHANGE_RATE</f>
        <v>0</v>
      </c>
      <c r="I929" s="355">
        <f t="shared" si="510"/>
        <v>0</v>
      </c>
      <c r="J929" s="356">
        <f t="shared" si="510"/>
        <v>0</v>
      </c>
      <c r="K929" s="369">
        <f t="shared" si="510"/>
        <v>0</v>
      </c>
      <c r="L929" s="369">
        <f t="shared" si="510"/>
        <v>0</v>
      </c>
      <c r="M929" s="369">
        <f t="shared" si="510"/>
        <v>0</v>
      </c>
      <c r="N929" s="369">
        <f t="shared" si="510"/>
        <v>0</v>
      </c>
      <c r="O929" s="369">
        <f t="shared" si="510"/>
        <v>0</v>
      </c>
      <c r="P929" s="369">
        <f t="shared" si="510"/>
        <v>0</v>
      </c>
      <c r="Q929" s="369">
        <f t="shared" si="510"/>
        <v>0</v>
      </c>
      <c r="R929" s="369">
        <f t="shared" si="510"/>
        <v>0</v>
      </c>
      <c r="S929" s="369">
        <f t="shared" si="510"/>
        <v>0</v>
      </c>
      <c r="T929" s="369">
        <f t="shared" si="510"/>
        <v>0</v>
      </c>
      <c r="U929" s="96">
        <f t="shared" si="510"/>
        <v>0</v>
      </c>
      <c r="V929" s="96">
        <f t="shared" si="510"/>
        <v>0</v>
      </c>
      <c r="W929" s="96">
        <f t="shared" si="510"/>
        <v>0</v>
      </c>
      <c r="X929" s="96">
        <f t="shared" si="510"/>
        <v>0</v>
      </c>
      <c r="Y929" s="96">
        <f t="shared" si="510"/>
        <v>0</v>
      </c>
      <c r="Z929" s="96">
        <f t="shared" si="510"/>
        <v>0</v>
      </c>
      <c r="AA929" s="96">
        <f t="shared" si="510"/>
        <v>0</v>
      </c>
      <c r="AB929" s="96">
        <f t="shared" si="510"/>
        <v>0</v>
      </c>
      <c r="AC929" s="96">
        <f t="shared" si="510"/>
        <v>0</v>
      </c>
      <c r="AD929" s="96">
        <f t="shared" si="510"/>
        <v>0</v>
      </c>
    </row>
    <row r="930" spans="6:30" ht="12" x14ac:dyDescent="0.2">
      <c r="F930" s="94" t="str">
        <f>STRAT10_IND3</f>
        <v>Objetivo estratégico 10 Indicador 3</v>
      </c>
      <c r="G930" s="94" t="str">
        <f ca="1">OFFSET(Variables_Lu!$D$10,Basic_Setup!H90,0)</f>
        <v>Nutrition-specific</v>
      </c>
      <c r="H930" s="354">
        <f t="shared" ref="H930:AD930" si="511">H853/EXCHANGE_RATE</f>
        <v>0</v>
      </c>
      <c r="I930" s="355">
        <f t="shared" si="511"/>
        <v>0</v>
      </c>
      <c r="J930" s="356">
        <f t="shared" si="511"/>
        <v>0</v>
      </c>
      <c r="K930" s="369">
        <f t="shared" si="511"/>
        <v>0</v>
      </c>
      <c r="L930" s="369">
        <f t="shared" si="511"/>
        <v>0</v>
      </c>
      <c r="M930" s="369">
        <f t="shared" si="511"/>
        <v>0</v>
      </c>
      <c r="N930" s="369">
        <f t="shared" si="511"/>
        <v>0</v>
      </c>
      <c r="O930" s="369">
        <f t="shared" si="511"/>
        <v>0</v>
      </c>
      <c r="P930" s="369">
        <f t="shared" si="511"/>
        <v>0</v>
      </c>
      <c r="Q930" s="369">
        <f t="shared" si="511"/>
        <v>0</v>
      </c>
      <c r="R930" s="369">
        <f t="shared" si="511"/>
        <v>0</v>
      </c>
      <c r="S930" s="369">
        <f t="shared" si="511"/>
        <v>0</v>
      </c>
      <c r="T930" s="369">
        <f t="shared" si="511"/>
        <v>0</v>
      </c>
      <c r="U930" s="96">
        <f t="shared" si="511"/>
        <v>0</v>
      </c>
      <c r="V930" s="96">
        <f t="shared" si="511"/>
        <v>0</v>
      </c>
      <c r="W930" s="96">
        <f t="shared" si="511"/>
        <v>0</v>
      </c>
      <c r="X930" s="96">
        <f t="shared" si="511"/>
        <v>0</v>
      </c>
      <c r="Y930" s="96">
        <f t="shared" si="511"/>
        <v>0</v>
      </c>
      <c r="Z930" s="96">
        <f t="shared" si="511"/>
        <v>0</v>
      </c>
      <c r="AA930" s="96">
        <f t="shared" si="511"/>
        <v>0</v>
      </c>
      <c r="AB930" s="96">
        <f t="shared" si="511"/>
        <v>0</v>
      </c>
      <c r="AC930" s="96">
        <f t="shared" si="511"/>
        <v>0</v>
      </c>
      <c r="AD930" s="96">
        <f t="shared" si="511"/>
        <v>0</v>
      </c>
    </row>
    <row r="931" spans="6:30" ht="12" x14ac:dyDescent="0.2">
      <c r="F931" s="94" t="str">
        <f>STRAT10_IND4</f>
        <v>Objetivo estratégico 10 Indicador 4</v>
      </c>
      <c r="G931" s="94" t="str">
        <f ca="1">OFFSET(Variables_Lu!$D$10,Basic_Setup!H91,0)</f>
        <v>Nutrition-specific</v>
      </c>
      <c r="H931" s="354">
        <f t="shared" ref="H931:AD931" si="512">H854/EXCHANGE_RATE</f>
        <v>0</v>
      </c>
      <c r="I931" s="355">
        <f t="shared" si="512"/>
        <v>0</v>
      </c>
      <c r="J931" s="356">
        <f t="shared" si="512"/>
        <v>0</v>
      </c>
      <c r="K931" s="369">
        <f t="shared" si="512"/>
        <v>0</v>
      </c>
      <c r="L931" s="369">
        <f t="shared" si="512"/>
        <v>0</v>
      </c>
      <c r="M931" s="369">
        <f t="shared" si="512"/>
        <v>0</v>
      </c>
      <c r="N931" s="369">
        <f t="shared" si="512"/>
        <v>0</v>
      </c>
      <c r="O931" s="369">
        <f t="shared" si="512"/>
        <v>0</v>
      </c>
      <c r="P931" s="369">
        <f t="shared" si="512"/>
        <v>0</v>
      </c>
      <c r="Q931" s="369">
        <f t="shared" si="512"/>
        <v>0</v>
      </c>
      <c r="R931" s="369">
        <f t="shared" si="512"/>
        <v>0</v>
      </c>
      <c r="S931" s="369">
        <f t="shared" si="512"/>
        <v>0</v>
      </c>
      <c r="T931" s="369">
        <f t="shared" si="512"/>
        <v>0</v>
      </c>
      <c r="U931" s="96">
        <f t="shared" si="512"/>
        <v>0</v>
      </c>
      <c r="V931" s="96">
        <f t="shared" si="512"/>
        <v>0</v>
      </c>
      <c r="W931" s="96">
        <f t="shared" si="512"/>
        <v>0</v>
      </c>
      <c r="X931" s="96">
        <f t="shared" si="512"/>
        <v>0</v>
      </c>
      <c r="Y931" s="96">
        <f t="shared" si="512"/>
        <v>0</v>
      </c>
      <c r="Z931" s="96">
        <f t="shared" si="512"/>
        <v>0</v>
      </c>
      <c r="AA931" s="96">
        <f t="shared" si="512"/>
        <v>0</v>
      </c>
      <c r="AB931" s="96">
        <f t="shared" si="512"/>
        <v>0</v>
      </c>
      <c r="AC931" s="96">
        <f t="shared" si="512"/>
        <v>0</v>
      </c>
      <c r="AD931" s="96">
        <f t="shared" si="512"/>
        <v>0</v>
      </c>
    </row>
    <row r="932" spans="6:30" ht="12" x14ac:dyDescent="0.2">
      <c r="F932" s="94" t="str">
        <f>STRAT10_IND5</f>
        <v>Objetivo estratégico 10 Indicador 5</v>
      </c>
      <c r="G932" s="94" t="str">
        <f ca="1">OFFSET(Variables_Lu!$D$10,Basic_Setup!H92,0)</f>
        <v>Nutrition-specific</v>
      </c>
      <c r="H932" s="354">
        <f t="shared" ref="H932:AD932" si="513">H855/EXCHANGE_RATE</f>
        <v>0</v>
      </c>
      <c r="I932" s="355">
        <f t="shared" si="513"/>
        <v>0</v>
      </c>
      <c r="J932" s="356">
        <f t="shared" si="513"/>
        <v>0</v>
      </c>
      <c r="K932" s="369">
        <f t="shared" si="513"/>
        <v>0</v>
      </c>
      <c r="L932" s="369">
        <f t="shared" si="513"/>
        <v>0</v>
      </c>
      <c r="M932" s="369">
        <f t="shared" si="513"/>
        <v>0</v>
      </c>
      <c r="N932" s="369">
        <f t="shared" si="513"/>
        <v>0</v>
      </c>
      <c r="O932" s="369">
        <f t="shared" si="513"/>
        <v>0</v>
      </c>
      <c r="P932" s="369">
        <f t="shared" si="513"/>
        <v>0</v>
      </c>
      <c r="Q932" s="369">
        <f t="shared" si="513"/>
        <v>0</v>
      </c>
      <c r="R932" s="369">
        <f t="shared" si="513"/>
        <v>0</v>
      </c>
      <c r="S932" s="369">
        <f t="shared" si="513"/>
        <v>0</v>
      </c>
      <c r="T932" s="369">
        <f t="shared" si="513"/>
        <v>0</v>
      </c>
      <c r="U932" s="96">
        <f t="shared" si="513"/>
        <v>0</v>
      </c>
      <c r="V932" s="96">
        <f t="shared" si="513"/>
        <v>0</v>
      </c>
      <c r="W932" s="96">
        <f t="shared" si="513"/>
        <v>0</v>
      </c>
      <c r="X932" s="96">
        <f t="shared" si="513"/>
        <v>0</v>
      </c>
      <c r="Y932" s="96">
        <f t="shared" si="513"/>
        <v>0</v>
      </c>
      <c r="Z932" s="96">
        <f t="shared" si="513"/>
        <v>0</v>
      </c>
      <c r="AA932" s="96">
        <f t="shared" si="513"/>
        <v>0</v>
      </c>
      <c r="AB932" s="96">
        <f t="shared" si="513"/>
        <v>0</v>
      </c>
      <c r="AC932" s="96">
        <f t="shared" si="513"/>
        <v>0</v>
      </c>
      <c r="AD932" s="96">
        <f t="shared" si="513"/>
        <v>0</v>
      </c>
    </row>
    <row r="933" spans="6:30" ht="12.75" customHeight="1" x14ac:dyDescent="0.2">
      <c r="F933" s="338" t="str">
        <f>"Subtotal: "&amp;E307</f>
        <v>Subtotal: Objetivo estratégico 10: [No está en uso]</v>
      </c>
      <c r="G933" s="333"/>
      <c r="H933" s="357">
        <f t="shared" ref="H933:AD933" si="514">H856/EXCHANGE_RATE</f>
        <v>0</v>
      </c>
      <c r="I933" s="358">
        <f t="shared" si="514"/>
        <v>0</v>
      </c>
      <c r="J933" s="358">
        <f t="shared" si="514"/>
        <v>0</v>
      </c>
      <c r="K933" s="370">
        <f t="shared" si="514"/>
        <v>0</v>
      </c>
      <c r="L933" s="370">
        <f t="shared" si="514"/>
        <v>0</v>
      </c>
      <c r="M933" s="370">
        <f t="shared" si="514"/>
        <v>0</v>
      </c>
      <c r="N933" s="370">
        <f t="shared" si="514"/>
        <v>0</v>
      </c>
      <c r="O933" s="370">
        <f t="shared" si="514"/>
        <v>0</v>
      </c>
      <c r="P933" s="370">
        <f t="shared" si="514"/>
        <v>0</v>
      </c>
      <c r="Q933" s="370">
        <f t="shared" si="514"/>
        <v>0</v>
      </c>
      <c r="R933" s="370">
        <f t="shared" si="514"/>
        <v>0</v>
      </c>
      <c r="S933" s="370">
        <f t="shared" si="514"/>
        <v>0</v>
      </c>
      <c r="T933" s="370">
        <f t="shared" si="514"/>
        <v>0</v>
      </c>
      <c r="U933" s="337">
        <f t="shared" si="514"/>
        <v>0</v>
      </c>
      <c r="V933" s="337">
        <f t="shared" si="514"/>
        <v>0</v>
      </c>
      <c r="W933" s="337">
        <f t="shared" si="514"/>
        <v>0</v>
      </c>
      <c r="X933" s="337">
        <f t="shared" si="514"/>
        <v>0</v>
      </c>
      <c r="Y933" s="337">
        <f t="shared" si="514"/>
        <v>0</v>
      </c>
      <c r="Z933" s="337">
        <f t="shared" si="514"/>
        <v>0</v>
      </c>
      <c r="AA933" s="337">
        <f t="shared" si="514"/>
        <v>0</v>
      </c>
      <c r="AB933" s="337">
        <f t="shared" si="514"/>
        <v>0</v>
      </c>
      <c r="AC933" s="337">
        <f t="shared" si="514"/>
        <v>0</v>
      </c>
      <c r="AD933" s="337">
        <f t="shared" si="514"/>
        <v>0</v>
      </c>
    </row>
    <row r="934" spans="6:30" ht="12" x14ac:dyDescent="0.2">
      <c r="F934" s="142" t="str">
        <f>"Total "&amp;" ("&amp;E240&amp;")"</f>
        <v>Total  (USD)</v>
      </c>
      <c r="G934" s="142"/>
      <c r="H934" s="360">
        <f t="shared" ref="H934:AD934" si="515">H857/EXCHANGE_RATE</f>
        <v>90975015.904191896</v>
      </c>
      <c r="I934" s="360">
        <f t="shared" si="515"/>
        <v>62986188.435860641</v>
      </c>
      <c r="J934" s="361">
        <f t="shared" si="515"/>
        <v>27988827.468331248</v>
      </c>
      <c r="K934" s="371">
        <f t="shared" si="515"/>
        <v>2374731.166675</v>
      </c>
      <c r="L934" s="371">
        <f t="shared" si="515"/>
        <v>272464.74191875005</v>
      </c>
      <c r="M934" s="371">
        <f t="shared" si="515"/>
        <v>715000</v>
      </c>
      <c r="N934" s="371">
        <f t="shared" si="515"/>
        <v>76537.262124999994</v>
      </c>
      <c r="O934" s="371">
        <f t="shared" si="515"/>
        <v>32927.408300000003</v>
      </c>
      <c r="P934" s="371">
        <f t="shared" si="515"/>
        <v>11572039.857362499</v>
      </c>
      <c r="Q934" s="371">
        <f t="shared" si="515"/>
        <v>1441271.5733</v>
      </c>
      <c r="R934" s="371">
        <f t="shared" si="515"/>
        <v>70855.45865</v>
      </c>
      <c r="S934" s="371">
        <f t="shared" si="515"/>
        <v>0</v>
      </c>
      <c r="T934" s="371">
        <f t="shared" si="515"/>
        <v>0</v>
      </c>
      <c r="U934" s="371">
        <f t="shared" si="515"/>
        <v>7608000</v>
      </c>
      <c r="V934" s="371">
        <f t="shared" si="515"/>
        <v>0</v>
      </c>
      <c r="W934" s="371">
        <f t="shared" si="515"/>
        <v>0</v>
      </c>
      <c r="X934" s="371">
        <f t="shared" si="515"/>
        <v>0</v>
      </c>
      <c r="Y934" s="371">
        <f t="shared" si="515"/>
        <v>3825000</v>
      </c>
      <c r="Z934" s="371">
        <f t="shared" si="515"/>
        <v>0</v>
      </c>
      <c r="AA934" s="371">
        <f t="shared" si="515"/>
        <v>0</v>
      </c>
      <c r="AB934" s="371">
        <f t="shared" si="515"/>
        <v>0</v>
      </c>
      <c r="AC934" s="371">
        <f t="shared" si="515"/>
        <v>0</v>
      </c>
      <c r="AD934" s="371">
        <f t="shared" si="515"/>
        <v>0</v>
      </c>
    </row>
  </sheetData>
  <mergeCells count="1">
    <mergeCell ref="B3:F3"/>
  </mergeCells>
  <hyperlinks>
    <hyperlink ref="A4" r:id="rId1" tooltip="Go to Top of Sheet" xr:uid="{00000000-0004-0000-2400-000000000000}"/>
    <hyperlink ref="B3" location="HL_Home" tooltip="Go to Table of Contents" display="Ir al índice" xr:uid="{00000000-0004-0000-2400-000001000000}"/>
    <hyperlink ref="B4" location="HL_Sheet_Main_16" tooltip="Go to Previous Sheet" display="ç" xr:uid="{00000000-0004-0000-2400-000002000000}"/>
    <hyperlink ref="C4" location="HL_Sheet_Main_4" tooltip="Go to Next Sheet" display="è" xr:uid="{00000000-0004-0000-2400-000003000000}"/>
    <hyperlink ref="A6" location="Outputs!A1" tooltip="Click to follow hyperlink." display="ï" xr:uid="{00000000-0004-0000-2400-000004000000}"/>
    <hyperlink ref="A161" location="Outputs!A1" tooltip="Click to follow hyperlink." display="ï" xr:uid="{00000000-0004-0000-2400-000005000000}"/>
    <hyperlink ref="A316" location="Outputs!A1" tooltip="Click to follow hyperlink." display="ï" xr:uid="{00000000-0004-0000-2400-000006000000}"/>
    <hyperlink ref="A471" location="Outputs!A1" tooltip="Click to follow hyperlink." display="ï" xr:uid="{00000000-0004-0000-2400-000007000000}"/>
    <hyperlink ref="A626" location="Outputs!A1" tooltip="Click to follow hyperlink." display="ï" xr:uid="{00000000-0004-0000-2400-000008000000}"/>
    <hyperlink ref="A781" location="Outputs!A1" tooltip="Click to follow hyperlink." display="ï" xr:uid="{00000000-0004-0000-2400-000009000000}"/>
  </hyperlinks>
  <pageMargins left="0.4" right="0.4" top="0.6" bottom="1" header="0" footer="0.3"/>
  <pageSetup orientation="landscape" r:id="rId2"/>
  <headerFooter>
    <oddFooter>&amp;L&amp;F
&amp;A
Impreso: &amp;T en &amp;D&amp;C&amp;",Bold"Sheet 3.e.
Página &amp;P de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8">
    <tabColor rgb="FFC00000"/>
    <pageSetUpPr fitToPage="1"/>
  </sheetPr>
  <dimension ref="C9:G20"/>
  <sheetViews>
    <sheetView showGridLines="0" workbookViewId="0">
      <selection activeCell="O3" sqref="O3"/>
    </sheetView>
  </sheetViews>
  <sheetFormatPr defaultColWidth="11.75" defaultRowHeight="11.4" x14ac:dyDescent="0.2"/>
  <cols>
    <col min="3" max="6" width="3.75" customWidth="1"/>
  </cols>
  <sheetData>
    <row r="9" spans="3:7" ht="13.8" x14ac:dyDescent="0.2">
      <c r="C9" s="18" t="s">
        <v>30</v>
      </c>
    </row>
    <row r="10" spans="3:7" ht="13.2" x14ac:dyDescent="0.2">
      <c r="C10" s="9" t="s">
        <v>381</v>
      </c>
    </row>
    <row r="11" spans="3:7" ht="13.2" x14ac:dyDescent="0.2">
      <c r="C11" s="5" t="str">
        <f>Model_Name</f>
        <v>Financial Gap Analysis Tool - País X (Datos de la muestra)</v>
      </c>
    </row>
    <row r="12" spans="3:7" x14ac:dyDescent="0.2">
      <c r="C12" s="425" t="s">
        <v>1</v>
      </c>
      <c r="D12" s="425"/>
      <c r="E12" s="425"/>
      <c r="F12" s="425"/>
      <c r="G12" s="425"/>
    </row>
    <row r="13" spans="3:7" x14ac:dyDescent="0.2">
      <c r="C13" s="7" t="s">
        <v>2</v>
      </c>
      <c r="D13" s="8" t="s">
        <v>3</v>
      </c>
    </row>
    <row r="17" spans="3:3" ht="12" x14ac:dyDescent="0.2">
      <c r="C17" s="3" t="s">
        <v>5</v>
      </c>
    </row>
    <row r="18" spans="3:3" x14ac:dyDescent="0.2">
      <c r="C18" s="4" t="s">
        <v>6</v>
      </c>
    </row>
    <row r="19" spans="3:3" x14ac:dyDescent="0.2">
      <c r="C19" s="4" t="s">
        <v>7</v>
      </c>
    </row>
    <row r="20" spans="3:3" x14ac:dyDescent="0.2">
      <c r="C20" s="4" t="s">
        <v>8</v>
      </c>
    </row>
  </sheetData>
  <mergeCells count="1">
    <mergeCell ref="C12:G12"/>
  </mergeCells>
  <hyperlinks>
    <hyperlink ref="C13" location="HL_Sheet_Main_4" tooltip="Go to Previous Sheet" display="ç" xr:uid="{00000000-0004-0000-2500-000000000000}"/>
    <hyperlink ref="D13" location="HL_Sheet_Main_6" tooltip="Go to Next Sheet" display="è" xr:uid="{00000000-0004-0000-2500-000001000000}"/>
    <hyperlink ref="C12" location="HL_Home" tooltip="Go to Table of Contents" display="Go to Table of Contents" xr:uid="{00000000-0004-0000-2500-000002000000}"/>
  </hyperlinks>
  <pageMargins left="0.4" right="0.4" top="0.6" bottom="1" header="0" footer="0.3"/>
  <pageSetup orientation="landscape" r:id="rId1"/>
  <headerFooter>
    <oddFooter>&amp;L&amp;F
&amp;A
Printed: &amp;T on &amp;D&amp;C&amp;",Bold"Sub-Section 4.1.
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9">
    <tabColor rgb="FF7030A0"/>
    <outlinePr summaryBelow="0"/>
  </sheetPr>
  <dimension ref="A1:F87"/>
  <sheetViews>
    <sheetView workbookViewId="0"/>
  </sheetViews>
  <sheetFormatPr defaultColWidth="11.75" defaultRowHeight="11.4" outlineLevelRow="1" x14ac:dyDescent="0.2"/>
  <cols>
    <col min="1" max="3" width="3.75" customWidth="1"/>
    <col min="4" max="4" width="35.75" customWidth="1"/>
    <col min="5" max="5" width="3.75" customWidth="1"/>
    <col min="6" max="6" width="35.75" customWidth="1"/>
    <col min="7" max="7" width="3.75" customWidth="1"/>
  </cols>
  <sheetData>
    <row r="1" spans="1:6" ht="13.8" x14ac:dyDescent="0.2">
      <c r="B1" s="18" t="s">
        <v>29</v>
      </c>
    </row>
    <row r="2" spans="1:6" ht="13.2" x14ac:dyDescent="0.2">
      <c r="B2" s="5" t="str">
        <f>Model_Name</f>
        <v>Financial Gap Analysis Tool - País X (Datos de la muestra)</v>
      </c>
    </row>
    <row r="3" spans="1:6" x14ac:dyDescent="0.2">
      <c r="B3" s="425" t="s">
        <v>1</v>
      </c>
      <c r="C3" s="425"/>
      <c r="D3" s="425"/>
    </row>
    <row r="4" spans="1:6" x14ac:dyDescent="0.2">
      <c r="A4" s="6" t="s">
        <v>10</v>
      </c>
      <c r="B4" s="7" t="s">
        <v>2</v>
      </c>
      <c r="C4" s="8" t="s">
        <v>3</v>
      </c>
    </row>
    <row r="6" spans="1:6" s="1" customFormat="1" x14ac:dyDescent="0.2">
      <c r="A6"/>
      <c r="B6" s="1" t="s">
        <v>43</v>
      </c>
    </row>
    <row r="7" spans="1:6" outlineLevel="1" x14ac:dyDescent="0.2"/>
    <row r="8" spans="1:6" s="13" customFormat="1" ht="12" outlineLevel="1" x14ac:dyDescent="0.2">
      <c r="A8"/>
      <c r="B8"/>
      <c r="C8" s="449" t="s">
        <v>44</v>
      </c>
      <c r="D8" s="449"/>
      <c r="E8" s="449"/>
      <c r="F8" s="13" t="s">
        <v>31</v>
      </c>
    </row>
    <row r="9" spans="1:6" outlineLevel="1" x14ac:dyDescent="0.2"/>
    <row r="10" spans="1:6" ht="12" outlineLevel="1" x14ac:dyDescent="0.2">
      <c r="D10" s="23" t="s">
        <v>45</v>
      </c>
      <c r="F10" s="19" t="s">
        <v>46</v>
      </c>
    </row>
    <row r="11" spans="1:6" outlineLevel="1" x14ac:dyDescent="0.2">
      <c r="D11" s="24">
        <f>ROWS(D$11:D11)</f>
        <v>1</v>
      </c>
      <c r="F11" s="19"/>
    </row>
    <row r="12" spans="1:6" outlineLevel="1" x14ac:dyDescent="0.2">
      <c r="D12" s="24">
        <f>ROWS(D$11:D12)</f>
        <v>2</v>
      </c>
      <c r="F12" s="19"/>
    </row>
    <row r="13" spans="1:6" outlineLevel="1" x14ac:dyDescent="0.2">
      <c r="D13" s="24">
        <f>ROWS(D$11:D13)</f>
        <v>3</v>
      </c>
      <c r="F13" s="19"/>
    </row>
    <row r="14" spans="1:6" outlineLevel="1" x14ac:dyDescent="0.2">
      <c r="D14" s="24">
        <f>ROWS(D$11:D14)</f>
        <v>4</v>
      </c>
      <c r="F14" s="19"/>
    </row>
    <row r="15" spans="1:6" outlineLevel="1" x14ac:dyDescent="0.2">
      <c r="D15" s="24">
        <f>ROWS(D$11:D15)</f>
        <v>5</v>
      </c>
      <c r="F15" s="19"/>
    </row>
    <row r="16" spans="1:6" outlineLevel="1" x14ac:dyDescent="0.2">
      <c r="D16" s="24">
        <f>ROWS(D$11:D16)</f>
        <v>6</v>
      </c>
      <c r="F16" s="19"/>
    </row>
    <row r="17" spans="4:6" outlineLevel="1" x14ac:dyDescent="0.2">
      <c r="D17" s="24">
        <f>ROWS(D$11:D17)</f>
        <v>7</v>
      </c>
      <c r="F17" s="19"/>
    </row>
    <row r="18" spans="4:6" outlineLevel="1" x14ac:dyDescent="0.2">
      <c r="D18" s="24">
        <f>ROWS(D$11:D18)</f>
        <v>8</v>
      </c>
      <c r="F18" s="19"/>
    </row>
    <row r="19" spans="4:6" outlineLevel="1" x14ac:dyDescent="0.2">
      <c r="D19" s="24">
        <f>ROWS(D$11:D19)</f>
        <v>9</v>
      </c>
      <c r="F19" s="19"/>
    </row>
    <row r="20" spans="4:6" outlineLevel="1" x14ac:dyDescent="0.2">
      <c r="D20" s="24">
        <f>ROWS(D$11:D20)</f>
        <v>10</v>
      </c>
      <c r="F20" s="19"/>
    </row>
    <row r="21" spans="4:6" outlineLevel="1" x14ac:dyDescent="0.2">
      <c r="D21" s="24">
        <f>ROWS(D$11:D21)</f>
        <v>11</v>
      </c>
      <c r="F21" s="19"/>
    </row>
    <row r="22" spans="4:6" outlineLevel="1" x14ac:dyDescent="0.2">
      <c r="D22" s="24">
        <f>ROWS(D$11:D22)</f>
        <v>12</v>
      </c>
      <c r="F22" s="19"/>
    </row>
    <row r="23" spans="4:6" outlineLevel="1" x14ac:dyDescent="0.2">
      <c r="D23" s="24">
        <f>ROWS(D$11:D23)</f>
        <v>13</v>
      </c>
      <c r="F23" s="19"/>
    </row>
    <row r="24" spans="4:6" outlineLevel="1" x14ac:dyDescent="0.2">
      <c r="D24" s="24">
        <f>ROWS(D$11:D24)</f>
        <v>14</v>
      </c>
      <c r="F24" s="19"/>
    </row>
    <row r="25" spans="4:6" outlineLevel="1" x14ac:dyDescent="0.2">
      <c r="D25" s="24">
        <f>ROWS(D$11:D25)</f>
        <v>15</v>
      </c>
      <c r="F25" s="19"/>
    </row>
    <row r="26" spans="4:6" outlineLevel="1" x14ac:dyDescent="0.2">
      <c r="D26" s="24">
        <f>ROWS(D$11:D26)</f>
        <v>16</v>
      </c>
      <c r="F26" s="19"/>
    </row>
    <row r="27" spans="4:6" outlineLevel="1" x14ac:dyDescent="0.2">
      <c r="D27" s="24">
        <f>ROWS(D$11:D27)</f>
        <v>17</v>
      </c>
      <c r="F27" s="19"/>
    </row>
    <row r="28" spans="4:6" outlineLevel="1" x14ac:dyDescent="0.2">
      <c r="D28" s="24">
        <f>ROWS(D$11:D28)</f>
        <v>18</v>
      </c>
      <c r="F28" s="19"/>
    </row>
    <row r="29" spans="4:6" outlineLevel="1" x14ac:dyDescent="0.2">
      <c r="D29" s="24">
        <f>ROWS(D$11:D29)</f>
        <v>19</v>
      </c>
      <c r="F29" s="19"/>
    </row>
    <row r="30" spans="4:6" outlineLevel="1" x14ac:dyDescent="0.2">
      <c r="D30" s="24">
        <f>ROWS(D$11:D30)</f>
        <v>20</v>
      </c>
      <c r="F30" s="19"/>
    </row>
    <row r="31" spans="4:6" outlineLevel="1" x14ac:dyDescent="0.2">
      <c r="D31" s="24">
        <f>ROWS(D$11:D31)</f>
        <v>21</v>
      </c>
      <c r="F31" s="19"/>
    </row>
    <row r="32" spans="4:6" outlineLevel="1" x14ac:dyDescent="0.2">
      <c r="D32" s="24">
        <f>ROWS(D$11:D32)</f>
        <v>22</v>
      </c>
      <c r="F32" s="19"/>
    </row>
    <row r="33" spans="1:6" outlineLevel="1" x14ac:dyDescent="0.2">
      <c r="D33" s="24">
        <f>ROWS(D$11:D33)</f>
        <v>23</v>
      </c>
      <c r="F33" s="19"/>
    </row>
    <row r="34" spans="1:6" outlineLevel="1" x14ac:dyDescent="0.2">
      <c r="D34" s="24">
        <f>ROWS(D$11:D34)</f>
        <v>24</v>
      </c>
      <c r="F34" s="19"/>
    </row>
    <row r="35" spans="1:6" outlineLevel="1" x14ac:dyDescent="0.2">
      <c r="D35" s="24">
        <f>ROWS(D$11:D35)</f>
        <v>25</v>
      </c>
      <c r="F35" s="19"/>
    </row>
    <row r="36" spans="1:6" outlineLevel="1" x14ac:dyDescent="0.2">
      <c r="D36" s="24">
        <f>ROWS(D$11:D36)</f>
        <v>26</v>
      </c>
      <c r="F36" s="19"/>
    </row>
    <row r="37" spans="1:6" outlineLevel="1" x14ac:dyDescent="0.2">
      <c r="D37" s="24">
        <f>ROWS(D$11:D37)</f>
        <v>27</v>
      </c>
      <c r="F37" s="19"/>
    </row>
    <row r="38" spans="1:6" outlineLevel="1" x14ac:dyDescent="0.2">
      <c r="D38" s="24">
        <f>ROWS(D$11:D38)</f>
        <v>28</v>
      </c>
      <c r="F38" s="19"/>
    </row>
    <row r="39" spans="1:6" outlineLevel="1" x14ac:dyDescent="0.2">
      <c r="D39" s="24">
        <f>ROWS(D$11:D39)</f>
        <v>29</v>
      </c>
      <c r="F39" s="19"/>
    </row>
    <row r="40" spans="1:6" outlineLevel="1" x14ac:dyDescent="0.2">
      <c r="D40" s="24">
        <f>ROWS(D$11:D40)</f>
        <v>30</v>
      </c>
      <c r="F40" s="19"/>
    </row>
    <row r="41" spans="1:6" outlineLevel="1" x14ac:dyDescent="0.2">
      <c r="D41" s="24">
        <f>ROWS(D$11:D41)</f>
        <v>31</v>
      </c>
      <c r="F41" s="19"/>
    </row>
    <row r="42" spans="1:6" outlineLevel="1" x14ac:dyDescent="0.2"/>
    <row r="43" spans="1:6" s="13" customFormat="1" ht="12" outlineLevel="1" x14ac:dyDescent="0.2">
      <c r="A43"/>
      <c r="B43"/>
      <c r="C43" s="449" t="s">
        <v>47</v>
      </c>
      <c r="D43" s="449"/>
      <c r="E43" s="449"/>
      <c r="F43" s="13" t="s">
        <v>31</v>
      </c>
    </row>
    <row r="44" spans="1:6" outlineLevel="1" x14ac:dyDescent="0.2"/>
    <row r="45" spans="1:6" ht="12" outlineLevel="1" x14ac:dyDescent="0.2">
      <c r="D45" s="23" t="s">
        <v>48</v>
      </c>
      <c r="F45" s="19" t="s">
        <v>49</v>
      </c>
    </row>
    <row r="46" spans="1:6" outlineLevel="1" x14ac:dyDescent="0.2">
      <c r="D46" s="25" t="str">
        <f>TEXT(DATE(1,ROWS(D$46:D46),1),"mmmm")</f>
        <v>enero</v>
      </c>
      <c r="F46" s="19"/>
    </row>
    <row r="47" spans="1:6" outlineLevel="1" x14ac:dyDescent="0.2">
      <c r="D47" s="25" t="str">
        <f>TEXT(DATE(1,ROWS(D$46:D47),1),"mmmm")</f>
        <v>febrero</v>
      </c>
      <c r="F47" s="19"/>
    </row>
    <row r="48" spans="1:6" outlineLevel="1" x14ac:dyDescent="0.2">
      <c r="D48" s="25" t="str">
        <f>TEXT(DATE(1,ROWS(D$46:D48),1),"mmmm")</f>
        <v>marzo</v>
      </c>
      <c r="F48" s="19"/>
    </row>
    <row r="49" spans="1:6" outlineLevel="1" x14ac:dyDescent="0.2">
      <c r="D49" s="25" t="str">
        <f>TEXT(DATE(1,ROWS(D$46:D49),1),"mmmm")</f>
        <v>abril</v>
      </c>
      <c r="F49" s="19"/>
    </row>
    <row r="50" spans="1:6" outlineLevel="1" x14ac:dyDescent="0.2">
      <c r="D50" s="25" t="str">
        <f>TEXT(DATE(1,ROWS(D$46:D50),1),"mmmm")</f>
        <v>mayo</v>
      </c>
      <c r="F50" s="19"/>
    </row>
    <row r="51" spans="1:6" outlineLevel="1" x14ac:dyDescent="0.2">
      <c r="D51" s="25" t="str">
        <f>TEXT(DATE(1,ROWS(D$46:D51),1),"mmmm")</f>
        <v>junio</v>
      </c>
      <c r="F51" s="19"/>
    </row>
    <row r="52" spans="1:6" outlineLevel="1" x14ac:dyDescent="0.2">
      <c r="D52" s="25" t="str">
        <f>TEXT(DATE(1,ROWS(D$46:D52),1),"mmmm")</f>
        <v>julio</v>
      </c>
      <c r="F52" s="19"/>
    </row>
    <row r="53" spans="1:6" outlineLevel="1" x14ac:dyDescent="0.2">
      <c r="D53" s="25" t="str">
        <f>TEXT(DATE(1,ROWS(D$46:D53),1),"mmmm")</f>
        <v>agosto</v>
      </c>
      <c r="F53" s="19"/>
    </row>
    <row r="54" spans="1:6" outlineLevel="1" x14ac:dyDescent="0.2">
      <c r="D54" s="25" t="str">
        <f>TEXT(DATE(1,ROWS(D$46:D54),1),"mmmm")</f>
        <v>septiembre</v>
      </c>
      <c r="F54" s="19"/>
    </row>
    <row r="55" spans="1:6" outlineLevel="1" x14ac:dyDescent="0.2">
      <c r="D55" s="25" t="str">
        <f>TEXT(DATE(1,ROWS(D$46:D55),1),"mmmm")</f>
        <v>octubre</v>
      </c>
      <c r="F55" s="19"/>
    </row>
    <row r="56" spans="1:6" outlineLevel="1" x14ac:dyDescent="0.2">
      <c r="D56" s="25" t="str">
        <f>TEXT(DATE(1,ROWS(D$46:D56),1),"mmmm")</f>
        <v>noviembre</v>
      </c>
      <c r="F56" s="19"/>
    </row>
    <row r="57" spans="1:6" outlineLevel="1" x14ac:dyDescent="0.2">
      <c r="D57" s="25" t="str">
        <f>TEXT(DATE(1,ROWS(D$46:D57),1),"mmmm")</f>
        <v>diciembre</v>
      </c>
      <c r="F57" s="19"/>
    </row>
    <row r="58" spans="1:6" outlineLevel="1" x14ac:dyDescent="0.2"/>
    <row r="59" spans="1:6" s="13" customFormat="1" ht="12" outlineLevel="1" x14ac:dyDescent="0.2">
      <c r="A59"/>
      <c r="B59"/>
      <c r="C59" s="13" t="s">
        <v>50</v>
      </c>
    </row>
    <row r="60" spans="1:6" outlineLevel="1" x14ac:dyDescent="0.2"/>
    <row r="61" spans="1:6" ht="12" outlineLevel="1" x14ac:dyDescent="0.2">
      <c r="D61" s="23" t="s">
        <v>51</v>
      </c>
      <c r="F61" s="26" t="s">
        <v>52</v>
      </c>
    </row>
    <row r="62" spans="1:6" outlineLevel="1" x14ac:dyDescent="0.2">
      <c r="D62" s="27">
        <v>60</v>
      </c>
      <c r="F62" s="19" t="s">
        <v>53</v>
      </c>
    </row>
    <row r="63" spans="1:6" outlineLevel="1" x14ac:dyDescent="0.2">
      <c r="D63" s="27">
        <v>60</v>
      </c>
      <c r="F63" s="19" t="s">
        <v>54</v>
      </c>
    </row>
    <row r="64" spans="1:6" outlineLevel="1" x14ac:dyDescent="0.2">
      <c r="D64" s="27">
        <v>24</v>
      </c>
      <c r="F64" s="19" t="s">
        <v>55</v>
      </c>
    </row>
    <row r="65" spans="1:6" outlineLevel="1" x14ac:dyDescent="0.2">
      <c r="D65" s="27">
        <v>7</v>
      </c>
      <c r="F65" s="19" t="s">
        <v>56</v>
      </c>
    </row>
    <row r="66" spans="1:6" outlineLevel="1" x14ac:dyDescent="0.2">
      <c r="D66" s="27">
        <v>3</v>
      </c>
      <c r="F66" s="19" t="s">
        <v>57</v>
      </c>
    </row>
    <row r="67" spans="1:6" outlineLevel="1" x14ac:dyDescent="0.2">
      <c r="D67" s="27">
        <v>6</v>
      </c>
      <c r="F67" s="19" t="s">
        <v>58</v>
      </c>
    </row>
    <row r="68" spans="1:6" outlineLevel="1" x14ac:dyDescent="0.2">
      <c r="D68" s="27">
        <v>12</v>
      </c>
      <c r="F68" s="19" t="s">
        <v>59</v>
      </c>
    </row>
    <row r="69" spans="1:6" outlineLevel="1" x14ac:dyDescent="0.2">
      <c r="D69" s="27">
        <v>2</v>
      </c>
      <c r="F69" s="19" t="s">
        <v>60</v>
      </c>
    </row>
    <row r="70" spans="1:6" outlineLevel="1" x14ac:dyDescent="0.2">
      <c r="D70" s="27">
        <v>4</v>
      </c>
      <c r="F70" s="19" t="s">
        <v>61</v>
      </c>
    </row>
    <row r="71" spans="1:6" outlineLevel="1" x14ac:dyDescent="0.2">
      <c r="D71" s="27">
        <v>2</v>
      </c>
      <c r="F71" s="19" t="s">
        <v>62</v>
      </c>
    </row>
    <row r="72" spans="1:6" outlineLevel="1" x14ac:dyDescent="0.2"/>
    <row r="73" spans="1:6" s="13" customFormat="1" ht="12" outlineLevel="1" x14ac:dyDescent="0.2">
      <c r="A73"/>
      <c r="B73"/>
      <c r="C73" s="449" t="s">
        <v>63</v>
      </c>
      <c r="D73" s="449"/>
      <c r="E73" s="449"/>
      <c r="F73" s="13" t="s">
        <v>31</v>
      </c>
    </row>
    <row r="74" spans="1:6" outlineLevel="1" x14ac:dyDescent="0.2"/>
    <row r="75" spans="1:6" ht="12" outlineLevel="1" x14ac:dyDescent="0.2">
      <c r="D75" s="23" t="s">
        <v>40</v>
      </c>
      <c r="F75" s="19" t="s">
        <v>64</v>
      </c>
    </row>
    <row r="76" spans="1:6" outlineLevel="1" x14ac:dyDescent="0.2">
      <c r="D76" s="25" t="str">
        <f>Ts_Currency&amp;CHOOSE(ROWS(D$76:D76),"","'000","Millions","Billions")</f>
        <v>$</v>
      </c>
      <c r="F76" s="19"/>
    </row>
    <row r="77" spans="1:6" outlineLevel="1" x14ac:dyDescent="0.2">
      <c r="D77" s="25" t="str">
        <f>Ts_Currency&amp;CHOOSE(ROWS(D$76:D77),"","'000","Millions","Billions")</f>
        <v>$'000</v>
      </c>
      <c r="F77" s="19"/>
    </row>
    <row r="78" spans="1:6" outlineLevel="1" x14ac:dyDescent="0.2">
      <c r="D78" s="25" t="str">
        <f>Ts_Currency&amp;CHOOSE(ROWS(D$76:D78),"","'000","Millions","Billions")</f>
        <v>$Millions</v>
      </c>
      <c r="F78" s="19"/>
    </row>
    <row r="79" spans="1:6" outlineLevel="1" x14ac:dyDescent="0.2">
      <c r="D79" s="25" t="str">
        <f>Ts_Currency&amp;CHOOSE(ROWS(D$76:D79),"","'000","Millions","Billions")</f>
        <v>$Billions</v>
      </c>
      <c r="F79" s="19"/>
    </row>
    <row r="80" spans="1:6" outlineLevel="1" x14ac:dyDescent="0.2"/>
    <row r="81" spans="1:6" s="13" customFormat="1" ht="12" outlineLevel="1" x14ac:dyDescent="0.2">
      <c r="A81"/>
      <c r="B81"/>
      <c r="C81" s="449" t="s">
        <v>65</v>
      </c>
      <c r="D81" s="449"/>
      <c r="E81" s="449"/>
      <c r="F81" s="13" t="s">
        <v>31</v>
      </c>
    </row>
    <row r="82" spans="1:6" outlineLevel="1" x14ac:dyDescent="0.2"/>
    <row r="83" spans="1:6" ht="12" outlineLevel="1" x14ac:dyDescent="0.2">
      <c r="D83" s="23" t="s">
        <v>66</v>
      </c>
      <c r="F83" s="19" t="s">
        <v>67</v>
      </c>
    </row>
    <row r="84" spans="1:6" outlineLevel="1" x14ac:dyDescent="0.2">
      <c r="D84" s="28">
        <v>1</v>
      </c>
      <c r="F84" s="19"/>
    </row>
    <row r="85" spans="1:6" outlineLevel="1" x14ac:dyDescent="0.2">
      <c r="D85" s="28">
        <v>1000</v>
      </c>
      <c r="F85" s="19" t="s">
        <v>68</v>
      </c>
    </row>
    <row r="86" spans="1:6" outlineLevel="1" x14ac:dyDescent="0.2">
      <c r="D86" s="28">
        <v>1000000</v>
      </c>
      <c r="F86" s="19" t="s">
        <v>69</v>
      </c>
    </row>
    <row r="87" spans="1:6" outlineLevel="1" x14ac:dyDescent="0.2">
      <c r="D87" s="28">
        <v>1000000000</v>
      </c>
      <c r="F87" s="19" t="s">
        <v>70</v>
      </c>
    </row>
  </sheetData>
  <mergeCells count="5">
    <mergeCell ref="B3:D3"/>
    <mergeCell ref="C8:E8"/>
    <mergeCell ref="C43:E43"/>
    <mergeCell ref="C73:E73"/>
    <mergeCell ref="C81:E81"/>
  </mergeCells>
  <hyperlinks>
    <hyperlink ref="A4" r:id="rId1" tooltip="Go to Top of Sheet" xr:uid="{00000000-0004-0000-2600-000000000000}"/>
    <hyperlink ref="B4" location="HL_Sheet_Main_10" tooltip="Go to Previous Sheet" display="ç" xr:uid="{00000000-0004-0000-2600-000001000000}"/>
    <hyperlink ref="C4" location="HL_Sheet_Main_17" tooltip="Go to Next Sheet" display="è" xr:uid="{00000000-0004-0000-2600-000002000000}"/>
    <hyperlink ref="B3" location="HL_Home" tooltip="Go to Table of Contents" display="Go to Table of Contents" xr:uid="{00000000-0004-0000-2600-000003000000}"/>
  </hyperlinks>
  <pageMargins left="0.4" right="0.4" top="0.6" bottom="1" header="0" footer="0.3"/>
  <pageSetup orientation="landscape" r:id="rId2"/>
  <headerFooter>
    <oddFooter>&amp;L&amp;F
&amp;A
Printed: &amp;T on &amp;D&amp;C&amp;",Bold"Sheet 3.1.a.
Page &amp;P of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T304"/>
  <sheetViews>
    <sheetView showGridLines="0" workbookViewId="0">
      <pane ySplit="4" topLeftCell="A111" activePane="bottomLeft" state="frozen"/>
      <selection pane="bottomLeft" activeCell="F40" sqref="F40"/>
    </sheetView>
  </sheetViews>
  <sheetFormatPr defaultColWidth="11.75" defaultRowHeight="11.4" x14ac:dyDescent="0.2"/>
  <cols>
    <col min="1" max="4" width="3.75" customWidth="1"/>
    <col min="5" max="5" width="9.75" customWidth="1"/>
    <col min="6" max="6" width="61.625" style="161" customWidth="1"/>
    <col min="7" max="7" width="25.75" customWidth="1"/>
  </cols>
  <sheetData>
    <row r="1" spans="1:20" ht="13.8" x14ac:dyDescent="0.2">
      <c r="B1" s="143" t="str">
        <f ca="1">IF(ISERROR(RIGHT(CELL("filename",$A$1),LEN(CELL("filename",$A$1))-FIND("]",CELL("filename",$A$1)))),"This workbook never saved",RIGHT(CELL("filename",$A$1),LEN(CELL("filename",$A$1))-FIND("]",CELL("filename",$A$1))))</f>
        <v>Acerca de</v>
      </c>
    </row>
    <row r="2" spans="1:20" ht="13.2" x14ac:dyDescent="0.2">
      <c r="B2" s="5" t="str">
        <f>Model_Name</f>
        <v>Financial Gap Analysis Tool - País X (Datos de la muestra)</v>
      </c>
    </row>
    <row r="3" spans="1:20" ht="15.6" x14ac:dyDescent="0.2">
      <c r="B3" s="425" t="s">
        <v>524</v>
      </c>
      <c r="C3" s="425"/>
      <c r="D3" s="425"/>
      <c r="E3" s="425"/>
      <c r="F3" s="398"/>
      <c r="G3" s="415" t="s">
        <v>520</v>
      </c>
    </row>
    <row r="4" spans="1:20" ht="73.5" customHeight="1" x14ac:dyDescent="0.2">
      <c r="A4" s="6" t="s">
        <v>10</v>
      </c>
      <c r="B4" s="7" t="s">
        <v>2</v>
      </c>
      <c r="C4" s="8" t="s">
        <v>3</v>
      </c>
      <c r="D4" s="15"/>
      <c r="E4" s="16"/>
      <c r="F4" s="17"/>
      <c r="G4" s="415" t="s">
        <v>521</v>
      </c>
    </row>
    <row r="6" spans="1:20" x14ac:dyDescent="0.2">
      <c r="B6" s="1" t="s">
        <v>510</v>
      </c>
      <c r="C6" s="1"/>
      <c r="D6" s="1"/>
      <c r="E6" s="1"/>
      <c r="F6" s="162"/>
      <c r="G6" s="160"/>
      <c r="H6" s="1"/>
      <c r="I6" s="1"/>
      <c r="J6" s="1"/>
      <c r="K6" s="1"/>
      <c r="L6" s="1"/>
      <c r="M6" s="1"/>
      <c r="N6" s="1"/>
      <c r="O6" s="1"/>
      <c r="P6" s="1"/>
      <c r="Q6" s="1"/>
      <c r="R6" s="1"/>
      <c r="S6" s="1"/>
      <c r="T6" s="1"/>
    </row>
    <row r="7" spans="1:20" x14ac:dyDescent="0.2">
      <c r="F7"/>
    </row>
    <row r="8" spans="1:20" ht="12" x14ac:dyDescent="0.2">
      <c r="F8" s="51" t="s">
        <v>421</v>
      </c>
    </row>
    <row r="9" spans="1:20" x14ac:dyDescent="0.2">
      <c r="F9" s="161" t="s">
        <v>422</v>
      </c>
    </row>
    <row r="10" spans="1:20" x14ac:dyDescent="0.2">
      <c r="F10" t="s">
        <v>469</v>
      </c>
    </row>
    <row r="11" spans="1:20" x14ac:dyDescent="0.2">
      <c r="F11" t="s">
        <v>423</v>
      </c>
    </row>
    <row r="12" spans="1:20" x14ac:dyDescent="0.2">
      <c r="F12" t="s">
        <v>424</v>
      </c>
    </row>
    <row r="13" spans="1:20" x14ac:dyDescent="0.2">
      <c r="F13" t="s">
        <v>425</v>
      </c>
    </row>
    <row r="14" spans="1:20" x14ac:dyDescent="0.2">
      <c r="F14" t="s">
        <v>426</v>
      </c>
    </row>
    <row r="17" spans="2:20" x14ac:dyDescent="0.2">
      <c r="F17"/>
    </row>
    <row r="18" spans="2:20" x14ac:dyDescent="0.2">
      <c r="F18" s="245" t="s">
        <v>419</v>
      </c>
      <c r="G18" s="246"/>
    </row>
    <row r="19" spans="2:20" x14ac:dyDescent="0.2">
      <c r="F19" s="244" t="s">
        <v>420</v>
      </c>
    </row>
    <row r="22" spans="2:20" x14ac:dyDescent="0.2">
      <c r="F22" s="244"/>
    </row>
    <row r="23" spans="2:20" x14ac:dyDescent="0.2">
      <c r="B23" s="1" t="s">
        <v>526</v>
      </c>
      <c r="C23" s="1"/>
      <c r="D23" s="1"/>
      <c r="E23" s="1"/>
      <c r="F23" s="162"/>
      <c r="G23" s="160"/>
      <c r="H23" s="1"/>
      <c r="I23" s="1"/>
      <c r="J23" s="1"/>
      <c r="K23" s="1"/>
      <c r="L23" s="1"/>
      <c r="M23" s="1"/>
      <c r="N23" s="1"/>
      <c r="O23" s="1"/>
      <c r="P23" s="1"/>
      <c r="Q23" s="1"/>
      <c r="R23" s="1"/>
      <c r="S23" s="1"/>
      <c r="T23" s="1"/>
    </row>
    <row r="24" spans="2:20" x14ac:dyDescent="0.2">
      <c r="F24" s="163"/>
      <c r="G24" s="94"/>
    </row>
    <row r="25" spans="2:20" x14ac:dyDescent="0.2">
      <c r="G25" s="94"/>
    </row>
    <row r="26" spans="2:20" x14ac:dyDescent="0.2">
      <c r="F26" s="19" t="s">
        <v>553</v>
      </c>
      <c r="G26" s="94"/>
    </row>
    <row r="27" spans="2:20" x14ac:dyDescent="0.2">
      <c r="F27" s="19"/>
      <c r="G27" s="94"/>
    </row>
    <row r="28" spans="2:20" x14ac:dyDescent="0.2">
      <c r="F28" s="19" t="s">
        <v>282</v>
      </c>
      <c r="G28" s="94"/>
    </row>
    <row r="29" spans="2:20" x14ac:dyDescent="0.2">
      <c r="F29" s="19"/>
      <c r="G29" s="94"/>
    </row>
    <row r="30" spans="2:20" ht="22.8" x14ac:dyDescent="0.2">
      <c r="F30" s="164" t="s">
        <v>281</v>
      </c>
      <c r="G30" s="94"/>
    </row>
    <row r="31" spans="2:20" x14ac:dyDescent="0.2">
      <c r="F31" s="163"/>
      <c r="G31" s="94"/>
    </row>
    <row r="32" spans="2:20" x14ac:dyDescent="0.2">
      <c r="F32" s="19" t="s">
        <v>523</v>
      </c>
      <c r="G32" s="94"/>
    </row>
    <row r="33" spans="2:20" x14ac:dyDescent="0.2">
      <c r="F33" s="187"/>
      <c r="G33" s="94"/>
    </row>
    <row r="34" spans="2:20" x14ac:dyDescent="0.2">
      <c r="B34" s="1" t="s">
        <v>527</v>
      </c>
      <c r="C34" s="1"/>
      <c r="D34" s="1"/>
      <c r="E34" s="1"/>
      <c r="F34" s="162"/>
      <c r="G34" s="160"/>
      <c r="H34" s="1"/>
      <c r="I34" s="1"/>
      <c r="J34" s="1"/>
      <c r="K34" s="1"/>
      <c r="L34" s="1"/>
      <c r="M34" s="1"/>
      <c r="N34" s="1"/>
      <c r="O34" s="1"/>
      <c r="P34" s="1"/>
      <c r="Q34" s="1"/>
      <c r="R34" s="1"/>
      <c r="S34" s="1"/>
      <c r="T34" s="1"/>
    </row>
    <row r="35" spans="2:20" x14ac:dyDescent="0.2">
      <c r="F35" s="163"/>
      <c r="G35" s="94"/>
    </row>
    <row r="36" spans="2:20" x14ac:dyDescent="0.2">
      <c r="G36" s="94"/>
    </row>
    <row r="37" spans="2:20" ht="22.8" x14ac:dyDescent="0.2">
      <c r="F37" s="164" t="s">
        <v>566</v>
      </c>
      <c r="G37" s="94"/>
    </row>
    <row r="38" spans="2:20" x14ac:dyDescent="0.2">
      <c r="F38" s="163"/>
      <c r="G38" s="94"/>
    </row>
    <row r="39" spans="2:20" x14ac:dyDescent="0.2">
      <c r="F39" s="164" t="s">
        <v>283</v>
      </c>
      <c r="G39" s="94"/>
    </row>
    <row r="40" spans="2:20" ht="22.8" x14ac:dyDescent="0.2">
      <c r="F40" s="164" t="s">
        <v>284</v>
      </c>
      <c r="G40" s="94"/>
    </row>
    <row r="41" spans="2:20" ht="22.8" x14ac:dyDescent="0.2">
      <c r="F41" s="164" t="s">
        <v>285</v>
      </c>
      <c r="G41" s="94"/>
    </row>
    <row r="42" spans="2:20" x14ac:dyDescent="0.2">
      <c r="F42" s="163"/>
      <c r="G42" s="94"/>
    </row>
    <row r="43" spans="2:20" x14ac:dyDescent="0.2">
      <c r="B43" s="1" t="s">
        <v>528</v>
      </c>
      <c r="C43" s="1"/>
      <c r="D43" s="1"/>
      <c r="E43" s="1"/>
      <c r="F43" s="162"/>
      <c r="G43" s="160"/>
      <c r="H43" s="1"/>
      <c r="I43" s="1"/>
      <c r="J43" s="1"/>
      <c r="K43" s="1"/>
      <c r="L43" s="1"/>
      <c r="M43" s="1"/>
      <c r="N43" s="1"/>
      <c r="O43" s="1"/>
      <c r="P43" s="1"/>
      <c r="Q43" s="1"/>
      <c r="R43" s="1"/>
      <c r="S43" s="1"/>
      <c r="T43" s="1"/>
    </row>
    <row r="44" spans="2:20" x14ac:dyDescent="0.2">
      <c r="F44" s="163"/>
      <c r="G44" s="94"/>
    </row>
    <row r="45" spans="2:20" ht="34.200000000000003" x14ac:dyDescent="0.2">
      <c r="F45" s="164" t="s">
        <v>551</v>
      </c>
      <c r="G45" s="94"/>
    </row>
    <row r="46" spans="2:20" x14ac:dyDescent="0.2">
      <c r="F46" s="163"/>
      <c r="G46" s="94"/>
    </row>
    <row r="47" spans="2:20" ht="45.6" x14ac:dyDescent="0.2">
      <c r="F47" s="164" t="s">
        <v>552</v>
      </c>
      <c r="G47" s="94"/>
    </row>
    <row r="48" spans="2:20" x14ac:dyDescent="0.2">
      <c r="F48" s="212" t="s">
        <v>257</v>
      </c>
      <c r="G48" s="94"/>
    </row>
    <row r="49" spans="2:20" x14ac:dyDescent="0.2">
      <c r="F49" s="212" t="s">
        <v>258</v>
      </c>
      <c r="G49" s="94"/>
    </row>
    <row r="50" spans="2:20" x14ac:dyDescent="0.2">
      <c r="F50" s="219" t="s">
        <v>259</v>
      </c>
      <c r="G50" s="94"/>
    </row>
    <row r="51" spans="2:20" ht="22.8" x14ac:dyDescent="0.2">
      <c r="F51" s="212" t="s">
        <v>260</v>
      </c>
      <c r="G51" s="94"/>
    </row>
    <row r="52" spans="2:20" ht="22.8" x14ac:dyDescent="0.2">
      <c r="F52" s="212" t="s">
        <v>261</v>
      </c>
    </row>
    <row r="53" spans="2:20" x14ac:dyDescent="0.2">
      <c r="G53" s="94"/>
    </row>
    <row r="54" spans="2:20" x14ac:dyDescent="0.2">
      <c r="G54" s="94"/>
    </row>
    <row r="55" spans="2:20" x14ac:dyDescent="0.2">
      <c r="B55" s="1" t="s">
        <v>529</v>
      </c>
      <c r="C55" s="1"/>
      <c r="D55" s="1"/>
      <c r="E55" s="1"/>
      <c r="F55" s="162"/>
      <c r="G55" s="160"/>
      <c r="H55" s="1"/>
      <c r="I55" s="1"/>
      <c r="J55" s="1"/>
      <c r="K55" s="1"/>
      <c r="L55" s="1"/>
      <c r="M55" s="1"/>
      <c r="N55" s="1"/>
      <c r="O55" s="1"/>
      <c r="P55" s="1"/>
      <c r="Q55" s="1"/>
      <c r="R55" s="1"/>
      <c r="S55" s="1"/>
      <c r="T55" s="1"/>
    </row>
    <row r="56" spans="2:20" x14ac:dyDescent="0.2">
      <c r="F56" s="163"/>
      <c r="G56" s="94"/>
    </row>
    <row r="57" spans="2:20" ht="34.200000000000003" x14ac:dyDescent="0.2">
      <c r="F57" s="218" t="s">
        <v>567</v>
      </c>
      <c r="G57" s="94"/>
    </row>
    <row r="58" spans="2:20" x14ac:dyDescent="0.2">
      <c r="G58" s="94"/>
    </row>
    <row r="59" spans="2:20" x14ac:dyDescent="0.2">
      <c r="G59" s="94"/>
    </row>
    <row r="60" spans="2:20" ht="34.200000000000003" x14ac:dyDescent="0.2">
      <c r="F60" s="217" t="s">
        <v>568</v>
      </c>
      <c r="G60" s="94"/>
    </row>
    <row r="61" spans="2:20" x14ac:dyDescent="0.2">
      <c r="F61" s="211" t="s">
        <v>264</v>
      </c>
      <c r="G61" s="94"/>
    </row>
    <row r="62" spans="2:20" ht="22.8" x14ac:dyDescent="0.2">
      <c r="F62" s="211" t="s">
        <v>266</v>
      </c>
      <c r="G62" s="94"/>
    </row>
    <row r="63" spans="2:20" ht="22.8" x14ac:dyDescent="0.2">
      <c r="F63" s="211" t="s">
        <v>263</v>
      </c>
      <c r="G63" s="94"/>
    </row>
    <row r="64" spans="2:20" ht="45.6" x14ac:dyDescent="0.2">
      <c r="F64" s="211" t="s">
        <v>265</v>
      </c>
      <c r="G64" s="94"/>
    </row>
    <row r="65" spans="2:20" x14ac:dyDescent="0.2">
      <c r="B65" s="1" t="s">
        <v>530</v>
      </c>
      <c r="C65" s="1"/>
      <c r="D65" s="1"/>
      <c r="E65" s="1"/>
      <c r="F65" s="162"/>
      <c r="G65" s="160"/>
      <c r="H65" s="1"/>
      <c r="I65" s="1"/>
      <c r="J65" s="1"/>
      <c r="K65" s="1"/>
      <c r="L65" s="1"/>
      <c r="M65" s="1"/>
      <c r="N65" s="1"/>
      <c r="O65" s="1"/>
      <c r="P65" s="1"/>
      <c r="Q65" s="1"/>
      <c r="R65" s="1"/>
      <c r="S65" s="1"/>
      <c r="T65" s="1"/>
    </row>
    <row r="66" spans="2:20" x14ac:dyDescent="0.2">
      <c r="F66" s="163"/>
      <c r="G66" s="94"/>
    </row>
    <row r="67" spans="2:20" x14ac:dyDescent="0.2">
      <c r="F67" s="171"/>
      <c r="G67" s="94"/>
    </row>
    <row r="68" spans="2:20" x14ac:dyDescent="0.2">
      <c r="F68" s="216" t="s">
        <v>468</v>
      </c>
      <c r="G68" s="94"/>
    </row>
    <row r="69" spans="2:20" x14ac:dyDescent="0.2">
      <c r="G69" s="94"/>
    </row>
    <row r="70" spans="2:20" x14ac:dyDescent="0.2">
      <c r="F70" s="169"/>
      <c r="G70" s="94"/>
    </row>
    <row r="71" spans="2:20" x14ac:dyDescent="0.2">
      <c r="F71" s="170"/>
      <c r="G71" s="94"/>
    </row>
    <row r="72" spans="2:20" x14ac:dyDescent="0.2">
      <c r="F72" s="170"/>
      <c r="G72" s="94"/>
    </row>
    <row r="73" spans="2:20" x14ac:dyDescent="0.2">
      <c r="F73" s="163"/>
      <c r="G73" s="94"/>
    </row>
    <row r="74" spans="2:20" x14ac:dyDescent="0.2">
      <c r="F74" s="163"/>
      <c r="G74" s="94"/>
    </row>
    <row r="75" spans="2:20" x14ac:dyDescent="0.2">
      <c r="F75" s="163"/>
      <c r="G75" s="94"/>
    </row>
    <row r="76" spans="2:20" x14ac:dyDescent="0.2">
      <c r="F76" s="163"/>
      <c r="G76" s="94"/>
    </row>
    <row r="77" spans="2:20" x14ac:dyDescent="0.2">
      <c r="F77" s="163"/>
      <c r="G77" s="94"/>
    </row>
    <row r="78" spans="2:20" x14ac:dyDescent="0.2">
      <c r="B78" s="1" t="s">
        <v>531</v>
      </c>
      <c r="C78" s="1"/>
      <c r="D78" s="1"/>
      <c r="E78" s="1"/>
      <c r="F78" s="162"/>
      <c r="G78" s="160"/>
      <c r="H78" s="1"/>
      <c r="I78" s="1"/>
      <c r="J78" s="1"/>
      <c r="K78" s="1"/>
      <c r="L78" s="1"/>
      <c r="M78" s="1"/>
      <c r="N78" s="1"/>
      <c r="O78" s="1"/>
      <c r="P78" s="1"/>
      <c r="Q78" s="1"/>
      <c r="R78" s="1"/>
      <c r="S78" s="1"/>
      <c r="T78" s="1"/>
    </row>
    <row r="79" spans="2:20" x14ac:dyDescent="0.2">
      <c r="F79" s="163"/>
      <c r="G79" s="94"/>
      <c r="R79" s="166"/>
    </row>
    <row r="80" spans="2:20" x14ac:dyDescent="0.2">
      <c r="F80" s="163"/>
      <c r="G80" s="94"/>
    </row>
    <row r="81" spans="3:14" x14ac:dyDescent="0.2">
      <c r="F81" s="164" t="s">
        <v>268</v>
      </c>
      <c r="G81" s="94"/>
    </row>
    <row r="82" spans="3:14" ht="12.75" customHeight="1" x14ac:dyDescent="0.2">
      <c r="F82" s="211" t="s">
        <v>269</v>
      </c>
      <c r="G82" s="94"/>
    </row>
    <row r="83" spans="3:14" ht="22.8" x14ac:dyDescent="0.2">
      <c r="F83" s="211" t="s">
        <v>272</v>
      </c>
      <c r="G83" s="94"/>
    </row>
    <row r="84" spans="3:14" ht="34.200000000000003" x14ac:dyDescent="0.2">
      <c r="F84" s="211" t="s">
        <v>270</v>
      </c>
      <c r="G84" s="94"/>
    </row>
    <row r="85" spans="3:14" ht="34.200000000000003" x14ac:dyDescent="0.2">
      <c r="F85" s="211" t="s">
        <v>271</v>
      </c>
    </row>
    <row r="86" spans="3:14" x14ac:dyDescent="0.2">
      <c r="G86" s="94"/>
    </row>
    <row r="87" spans="3:14" x14ac:dyDescent="0.2">
      <c r="F87" s="431" t="s">
        <v>280</v>
      </c>
      <c r="G87" s="431"/>
      <c r="H87" s="431"/>
      <c r="I87" s="431"/>
      <c r="J87" s="431"/>
      <c r="K87" s="431"/>
    </row>
    <row r="88" spans="3:14" x14ac:dyDescent="0.2">
      <c r="F88" s="432" t="s">
        <v>277</v>
      </c>
      <c r="G88" s="432"/>
      <c r="H88" s="432"/>
      <c r="I88" s="432"/>
      <c r="J88" s="432"/>
      <c r="K88" s="432"/>
    </row>
    <row r="89" spans="3:14" ht="12" customHeight="1" x14ac:dyDescent="0.2">
      <c r="F89" s="215" t="s">
        <v>278</v>
      </c>
      <c r="G89" s="172"/>
      <c r="H89" s="172"/>
      <c r="I89" s="172"/>
      <c r="J89" s="172"/>
      <c r="K89" s="172"/>
    </row>
    <row r="90" spans="3:14" ht="12" customHeight="1" x14ac:dyDescent="0.2">
      <c r="F90" s="173" t="s">
        <v>279</v>
      </c>
      <c r="G90" s="173"/>
      <c r="H90" s="173"/>
      <c r="I90" s="173"/>
      <c r="J90" s="173"/>
      <c r="K90" s="173"/>
    </row>
    <row r="91" spans="3:14" x14ac:dyDescent="0.2">
      <c r="G91" s="94"/>
    </row>
    <row r="92" spans="3:14" x14ac:dyDescent="0.2">
      <c r="G92" s="94"/>
    </row>
    <row r="93" spans="3:14" ht="12" x14ac:dyDescent="0.2">
      <c r="C93" s="50"/>
      <c r="D93" s="50"/>
      <c r="E93" s="50"/>
      <c r="F93" s="14" t="s">
        <v>323</v>
      </c>
      <c r="G93" s="14" t="s">
        <v>12</v>
      </c>
      <c r="H93" s="10"/>
      <c r="I93" s="10"/>
      <c r="J93" s="10"/>
      <c r="K93" s="10"/>
      <c r="L93" s="10"/>
      <c r="M93" s="125" t="s">
        <v>13</v>
      </c>
      <c r="N93" s="125"/>
    </row>
    <row r="94" spans="3:14" x14ac:dyDescent="0.2">
      <c r="F94"/>
    </row>
    <row r="95" spans="3:14" ht="12" hidden="1" x14ac:dyDescent="0.2">
      <c r="F95" s="3" t="s">
        <v>247</v>
      </c>
    </row>
    <row r="96" spans="3:14" hidden="1" x14ac:dyDescent="0.2">
      <c r="F96"/>
    </row>
    <row r="97" spans="2:15" hidden="1" x14ac:dyDescent="0.2">
      <c r="C97" s="168"/>
      <c r="D97" s="168"/>
      <c r="E97" s="168"/>
      <c r="F97" s="168" t="s">
        <v>14</v>
      </c>
      <c r="M97" s="129" t="s">
        <v>14</v>
      </c>
      <c r="N97" s="129"/>
    </row>
    <row r="98" spans="2:15" hidden="1" x14ac:dyDescent="0.2">
      <c r="C98" s="167"/>
      <c r="D98" s="167"/>
      <c r="E98" s="167"/>
      <c r="F98" s="167"/>
    </row>
    <row r="99" spans="2:15" hidden="1" x14ac:dyDescent="0.2">
      <c r="C99" s="168"/>
      <c r="D99" s="168"/>
      <c r="E99" s="168"/>
      <c r="F99" s="168" t="s">
        <v>15</v>
      </c>
      <c r="G99" s="430" t="s">
        <v>16</v>
      </c>
      <c r="H99" s="430"/>
      <c r="I99" s="430"/>
      <c r="J99" s="430"/>
      <c r="K99" s="430"/>
      <c r="L99" s="430"/>
      <c r="M99" s="129" t="s">
        <v>15</v>
      </c>
      <c r="N99" s="130"/>
    </row>
    <row r="100" spans="2:15" hidden="1" x14ac:dyDescent="0.2">
      <c r="C100" s="167"/>
      <c r="D100" s="167"/>
      <c r="E100" s="167"/>
      <c r="F100" s="167"/>
    </row>
    <row r="101" spans="2:15" hidden="1" x14ac:dyDescent="0.2">
      <c r="C101" s="168"/>
      <c r="D101" s="168"/>
      <c r="E101" s="168"/>
      <c r="F101" s="168" t="s">
        <v>17</v>
      </c>
      <c r="G101" s="430" t="s">
        <v>18</v>
      </c>
      <c r="H101" s="430"/>
      <c r="I101" s="430"/>
      <c r="J101" s="430"/>
      <c r="K101" s="430"/>
      <c r="L101" s="430"/>
      <c r="M101" s="129" t="s">
        <v>17</v>
      </c>
      <c r="N101" s="131"/>
    </row>
    <row r="102" spans="2:15" hidden="1" x14ac:dyDescent="0.2">
      <c r="C102" s="168"/>
      <c r="D102" s="168"/>
      <c r="E102" s="168"/>
      <c r="F102" s="168"/>
      <c r="G102" s="430"/>
      <c r="H102" s="430"/>
      <c r="I102" s="430"/>
      <c r="J102" s="430"/>
      <c r="K102" s="430"/>
      <c r="L102" s="430"/>
    </row>
    <row r="103" spans="2:15" hidden="1" x14ac:dyDescent="0.2">
      <c r="C103" s="167"/>
      <c r="D103" s="167"/>
      <c r="E103" s="167"/>
      <c r="F103" s="167"/>
    </row>
    <row r="104" spans="2:15" ht="12" hidden="1" x14ac:dyDescent="0.2">
      <c r="C104" s="168"/>
      <c r="D104" s="168"/>
      <c r="E104" s="168"/>
      <c r="F104" s="168" t="s">
        <v>11</v>
      </c>
      <c r="G104" s="430" t="s">
        <v>19</v>
      </c>
      <c r="H104" s="430"/>
      <c r="I104" s="430"/>
      <c r="J104" s="430"/>
      <c r="K104" s="430"/>
      <c r="L104" s="430"/>
      <c r="M104" s="214" t="s">
        <v>11</v>
      </c>
      <c r="N104" s="128"/>
    </row>
    <row r="105" spans="2:15" hidden="1" x14ac:dyDescent="0.2">
      <c r="C105" s="167"/>
      <c r="D105" s="167"/>
      <c r="E105" s="167"/>
      <c r="F105" s="167"/>
    </row>
    <row r="106" spans="2:15" hidden="1" x14ac:dyDescent="0.2">
      <c r="C106" s="167"/>
      <c r="D106" s="167"/>
      <c r="E106" s="167"/>
      <c r="F106" s="167"/>
    </row>
    <row r="107" spans="2:15" hidden="1" x14ac:dyDescent="0.2">
      <c r="C107" s="168"/>
      <c r="D107" s="168"/>
      <c r="E107" s="168"/>
      <c r="F107" s="168" t="s">
        <v>20</v>
      </c>
      <c r="G107" s="430" t="s">
        <v>21</v>
      </c>
      <c r="H107" s="430"/>
      <c r="I107" s="430"/>
      <c r="J107" s="430"/>
      <c r="K107" s="430"/>
      <c r="L107" s="430"/>
      <c r="M107" s="127" t="s">
        <v>20</v>
      </c>
      <c r="N107" s="127"/>
    </row>
    <row r="108" spans="2:15" x14ac:dyDescent="0.2">
      <c r="B108" s="168"/>
      <c r="C108" s="168"/>
      <c r="D108" s="168"/>
      <c r="E108" s="168"/>
      <c r="F108" s="168"/>
      <c r="G108" s="430"/>
      <c r="H108" s="430"/>
      <c r="I108" s="430"/>
      <c r="J108" s="430"/>
      <c r="K108" s="430"/>
      <c r="L108" s="430"/>
    </row>
    <row r="109" spans="2:15" ht="12" x14ac:dyDescent="0.2">
      <c r="C109" s="126"/>
      <c r="D109" s="126"/>
      <c r="E109" s="126"/>
      <c r="F109" s="3" t="s">
        <v>248</v>
      </c>
      <c r="G109" s="126"/>
      <c r="H109" s="126"/>
      <c r="I109" s="126"/>
      <c r="J109" s="126"/>
      <c r="K109" s="126"/>
      <c r="L109" s="126"/>
    </row>
    <row r="110" spans="2:15" x14ac:dyDescent="0.2">
      <c r="B110" s="126"/>
      <c r="C110" s="126"/>
      <c r="D110" s="126"/>
      <c r="E110" s="126"/>
      <c r="F110" s="168" t="s">
        <v>170</v>
      </c>
      <c r="G110" s="126"/>
      <c r="H110" s="126"/>
      <c r="I110" s="126"/>
      <c r="J110" s="126"/>
      <c r="K110" s="126"/>
      <c r="L110" s="126"/>
      <c r="M110" s="213" t="s">
        <v>251</v>
      </c>
    </row>
    <row r="111" spans="2:15" x14ac:dyDescent="0.2">
      <c r="B111" s="126"/>
      <c r="C111" s="126"/>
      <c r="D111" s="126"/>
      <c r="E111" s="126"/>
      <c r="F111" s="168" t="s">
        <v>353</v>
      </c>
      <c r="G111" s="126"/>
      <c r="H111" s="126"/>
      <c r="I111" s="126"/>
      <c r="J111" s="126"/>
      <c r="K111" s="126"/>
      <c r="L111" s="126"/>
      <c r="M111" s="426" t="s">
        <v>293</v>
      </c>
      <c r="N111" s="426"/>
      <c r="O111" s="426"/>
    </row>
    <row r="112" spans="2:15" x14ac:dyDescent="0.2">
      <c r="B112" s="126"/>
      <c r="C112" s="126"/>
      <c r="D112" s="126"/>
      <c r="E112" s="126"/>
      <c r="F112" s="168" t="s">
        <v>168</v>
      </c>
      <c r="G112" s="126"/>
      <c r="H112" s="126"/>
      <c r="I112" s="126"/>
      <c r="J112" s="126"/>
      <c r="K112" s="126"/>
      <c r="L112" s="126"/>
      <c r="M112" s="251" t="s">
        <v>168</v>
      </c>
    </row>
    <row r="113" spans="2:20" x14ac:dyDescent="0.2">
      <c r="B113" s="126"/>
      <c r="C113" s="126"/>
      <c r="D113" s="126"/>
      <c r="E113" s="126"/>
      <c r="F113" s="168" t="s">
        <v>167</v>
      </c>
      <c r="G113" s="126"/>
      <c r="H113" s="126"/>
      <c r="I113" s="126"/>
      <c r="J113" s="126"/>
      <c r="K113" s="126"/>
      <c r="L113" s="126"/>
      <c r="M113" s="251" t="s">
        <v>167</v>
      </c>
    </row>
    <row r="114" spans="2:20" x14ac:dyDescent="0.2">
      <c r="F114" s="212" t="s">
        <v>252</v>
      </c>
      <c r="G114" s="94"/>
      <c r="M114" s="252" t="s">
        <v>294</v>
      </c>
    </row>
    <row r="115" spans="2:20" x14ac:dyDescent="0.2">
      <c r="F115" s="163"/>
      <c r="G115" s="94"/>
    </row>
    <row r="116" spans="2:20" x14ac:dyDescent="0.2">
      <c r="F116" s="134" t="s">
        <v>308</v>
      </c>
      <c r="G116" s="94"/>
    </row>
    <row r="117" spans="2:20" x14ac:dyDescent="0.2">
      <c r="F117" s="134" t="s">
        <v>309</v>
      </c>
      <c r="G117" s="94"/>
    </row>
    <row r="118" spans="2:20" x14ac:dyDescent="0.2">
      <c r="F118"/>
      <c r="G118" s="94"/>
    </row>
    <row r="119" spans="2:20" x14ac:dyDescent="0.2">
      <c r="B119" s="1" t="s">
        <v>532</v>
      </c>
      <c r="C119" s="1"/>
      <c r="D119" s="1"/>
      <c r="E119" s="1"/>
      <c r="F119" s="162"/>
      <c r="G119" s="160"/>
      <c r="H119" s="1"/>
      <c r="I119" s="1"/>
      <c r="J119" s="1"/>
      <c r="K119" s="1"/>
      <c r="L119" s="1"/>
      <c r="M119" s="1"/>
      <c r="N119" s="1"/>
      <c r="O119" s="1"/>
      <c r="P119" s="1"/>
      <c r="Q119" s="1"/>
      <c r="R119" s="1"/>
      <c r="S119" s="1"/>
      <c r="T119" s="1"/>
    </row>
    <row r="120" spans="2:20" x14ac:dyDescent="0.2">
      <c r="F120" s="163"/>
      <c r="G120" s="94"/>
    </row>
    <row r="121" spans="2:20" x14ac:dyDescent="0.2">
      <c r="F121" s="164" t="s">
        <v>274</v>
      </c>
      <c r="G121" s="94"/>
    </row>
    <row r="122" spans="2:20" ht="22.8" x14ac:dyDescent="0.2">
      <c r="F122" s="211" t="s">
        <v>275</v>
      </c>
      <c r="G122" s="94"/>
    </row>
    <row r="123" spans="2:20" ht="11.25" customHeight="1" x14ac:dyDescent="0.2">
      <c r="F123" s="211" t="s">
        <v>276</v>
      </c>
      <c r="G123" s="94"/>
    </row>
    <row r="124" spans="2:20" x14ac:dyDescent="0.2">
      <c r="F124" s="163"/>
      <c r="G124" s="94"/>
    </row>
    <row r="126" spans="2:20" ht="12" customHeight="1" x14ac:dyDescent="0.2">
      <c r="F126" s="172"/>
      <c r="G126" s="172"/>
      <c r="H126" s="172"/>
      <c r="I126" s="172"/>
      <c r="J126" s="172"/>
      <c r="K126" s="172"/>
    </row>
    <row r="127" spans="2:20" ht="12" customHeight="1" x14ac:dyDescent="0.2">
      <c r="F127" s="172"/>
      <c r="G127" s="172"/>
      <c r="H127" s="172"/>
      <c r="I127" s="172"/>
      <c r="J127" s="172"/>
      <c r="K127" s="172"/>
    </row>
    <row r="128" spans="2:20" x14ac:dyDescent="0.2">
      <c r="F128" s="163"/>
      <c r="G128" s="94"/>
    </row>
    <row r="129" spans="2:20" x14ac:dyDescent="0.2">
      <c r="B129" s="1" t="s">
        <v>533</v>
      </c>
      <c r="C129" s="1"/>
      <c r="D129" s="1"/>
      <c r="E129" s="1"/>
      <c r="F129" s="162"/>
      <c r="G129" s="160"/>
      <c r="H129" s="1"/>
      <c r="I129" s="1"/>
      <c r="J129" s="1"/>
      <c r="K129" s="1"/>
      <c r="L129" s="1"/>
      <c r="M129" s="1"/>
      <c r="N129" s="1"/>
      <c r="O129" s="1"/>
      <c r="P129" s="1"/>
      <c r="Q129" s="1"/>
      <c r="R129" s="1"/>
      <c r="S129" s="1"/>
      <c r="T129" s="1"/>
    </row>
    <row r="130" spans="2:20" x14ac:dyDescent="0.2">
      <c r="F130" s="163"/>
      <c r="G130" s="94"/>
    </row>
    <row r="131" spans="2:20" x14ac:dyDescent="0.2">
      <c r="F131" s="163"/>
      <c r="G131" s="94"/>
    </row>
    <row r="132" spans="2:20" x14ac:dyDescent="0.2">
      <c r="F132" s="164" t="s">
        <v>273</v>
      </c>
      <c r="G132" s="94"/>
    </row>
    <row r="133" spans="2:20" ht="12" x14ac:dyDescent="0.2">
      <c r="F133" s="163"/>
      <c r="G133" s="44" t="s">
        <v>253</v>
      </c>
    </row>
    <row r="134" spans="2:20" ht="48" customHeight="1" x14ac:dyDescent="0.2">
      <c r="F134" s="164" t="s">
        <v>255</v>
      </c>
      <c r="G134" s="427" t="s">
        <v>254</v>
      </c>
      <c r="H134" s="428"/>
      <c r="I134" s="428"/>
      <c r="J134" s="429"/>
    </row>
    <row r="135" spans="2:20" x14ac:dyDescent="0.2">
      <c r="F135" s="163"/>
      <c r="G135" s="94"/>
    </row>
    <row r="136" spans="2:20" x14ac:dyDescent="0.2">
      <c r="F136" s="163"/>
      <c r="G136" s="94"/>
    </row>
    <row r="137" spans="2:20" x14ac:dyDescent="0.2">
      <c r="B137" s="1" t="s">
        <v>517</v>
      </c>
      <c r="C137" s="1"/>
      <c r="D137" s="1"/>
      <c r="E137" s="1"/>
      <c r="F137" s="162"/>
      <c r="G137" s="160"/>
      <c r="H137" s="1"/>
      <c r="I137" s="1"/>
      <c r="J137" s="1"/>
      <c r="K137" s="1"/>
      <c r="L137" s="1"/>
      <c r="M137" s="1"/>
      <c r="N137" s="1"/>
      <c r="O137" s="1"/>
    </row>
    <row r="138" spans="2:20" x14ac:dyDescent="0.2">
      <c r="F138" s="163"/>
      <c r="G138" s="94"/>
    </row>
    <row r="139" spans="2:20" ht="22.8" x14ac:dyDescent="0.2">
      <c r="F139" s="164" t="s">
        <v>518</v>
      </c>
      <c r="G139" s="94"/>
    </row>
    <row r="140" spans="2:20" x14ac:dyDescent="0.2">
      <c r="F140" s="100" t="s">
        <v>519</v>
      </c>
    </row>
    <row r="141" spans="2:20" x14ac:dyDescent="0.2">
      <c r="F141" s="163"/>
      <c r="G141" s="94"/>
    </row>
    <row r="142" spans="2:20" x14ac:dyDescent="0.2">
      <c r="F142" s="163"/>
      <c r="G142" s="94"/>
    </row>
    <row r="143" spans="2:20" x14ac:dyDescent="0.2">
      <c r="B143" s="1" t="s">
        <v>534</v>
      </c>
      <c r="C143" s="1"/>
      <c r="D143" s="1"/>
      <c r="E143" s="1"/>
      <c r="F143" s="162"/>
      <c r="G143" s="160"/>
    </row>
    <row r="144" spans="2:20" x14ac:dyDescent="0.2">
      <c r="F144" s="163"/>
      <c r="G144" s="94"/>
    </row>
    <row r="145" spans="2:7" x14ac:dyDescent="0.2">
      <c r="F145" s="164" t="s">
        <v>297</v>
      </c>
      <c r="G145" s="94"/>
    </row>
    <row r="146" spans="2:7" x14ac:dyDescent="0.2">
      <c r="F146" s="164" t="s">
        <v>298</v>
      </c>
      <c r="G146" s="94"/>
    </row>
    <row r="147" spans="2:7" x14ac:dyDescent="0.2">
      <c r="F147" s="164" t="s">
        <v>299</v>
      </c>
      <c r="G147" s="94"/>
    </row>
    <row r="148" spans="2:7" ht="22.8" x14ac:dyDescent="0.2">
      <c r="F148" s="164" t="s">
        <v>300</v>
      </c>
      <c r="G148" s="94"/>
    </row>
    <row r="149" spans="2:7" x14ac:dyDescent="0.2">
      <c r="F149" s="163"/>
      <c r="G149" s="94"/>
    </row>
    <row r="150" spans="2:7" x14ac:dyDescent="0.2">
      <c r="F150" s="163"/>
      <c r="G150" s="94"/>
    </row>
    <row r="151" spans="2:7" x14ac:dyDescent="0.2">
      <c r="B151" s="1" t="s">
        <v>535</v>
      </c>
      <c r="C151" s="1"/>
      <c r="D151" s="1"/>
      <c r="E151" s="1"/>
      <c r="F151" s="162"/>
      <c r="G151" s="160"/>
    </row>
    <row r="152" spans="2:7" x14ac:dyDescent="0.2">
      <c r="F152" s="163"/>
      <c r="G152" s="94"/>
    </row>
    <row r="153" spans="2:7" ht="22.8" x14ac:dyDescent="0.2">
      <c r="F153" s="164" t="s">
        <v>301</v>
      </c>
      <c r="G153" s="94"/>
    </row>
    <row r="154" spans="2:7" ht="22.8" x14ac:dyDescent="0.2">
      <c r="F154" s="164" t="s">
        <v>302</v>
      </c>
      <c r="G154" s="94"/>
    </row>
    <row r="155" spans="2:7" x14ac:dyDescent="0.2">
      <c r="F155" s="164" t="s">
        <v>303</v>
      </c>
      <c r="G155" s="94"/>
    </row>
    <row r="156" spans="2:7" x14ac:dyDescent="0.2">
      <c r="F156" s="163"/>
      <c r="G156" s="94"/>
    </row>
    <row r="157" spans="2:7" x14ac:dyDescent="0.2">
      <c r="F157" s="163"/>
      <c r="G157" s="94"/>
    </row>
    <row r="158" spans="2:7" x14ac:dyDescent="0.2">
      <c r="B158" s="1" t="s">
        <v>536</v>
      </c>
      <c r="C158" s="1"/>
      <c r="D158" s="1"/>
      <c r="E158" s="1"/>
      <c r="F158" s="162"/>
      <c r="G158" s="160"/>
    </row>
    <row r="159" spans="2:7" x14ac:dyDescent="0.2">
      <c r="F159"/>
    </row>
    <row r="160" spans="2:7" x14ac:dyDescent="0.2">
      <c r="F160" s="134" t="s">
        <v>324</v>
      </c>
    </row>
    <row r="161" spans="2:7" x14ac:dyDescent="0.2">
      <c r="F161" s="134" t="s">
        <v>325</v>
      </c>
    </row>
    <row r="162" spans="2:7" x14ac:dyDescent="0.2">
      <c r="F162" s="163"/>
      <c r="G162" s="94"/>
    </row>
    <row r="163" spans="2:7" x14ac:dyDescent="0.2">
      <c r="F163" s="163"/>
      <c r="G163" s="94"/>
    </row>
    <row r="164" spans="2:7" x14ac:dyDescent="0.2">
      <c r="F164" s="163"/>
      <c r="G164" s="94"/>
    </row>
    <row r="165" spans="2:7" hidden="1" x14ac:dyDescent="0.2">
      <c r="B165" s="1" t="s">
        <v>340</v>
      </c>
      <c r="C165" s="1"/>
      <c r="D165" s="1"/>
      <c r="E165" s="1"/>
      <c r="F165" s="162"/>
      <c r="G165" s="160"/>
    </row>
    <row r="166" spans="2:7" hidden="1" x14ac:dyDescent="0.2">
      <c r="F166" s="163"/>
      <c r="G166" s="94"/>
    </row>
    <row r="167" spans="2:7" hidden="1" x14ac:dyDescent="0.2">
      <c r="F167" s="134" t="s">
        <v>304</v>
      </c>
      <c r="G167" s="94"/>
    </row>
    <row r="168" spans="2:7" hidden="1" x14ac:dyDescent="0.2">
      <c r="F168" s="134" t="s">
        <v>305</v>
      </c>
      <c r="G168" s="94"/>
    </row>
    <row r="169" spans="2:7" hidden="1" x14ac:dyDescent="0.2">
      <c r="F169" s="134" t="s">
        <v>306</v>
      </c>
      <c r="G169" s="94"/>
    </row>
    <row r="170" spans="2:7" hidden="1" x14ac:dyDescent="0.2">
      <c r="F170" s="134" t="s">
        <v>307</v>
      </c>
      <c r="G170" s="94"/>
    </row>
    <row r="171" spans="2:7" hidden="1" x14ac:dyDescent="0.2">
      <c r="F171" s="134" t="s">
        <v>310</v>
      </c>
      <c r="G171" s="94"/>
    </row>
    <row r="172" spans="2:7" hidden="1" x14ac:dyDescent="0.2">
      <c r="F172" s="134" t="s">
        <v>311</v>
      </c>
      <c r="G172" s="94"/>
    </row>
    <row r="173" spans="2:7" hidden="1" x14ac:dyDescent="0.2">
      <c r="F173" s="134" t="s">
        <v>341</v>
      </c>
      <c r="G173" s="94"/>
    </row>
    <row r="174" spans="2:7" hidden="1" x14ac:dyDescent="0.2">
      <c r="F174" s="134" t="s">
        <v>312</v>
      </c>
      <c r="G174" s="94"/>
    </row>
    <row r="175" spans="2:7" hidden="1" x14ac:dyDescent="0.2">
      <c r="F175" s="134" t="s">
        <v>313</v>
      </c>
      <c r="G175" s="94"/>
    </row>
    <row r="176" spans="2:7" hidden="1" x14ac:dyDescent="0.2">
      <c r="F176" s="134" t="s">
        <v>314</v>
      </c>
      <c r="G176" s="94"/>
    </row>
    <row r="177" spans="2:7" hidden="1" x14ac:dyDescent="0.2">
      <c r="F177" s="134" t="s">
        <v>315</v>
      </c>
      <c r="G177" s="94"/>
    </row>
    <row r="178" spans="2:7" hidden="1" x14ac:dyDescent="0.2">
      <c r="F178" s="134" t="s">
        <v>316</v>
      </c>
      <c r="G178" s="94"/>
    </row>
    <row r="179" spans="2:7" x14ac:dyDescent="0.2">
      <c r="F179" s="163"/>
      <c r="G179" s="94"/>
    </row>
    <row r="180" spans="2:7" x14ac:dyDescent="0.2">
      <c r="F180" s="163"/>
      <c r="G180" s="94"/>
    </row>
    <row r="181" spans="2:7" x14ac:dyDescent="0.2">
      <c r="F181" s="163"/>
      <c r="G181" s="94"/>
    </row>
    <row r="182" spans="2:7" x14ac:dyDescent="0.2">
      <c r="F182" s="163"/>
      <c r="G182" s="94"/>
    </row>
    <row r="183" spans="2:7" x14ac:dyDescent="0.2">
      <c r="F183" s="163"/>
      <c r="G183" s="94"/>
    </row>
    <row r="184" spans="2:7" x14ac:dyDescent="0.2">
      <c r="F184" s="163"/>
      <c r="G184" s="94"/>
    </row>
    <row r="185" spans="2:7" hidden="1" x14ac:dyDescent="0.2">
      <c r="B185" s="1" t="s">
        <v>342</v>
      </c>
      <c r="C185" s="1"/>
      <c r="D185" s="1"/>
      <c r="E185" s="1"/>
      <c r="F185" s="162"/>
      <c r="G185" s="160"/>
    </row>
    <row r="186" spans="2:7" ht="10.5" hidden="1" customHeight="1" x14ac:dyDescent="0.2">
      <c r="F186"/>
    </row>
    <row r="187" spans="2:7" hidden="1" x14ac:dyDescent="0.2">
      <c r="C187" s="134" t="s">
        <v>317</v>
      </c>
      <c r="F187" s="163"/>
      <c r="G187" s="94"/>
    </row>
    <row r="188" spans="2:7" hidden="1" x14ac:dyDescent="0.2">
      <c r="C188" s="134" t="s">
        <v>318</v>
      </c>
      <c r="F188" s="163"/>
      <c r="G188" s="94"/>
    </row>
    <row r="189" spans="2:7" hidden="1" x14ac:dyDescent="0.2">
      <c r="C189" s="134" t="s">
        <v>319</v>
      </c>
      <c r="F189" s="163"/>
      <c r="G189" s="94"/>
    </row>
    <row r="190" spans="2:7" hidden="1" x14ac:dyDescent="0.2">
      <c r="C190" s="134" t="s">
        <v>320</v>
      </c>
      <c r="F190" s="163"/>
      <c r="G190" s="94"/>
    </row>
    <row r="191" spans="2:7" hidden="1" x14ac:dyDescent="0.2">
      <c r="C191" s="134" t="s">
        <v>321</v>
      </c>
      <c r="F191" s="163"/>
      <c r="G191" s="94"/>
    </row>
    <row r="192" spans="2:7" hidden="1" x14ac:dyDescent="0.2">
      <c r="C192" s="134" t="s">
        <v>184</v>
      </c>
      <c r="F192" s="163"/>
      <c r="G192" s="94"/>
    </row>
    <row r="193" spans="2:7" hidden="1" x14ac:dyDescent="0.2">
      <c r="C193" s="134" t="s">
        <v>322</v>
      </c>
      <c r="F193" s="163"/>
      <c r="G193" s="94"/>
    </row>
    <row r="194" spans="2:7" hidden="1" x14ac:dyDescent="0.2">
      <c r="C194" s="134" t="s">
        <v>354</v>
      </c>
      <c r="F194" s="163"/>
      <c r="G194" s="94"/>
    </row>
    <row r="195" spans="2:7" hidden="1" x14ac:dyDescent="0.2">
      <c r="C195" s="134" t="s">
        <v>376</v>
      </c>
      <c r="F195" s="163"/>
      <c r="G195" s="94"/>
    </row>
    <row r="196" spans="2:7" hidden="1" x14ac:dyDescent="0.2">
      <c r="C196" s="134" t="s">
        <v>377</v>
      </c>
      <c r="F196" s="163"/>
      <c r="G196" s="94"/>
    </row>
    <row r="197" spans="2:7" hidden="1" x14ac:dyDescent="0.2">
      <c r="C197" s="134" t="s">
        <v>355</v>
      </c>
      <c r="F197" s="163"/>
      <c r="G197" s="94"/>
    </row>
    <row r="198" spans="2:7" hidden="1" x14ac:dyDescent="0.2">
      <c r="C198" s="134" t="s">
        <v>185</v>
      </c>
      <c r="F198" s="163"/>
      <c r="G198" s="94"/>
    </row>
    <row r="199" spans="2:7" hidden="1" x14ac:dyDescent="0.2">
      <c r="C199" s="134" t="s">
        <v>186</v>
      </c>
      <c r="F199" s="163"/>
      <c r="G199" s="94"/>
    </row>
    <row r="200" spans="2:7" hidden="1" x14ac:dyDescent="0.2">
      <c r="C200" s="134" t="s">
        <v>187</v>
      </c>
      <c r="F200" s="163"/>
      <c r="G200" s="94"/>
    </row>
    <row r="201" spans="2:7" hidden="1" x14ac:dyDescent="0.2">
      <c r="C201" s="134" t="s">
        <v>356</v>
      </c>
      <c r="F201" s="163"/>
      <c r="G201" s="94"/>
    </row>
    <row r="202" spans="2:7" hidden="1" x14ac:dyDescent="0.2">
      <c r="F202" s="163"/>
      <c r="G202" s="94"/>
    </row>
    <row r="203" spans="2:7" hidden="1" x14ac:dyDescent="0.2">
      <c r="B203" s="1"/>
      <c r="C203" s="1" t="s">
        <v>188</v>
      </c>
      <c r="D203" s="1"/>
      <c r="E203" s="1"/>
      <c r="F203" s="162"/>
      <c r="G203" s="160"/>
    </row>
    <row r="204" spans="2:7" hidden="1" x14ac:dyDescent="0.2">
      <c r="C204" s="134" t="s">
        <v>189</v>
      </c>
    </row>
    <row r="205" spans="2:7" hidden="1" x14ac:dyDescent="0.2">
      <c r="C205" s="134" t="s">
        <v>357</v>
      </c>
    </row>
    <row r="206" spans="2:7" hidden="1" x14ac:dyDescent="0.2">
      <c r="C206" s="134" t="s">
        <v>190</v>
      </c>
    </row>
    <row r="207" spans="2:7" hidden="1" x14ac:dyDescent="0.2">
      <c r="C207" s="134" t="s">
        <v>191</v>
      </c>
    </row>
    <row r="208" spans="2:7" hidden="1" x14ac:dyDescent="0.2">
      <c r="C208" s="134" t="s">
        <v>192</v>
      </c>
    </row>
    <row r="209" spans="2:7" hidden="1" x14ac:dyDescent="0.2">
      <c r="C209" s="134" t="s">
        <v>358</v>
      </c>
    </row>
    <row r="210" spans="2:7" hidden="1" x14ac:dyDescent="0.2">
      <c r="C210" s="134" t="s">
        <v>193</v>
      </c>
    </row>
    <row r="211" spans="2:7" hidden="1" x14ac:dyDescent="0.2">
      <c r="C211" s="134" t="s">
        <v>359</v>
      </c>
    </row>
    <row r="212" spans="2:7" hidden="1" x14ac:dyDescent="0.2">
      <c r="C212" s="134" t="s">
        <v>194</v>
      </c>
    </row>
    <row r="213" spans="2:7" hidden="1" x14ac:dyDescent="0.2">
      <c r="C213" s="134" t="s">
        <v>360</v>
      </c>
    </row>
    <row r="214" spans="2:7" hidden="1" x14ac:dyDescent="0.2">
      <c r="C214" s="134" t="s">
        <v>195</v>
      </c>
    </row>
    <row r="215" spans="2:7" hidden="1" x14ac:dyDescent="0.2">
      <c r="C215" s="134" t="s">
        <v>361</v>
      </c>
    </row>
    <row r="216" spans="2:7" hidden="1" x14ac:dyDescent="0.2">
      <c r="C216" s="134" t="s">
        <v>196</v>
      </c>
    </row>
    <row r="217" spans="2:7" hidden="1" x14ac:dyDescent="0.2">
      <c r="C217" s="134" t="s">
        <v>362</v>
      </c>
    </row>
    <row r="218" spans="2:7" hidden="1" x14ac:dyDescent="0.2">
      <c r="C218" s="134" t="s">
        <v>197</v>
      </c>
    </row>
    <row r="219" spans="2:7" hidden="1" x14ac:dyDescent="0.2">
      <c r="C219" s="134" t="s">
        <v>363</v>
      </c>
    </row>
    <row r="220" spans="2:7" hidden="1" x14ac:dyDescent="0.2"/>
    <row r="221" spans="2:7" hidden="1" x14ac:dyDescent="0.2">
      <c r="B221" s="1"/>
      <c r="C221" s="1" t="s">
        <v>198</v>
      </c>
      <c r="D221" s="1"/>
      <c r="E221" s="1"/>
      <c r="F221" s="162"/>
      <c r="G221" s="160"/>
    </row>
    <row r="222" spans="2:7" hidden="1" x14ac:dyDescent="0.2">
      <c r="C222" s="134" t="s">
        <v>199</v>
      </c>
    </row>
    <row r="223" spans="2:7" hidden="1" x14ac:dyDescent="0.2">
      <c r="C223" s="134" t="s">
        <v>200</v>
      </c>
    </row>
    <row r="224" spans="2:7" hidden="1" x14ac:dyDescent="0.2">
      <c r="C224" s="134" t="s">
        <v>201</v>
      </c>
    </row>
    <row r="225" spans="2:7" hidden="1" x14ac:dyDescent="0.2">
      <c r="C225" s="134" t="s">
        <v>364</v>
      </c>
    </row>
    <row r="226" spans="2:7" hidden="1" x14ac:dyDescent="0.2"/>
    <row r="227" spans="2:7" hidden="1" x14ac:dyDescent="0.2">
      <c r="B227" s="1" t="s">
        <v>343</v>
      </c>
      <c r="C227" s="1"/>
      <c r="D227" s="1"/>
      <c r="E227" s="1"/>
      <c r="F227" s="162"/>
      <c r="G227" s="160"/>
    </row>
    <row r="228" spans="2:7" hidden="1" x14ac:dyDescent="0.2">
      <c r="F228"/>
    </row>
    <row r="229" spans="2:7" hidden="1" x14ac:dyDescent="0.2">
      <c r="C229" s="134" t="s">
        <v>511</v>
      </c>
    </row>
    <row r="230" spans="2:7" hidden="1" x14ac:dyDescent="0.2">
      <c r="C230" s="134" t="s">
        <v>344</v>
      </c>
    </row>
    <row r="231" spans="2:7" hidden="1" x14ac:dyDescent="0.2"/>
    <row r="232" spans="2:7" hidden="1" x14ac:dyDescent="0.2">
      <c r="B232" s="1" t="s">
        <v>345</v>
      </c>
      <c r="C232" s="1"/>
      <c r="D232" s="1"/>
      <c r="E232" s="1"/>
      <c r="F232" s="162"/>
      <c r="G232" s="160"/>
    </row>
    <row r="233" spans="2:7" hidden="1" x14ac:dyDescent="0.2">
      <c r="F233"/>
    </row>
    <row r="234" spans="2:7" hidden="1" x14ac:dyDescent="0.2">
      <c r="C234" s="134" t="s">
        <v>346</v>
      </c>
    </row>
    <row r="235" spans="2:7" hidden="1" x14ac:dyDescent="0.2">
      <c r="C235" s="134" t="s">
        <v>347</v>
      </c>
    </row>
    <row r="236" spans="2:7" hidden="1" x14ac:dyDescent="0.2">
      <c r="C236" s="134" t="s">
        <v>348</v>
      </c>
    </row>
    <row r="237" spans="2:7" hidden="1" x14ac:dyDescent="0.2">
      <c r="C237" s="134" t="s">
        <v>349</v>
      </c>
    </row>
    <row r="238" spans="2:7" hidden="1" x14ac:dyDescent="0.2">
      <c r="C238" s="134" t="s">
        <v>350</v>
      </c>
    </row>
    <row r="239" spans="2:7" hidden="1" x14ac:dyDescent="0.2">
      <c r="C239" s="134" t="s">
        <v>351</v>
      </c>
    </row>
    <row r="240" spans="2:7" hidden="1" x14ac:dyDescent="0.2"/>
    <row r="241" spans="2:7" hidden="1" x14ac:dyDescent="0.2">
      <c r="B241" s="1" t="s">
        <v>352</v>
      </c>
      <c r="C241" s="1"/>
      <c r="D241" s="1"/>
      <c r="E241" s="1"/>
      <c r="F241" s="162"/>
      <c r="G241" s="160"/>
    </row>
    <row r="242" spans="2:7" hidden="1" x14ac:dyDescent="0.2">
      <c r="F242"/>
    </row>
    <row r="243" spans="2:7" hidden="1" x14ac:dyDescent="0.2">
      <c r="C243" s="134" t="s">
        <v>202</v>
      </c>
    </row>
    <row r="244" spans="2:7" hidden="1" x14ac:dyDescent="0.2">
      <c r="C244" s="134" t="s">
        <v>365</v>
      </c>
    </row>
    <row r="245" spans="2:7" hidden="1" x14ac:dyDescent="0.2">
      <c r="C245" s="134" t="s">
        <v>203</v>
      </c>
    </row>
    <row r="246" spans="2:7" hidden="1" x14ac:dyDescent="0.2">
      <c r="C246" s="134" t="s">
        <v>366</v>
      </c>
    </row>
    <row r="247" spans="2:7" hidden="1" x14ac:dyDescent="0.2">
      <c r="C247" s="134" t="s">
        <v>204</v>
      </c>
    </row>
    <row r="248" spans="2:7" hidden="1" x14ac:dyDescent="0.2">
      <c r="C248" s="134" t="s">
        <v>367</v>
      </c>
    </row>
    <row r="249" spans="2:7" hidden="1" x14ac:dyDescent="0.2">
      <c r="C249" s="134" t="s">
        <v>205</v>
      </c>
    </row>
    <row r="250" spans="2:7" hidden="1" x14ac:dyDescent="0.2">
      <c r="C250" s="134" t="s">
        <v>206</v>
      </c>
    </row>
    <row r="251" spans="2:7" hidden="1" x14ac:dyDescent="0.2"/>
    <row r="252" spans="2:7" hidden="1" x14ac:dyDescent="0.2">
      <c r="B252" s="1"/>
      <c r="C252" s="1" t="s">
        <v>207</v>
      </c>
      <c r="D252" s="1"/>
      <c r="E252" s="1"/>
      <c r="F252" s="162"/>
      <c r="G252" s="160"/>
    </row>
    <row r="253" spans="2:7" hidden="1" x14ac:dyDescent="0.2">
      <c r="C253" s="134" t="s">
        <v>208</v>
      </c>
    </row>
    <row r="254" spans="2:7" hidden="1" x14ac:dyDescent="0.2">
      <c r="C254" s="134" t="s">
        <v>209</v>
      </c>
    </row>
    <row r="255" spans="2:7" hidden="1" x14ac:dyDescent="0.2">
      <c r="C255" s="134" t="s">
        <v>210</v>
      </c>
    </row>
    <row r="256" spans="2:7" hidden="1" x14ac:dyDescent="0.2">
      <c r="C256" s="134" t="s">
        <v>211</v>
      </c>
    </row>
    <row r="257" spans="2:7" hidden="1" x14ac:dyDescent="0.2">
      <c r="C257" s="134" t="s">
        <v>212</v>
      </c>
    </row>
    <row r="258" spans="2:7" hidden="1" x14ac:dyDescent="0.2">
      <c r="C258" s="134" t="s">
        <v>213</v>
      </c>
    </row>
    <row r="259" spans="2:7" hidden="1" x14ac:dyDescent="0.2">
      <c r="C259" s="134" t="s">
        <v>214</v>
      </c>
    </row>
    <row r="260" spans="2:7" hidden="1" x14ac:dyDescent="0.2">
      <c r="C260" s="134" t="s">
        <v>215</v>
      </c>
    </row>
    <row r="261" spans="2:7" hidden="1" x14ac:dyDescent="0.2">
      <c r="C261" s="134" t="s">
        <v>216</v>
      </c>
    </row>
    <row r="262" spans="2:7" hidden="1" x14ac:dyDescent="0.2">
      <c r="C262" s="134" t="s">
        <v>217</v>
      </c>
    </row>
    <row r="263" spans="2:7" hidden="1" x14ac:dyDescent="0.2">
      <c r="C263" s="134" t="s">
        <v>368</v>
      </c>
    </row>
    <row r="264" spans="2:7" hidden="1" x14ac:dyDescent="0.2">
      <c r="C264" s="134" t="s">
        <v>218</v>
      </c>
    </row>
    <row r="265" spans="2:7" hidden="1" x14ac:dyDescent="0.2">
      <c r="C265" s="134" t="s">
        <v>219</v>
      </c>
    </row>
    <row r="266" spans="2:7" hidden="1" x14ac:dyDescent="0.2">
      <c r="C266" s="134" t="s">
        <v>220</v>
      </c>
    </row>
    <row r="267" spans="2:7" hidden="1" x14ac:dyDescent="0.2">
      <c r="C267" s="134" t="s">
        <v>221</v>
      </c>
    </row>
    <row r="268" spans="2:7" hidden="1" x14ac:dyDescent="0.2">
      <c r="C268" s="134" t="s">
        <v>222</v>
      </c>
    </row>
    <row r="269" spans="2:7" hidden="1" x14ac:dyDescent="0.2">
      <c r="C269" s="134" t="s">
        <v>223</v>
      </c>
    </row>
    <row r="270" spans="2:7" hidden="1" x14ac:dyDescent="0.2">
      <c r="C270" s="134" t="s">
        <v>369</v>
      </c>
    </row>
    <row r="271" spans="2:7" hidden="1" x14ac:dyDescent="0.2"/>
    <row r="272" spans="2:7" hidden="1" x14ac:dyDescent="0.2">
      <c r="B272" s="1"/>
      <c r="C272" s="1" t="s">
        <v>224</v>
      </c>
      <c r="D272" s="1"/>
      <c r="E272" s="1"/>
      <c r="F272" s="162"/>
      <c r="G272" s="160"/>
    </row>
    <row r="273" spans="2:7" hidden="1" x14ac:dyDescent="0.2">
      <c r="C273" s="134" t="s">
        <v>225</v>
      </c>
    </row>
    <row r="274" spans="2:7" hidden="1" x14ac:dyDescent="0.2">
      <c r="C274" s="134" t="s">
        <v>370</v>
      </c>
    </row>
    <row r="275" spans="2:7" hidden="1" x14ac:dyDescent="0.2">
      <c r="C275" s="134" t="s">
        <v>226</v>
      </c>
    </row>
    <row r="276" spans="2:7" hidden="1" x14ac:dyDescent="0.2">
      <c r="C276" s="134" t="s">
        <v>371</v>
      </c>
    </row>
    <row r="277" spans="2:7" hidden="1" x14ac:dyDescent="0.2">
      <c r="C277" s="134" t="s">
        <v>227</v>
      </c>
    </row>
    <row r="278" spans="2:7" hidden="1" x14ac:dyDescent="0.2"/>
    <row r="279" spans="2:7" hidden="1" x14ac:dyDescent="0.2">
      <c r="B279" s="1"/>
      <c r="C279" s="1" t="s">
        <v>228</v>
      </c>
      <c r="D279" s="1"/>
      <c r="E279" s="1"/>
      <c r="F279" s="162"/>
      <c r="G279" s="160"/>
    </row>
    <row r="280" spans="2:7" hidden="1" x14ac:dyDescent="0.2">
      <c r="C280" s="134" t="s">
        <v>229</v>
      </c>
    </row>
    <row r="281" spans="2:7" hidden="1" x14ac:dyDescent="0.2">
      <c r="C281" s="134" t="s">
        <v>230</v>
      </c>
    </row>
    <row r="282" spans="2:7" hidden="1" x14ac:dyDescent="0.2">
      <c r="C282" s="134" t="s">
        <v>231</v>
      </c>
    </row>
    <row r="283" spans="2:7" hidden="1" x14ac:dyDescent="0.2">
      <c r="C283" s="134" t="s">
        <v>232</v>
      </c>
    </row>
    <row r="284" spans="2:7" hidden="1" x14ac:dyDescent="0.2">
      <c r="C284" s="134" t="s">
        <v>233</v>
      </c>
    </row>
    <row r="285" spans="2:7" hidden="1" x14ac:dyDescent="0.2">
      <c r="C285" s="134" t="s">
        <v>234</v>
      </c>
    </row>
    <row r="286" spans="2:7" hidden="1" x14ac:dyDescent="0.2">
      <c r="C286" s="134" t="s">
        <v>235</v>
      </c>
    </row>
    <row r="287" spans="2:7" hidden="1" x14ac:dyDescent="0.2">
      <c r="C287" s="134" t="s">
        <v>236</v>
      </c>
    </row>
    <row r="288" spans="2:7" hidden="1" x14ac:dyDescent="0.2">
      <c r="C288" s="134" t="s">
        <v>237</v>
      </c>
    </row>
    <row r="289" spans="2:7" hidden="1" x14ac:dyDescent="0.2">
      <c r="C289" s="134" t="s">
        <v>238</v>
      </c>
    </row>
    <row r="290" spans="2:7" hidden="1" x14ac:dyDescent="0.2">
      <c r="C290" s="134" t="s">
        <v>372</v>
      </c>
    </row>
    <row r="291" spans="2:7" hidden="1" x14ac:dyDescent="0.2">
      <c r="C291" s="134" t="s">
        <v>239</v>
      </c>
    </row>
    <row r="292" spans="2:7" hidden="1" x14ac:dyDescent="0.2">
      <c r="C292" s="134" t="s">
        <v>373</v>
      </c>
    </row>
    <row r="293" spans="2:7" hidden="1" x14ac:dyDescent="0.2"/>
    <row r="294" spans="2:7" hidden="1" x14ac:dyDescent="0.2">
      <c r="B294" s="1"/>
      <c r="C294" s="1" t="s">
        <v>378</v>
      </c>
      <c r="D294" s="1"/>
      <c r="E294" s="1"/>
      <c r="F294" s="162"/>
      <c r="G294" s="160"/>
    </row>
    <row r="295" spans="2:7" hidden="1" x14ac:dyDescent="0.2">
      <c r="C295" s="134" t="s">
        <v>379</v>
      </c>
    </row>
    <row r="296" spans="2:7" hidden="1" x14ac:dyDescent="0.2">
      <c r="C296" s="134" t="s">
        <v>240</v>
      </c>
    </row>
    <row r="297" spans="2:7" hidden="1" x14ac:dyDescent="0.2">
      <c r="C297" s="134" t="s">
        <v>241</v>
      </c>
    </row>
    <row r="298" spans="2:7" hidden="1" x14ac:dyDescent="0.2">
      <c r="C298" s="134" t="s">
        <v>242</v>
      </c>
    </row>
    <row r="299" spans="2:7" hidden="1" x14ac:dyDescent="0.2">
      <c r="C299" s="134" t="s">
        <v>243</v>
      </c>
    </row>
    <row r="300" spans="2:7" hidden="1" x14ac:dyDescent="0.2">
      <c r="C300" s="134" t="s">
        <v>244</v>
      </c>
    </row>
    <row r="301" spans="2:7" hidden="1" x14ac:dyDescent="0.2">
      <c r="C301" s="134" t="s">
        <v>374</v>
      </c>
    </row>
    <row r="302" spans="2:7" hidden="1" x14ac:dyDescent="0.2">
      <c r="C302" s="134" t="s">
        <v>245</v>
      </c>
    </row>
    <row r="303" spans="2:7" hidden="1" x14ac:dyDescent="0.2">
      <c r="C303" s="134" t="s">
        <v>375</v>
      </c>
    </row>
    <row r="304" spans="2:7" hidden="1" x14ac:dyDescent="0.2"/>
  </sheetData>
  <mergeCells count="9">
    <mergeCell ref="B3:E3"/>
    <mergeCell ref="M111:O111"/>
    <mergeCell ref="G134:J134"/>
    <mergeCell ref="G104:L104"/>
    <mergeCell ref="G107:L108"/>
    <mergeCell ref="G101:L102"/>
    <mergeCell ref="F87:K87"/>
    <mergeCell ref="F88:K88"/>
    <mergeCell ref="G99:L99"/>
  </mergeCells>
  <hyperlinks>
    <hyperlink ref="A4" r:id="rId1" tooltip="Go to Top of Sheet" xr:uid="{00000000-0004-0000-0300-000000000000}"/>
    <hyperlink ref="C4" location="DASHBOARD!HL_Sheet_Main_12" tooltip="Go to Next Sheet" display="è" xr:uid="{00000000-0004-0000-0300-000001000000}"/>
    <hyperlink ref="B4" location="HL_Sheet_Main_7" tooltip="Go to Previous Sheet" display="ç" xr:uid="{00000000-0004-0000-0300-000002000000}"/>
    <hyperlink ref="B3" location="HL_Home" tooltip="Go to Table of Contents" display="Ir al índice" xr:uid="{00000000-0004-0000-0300-000003000000}"/>
    <hyperlink ref="F140" r:id="rId2" xr:uid="{00000000-0004-0000-0300-000004000000}"/>
  </hyperlinks>
  <pageMargins left="0.4" right="0.4" top="0.6" bottom="1" header="0" footer="0.3"/>
  <pageSetup scale="66" orientation="landscape" r:id="rId3"/>
  <headerFooter>
    <oddFooter>&amp;L&amp;F
&amp;A
Impreso: &amp;T en &amp;D&amp;C&amp;",Bold"Sheet 1.a.
Página &amp;P de &amp;N</oddFooter>
  </headerFooter>
  <drawing r:id="rId4"/>
  <legacy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1">
    <tabColor rgb="FFC00000"/>
    <pageSetUpPr fitToPage="1"/>
  </sheetPr>
  <dimension ref="C9:G20"/>
  <sheetViews>
    <sheetView workbookViewId="0"/>
  </sheetViews>
  <sheetFormatPr defaultColWidth="11.75" defaultRowHeight="11.4" x14ac:dyDescent="0.2"/>
  <cols>
    <col min="3" max="6" width="3.75" customWidth="1"/>
  </cols>
  <sheetData>
    <row r="9" spans="3:7" ht="13.8" x14ac:dyDescent="0.2">
      <c r="C9" s="2" t="s">
        <v>9</v>
      </c>
    </row>
    <row r="10" spans="3:7" ht="13.2" x14ac:dyDescent="0.2">
      <c r="C10" s="9" t="s">
        <v>382</v>
      </c>
    </row>
    <row r="11" spans="3:7" ht="13.2" x14ac:dyDescent="0.2">
      <c r="C11" s="5" t="str">
        <f>Model_Name</f>
        <v>Financial Gap Analysis Tool - País X (Datos de la muestra)</v>
      </c>
    </row>
    <row r="12" spans="3:7" x14ac:dyDescent="0.2">
      <c r="C12" s="425" t="s">
        <v>1</v>
      </c>
      <c r="D12" s="425"/>
      <c r="E12" s="425"/>
      <c r="F12" s="425"/>
      <c r="G12" s="425"/>
    </row>
    <row r="13" spans="3:7" x14ac:dyDescent="0.2">
      <c r="C13" s="7" t="s">
        <v>2</v>
      </c>
      <c r="D13" s="8" t="s">
        <v>3</v>
      </c>
    </row>
    <row r="17" spans="3:3" ht="12" x14ac:dyDescent="0.2">
      <c r="C17" s="3" t="s">
        <v>5</v>
      </c>
    </row>
    <row r="18" spans="3:3" x14ac:dyDescent="0.2">
      <c r="C18" s="4" t="s">
        <v>6</v>
      </c>
    </row>
    <row r="19" spans="3:3" x14ac:dyDescent="0.2">
      <c r="C19" s="4" t="s">
        <v>7</v>
      </c>
    </row>
    <row r="20" spans="3:3" x14ac:dyDescent="0.2">
      <c r="C20" s="4" t="s">
        <v>8</v>
      </c>
    </row>
  </sheetData>
  <mergeCells count="1">
    <mergeCell ref="C12:G12"/>
  </mergeCells>
  <hyperlinks>
    <hyperlink ref="D13" location="Chks_Bo!A1" tooltip="Go to Next Sheet" display="è" xr:uid="{00000000-0004-0000-2700-000000000000}"/>
    <hyperlink ref="C13" location="HL_Sheet_Main_10" tooltip="Go to Previous Sheet" display="ç" xr:uid="{00000000-0004-0000-2700-000001000000}"/>
    <hyperlink ref="C12" location="HL_Home" tooltip="Go to Table of Contents" display="Go to Table of Contents" xr:uid="{00000000-0004-0000-2700-000002000000}"/>
  </hyperlinks>
  <pageMargins left="0.4" right="0.4" top="0.6" bottom="1" header="0" footer="0.3"/>
  <pageSetup orientation="landscape" r:id="rId1"/>
  <headerFooter>
    <oddFooter>&amp;L&amp;F
&amp;A
Printed: &amp;T on &amp;D&amp;C&amp;",Bold"Sub-Section 4.2.
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outlinePr summaryBelow="0"/>
  </sheetPr>
  <dimension ref="A1:F13"/>
  <sheetViews>
    <sheetView showGridLines="0" workbookViewId="0">
      <selection activeCell="O3" sqref="O3"/>
    </sheetView>
  </sheetViews>
  <sheetFormatPr defaultColWidth="11.75" defaultRowHeight="11.4" x14ac:dyDescent="0.2"/>
  <cols>
    <col min="1" max="3" width="3.75" customWidth="1"/>
    <col min="4" max="4" width="35.75" customWidth="1"/>
    <col min="5" max="5" width="3.75" customWidth="1"/>
    <col min="6" max="6" width="35.75" customWidth="1"/>
    <col min="7" max="7" width="3.75" customWidth="1"/>
  </cols>
  <sheetData>
    <row r="1" spans="1:6" ht="13.8" x14ac:dyDescent="0.2">
      <c r="B1" s="2" t="s">
        <v>471</v>
      </c>
    </row>
    <row r="2" spans="1:6" ht="13.2" x14ac:dyDescent="0.2">
      <c r="B2" s="5" t="str">
        <f>Model_Name</f>
        <v>Financial Gap Analysis Tool - País X (Datos de la muestra)</v>
      </c>
    </row>
    <row r="3" spans="1:6" x14ac:dyDescent="0.2">
      <c r="B3" s="425" t="s">
        <v>1</v>
      </c>
      <c r="C3" s="425"/>
      <c r="D3" s="425"/>
    </row>
    <row r="4" spans="1:6" x14ac:dyDescent="0.2">
      <c r="A4" s="6" t="s">
        <v>10</v>
      </c>
      <c r="B4" s="7" t="s">
        <v>2</v>
      </c>
      <c r="C4" s="8" t="s">
        <v>3</v>
      </c>
    </row>
    <row r="6" spans="1:6" x14ac:dyDescent="0.2">
      <c r="B6" s="255" t="s">
        <v>473</v>
      </c>
      <c r="C6" s="1"/>
      <c r="D6" s="1"/>
      <c r="E6" s="1"/>
      <c r="F6" s="1"/>
    </row>
    <row r="8" spans="1:6" ht="12" x14ac:dyDescent="0.2">
      <c r="C8" s="254" t="s">
        <v>472</v>
      </c>
      <c r="D8" s="254"/>
      <c r="E8" s="254"/>
      <c r="F8" s="229" t="s">
        <v>31</v>
      </c>
    </row>
    <row r="10" spans="1:6" ht="12" x14ac:dyDescent="0.2">
      <c r="D10" s="256" t="s">
        <v>472</v>
      </c>
      <c r="F10" s="11"/>
    </row>
    <row r="11" spans="1:6" x14ac:dyDescent="0.2">
      <c r="D11" s="257" t="s">
        <v>474</v>
      </c>
      <c r="F11" s="11"/>
    </row>
    <row r="12" spans="1:6" x14ac:dyDescent="0.2">
      <c r="D12" s="257" t="s">
        <v>475</v>
      </c>
      <c r="F12" s="11"/>
    </row>
    <row r="13" spans="1:6" x14ac:dyDescent="0.2">
      <c r="D13" s="257" t="s">
        <v>476</v>
      </c>
      <c r="F13" s="11"/>
    </row>
  </sheetData>
  <mergeCells count="1">
    <mergeCell ref="B3:D3"/>
  </mergeCells>
  <hyperlinks>
    <hyperlink ref="A4" r:id="rId1" tooltip="Go to Top of Sheet" xr:uid="{00000000-0004-0000-2800-000000000000}"/>
    <hyperlink ref="B4" location="HL_Sheet_Main_6" tooltip="Go to Previous Sheet" display="ç" xr:uid="{00000000-0004-0000-2800-000001000000}"/>
    <hyperlink ref="C4" location="HL_Sheet_Main_20" tooltip="Go to Next Sheet" display="è" xr:uid="{00000000-0004-0000-2800-000002000000}"/>
    <hyperlink ref="B3" location="HL_Home" tooltip="Go to Table of Contents" display="Go to Table of Contents" xr:uid="{00000000-0004-0000-2800-000003000000}"/>
  </hyperlinks>
  <pageMargins left="0.4" right="0.4" top="0.6" bottom="1" header="0" footer="0.3"/>
  <pageSetup orientation="landscape" r:id="rId2"/>
  <headerFooter>
    <oddFooter>&amp;L&amp;F
&amp;A
Printed: &amp;T on &amp;D&amp;C&amp;",Bold"Sheet 4.1.b.
Page &amp;P of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7030A0"/>
  </sheetPr>
  <dimension ref="A1:M581"/>
  <sheetViews>
    <sheetView showGridLines="0" workbookViewId="0">
      <pane ySplit="4" topLeftCell="A44" activePane="bottomLeft" state="frozen"/>
      <selection pane="bottomLeft" activeCell="F103" sqref="F103"/>
    </sheetView>
  </sheetViews>
  <sheetFormatPr defaultColWidth="11.75" defaultRowHeight="11.4" x14ac:dyDescent="0.2"/>
  <cols>
    <col min="1" max="5" width="3.75" customWidth="1"/>
    <col min="6" max="6" width="61.75" customWidth="1"/>
    <col min="7" max="12" width="20.625" customWidth="1"/>
    <col min="13" max="13" width="78.875" customWidth="1"/>
  </cols>
  <sheetData>
    <row r="1" spans="1:8" ht="13.8" x14ac:dyDescent="0.2">
      <c r="B1" s="143" t="str">
        <f ca="1">IF(ISERROR(RIGHT(CELL("filename",$A$1),LEN(CELL("filename",$A$1))-FIND("]",CELL("filename",$A$1)))),"This workbook never saved",RIGHT(CELL("filename",$A$1),LEN(CELL("filename",$A$1))-FIND("]",CELL("filename",$A$1))))</f>
        <v>Tablero</v>
      </c>
    </row>
    <row r="2" spans="1:8" ht="13.2" x14ac:dyDescent="0.2">
      <c r="B2" s="5" t="str">
        <f>Model_Name</f>
        <v>Financial Gap Analysis Tool - País X (Datos de la muestra)</v>
      </c>
    </row>
    <row r="3" spans="1:8" x14ac:dyDescent="0.2">
      <c r="B3" s="425" t="s">
        <v>524</v>
      </c>
      <c r="C3" s="425"/>
      <c r="D3" s="425"/>
      <c r="E3" s="425"/>
      <c r="F3" s="425"/>
      <c r="G3" s="46"/>
      <c r="H3" s="46"/>
    </row>
    <row r="4" spans="1:8" x14ac:dyDescent="0.2">
      <c r="A4" s="6" t="s">
        <v>10</v>
      </c>
      <c r="B4" s="7" t="s">
        <v>2</v>
      </c>
      <c r="C4" s="8" t="s">
        <v>3</v>
      </c>
      <c r="D4" s="15"/>
      <c r="E4" s="16"/>
      <c r="F4" s="17"/>
      <c r="G4" s="17"/>
      <c r="H4" s="17"/>
    </row>
    <row r="5" spans="1:8" s="1" customFormat="1" x14ac:dyDescent="0.2">
      <c r="A5"/>
      <c r="B5" s="1" t="s">
        <v>401</v>
      </c>
    </row>
    <row r="6" spans="1:8" x14ac:dyDescent="0.2">
      <c r="A6" s="6"/>
      <c r="B6" s="7"/>
      <c r="C6" s="8"/>
      <c r="D6" s="15"/>
      <c r="E6" s="16"/>
      <c r="F6" s="17"/>
      <c r="G6" s="17"/>
      <c r="H6" s="17"/>
    </row>
    <row r="7" spans="1:8" x14ac:dyDescent="0.2">
      <c r="A7" s="6"/>
      <c r="B7" s="7"/>
      <c r="C7" s="8"/>
      <c r="D7" s="15"/>
      <c r="E7" s="16"/>
      <c r="F7" s="17"/>
      <c r="G7" s="17"/>
      <c r="H7" s="17"/>
    </row>
    <row r="8" spans="1:8" x14ac:dyDescent="0.2">
      <c r="A8" s="6"/>
      <c r="B8" s="7"/>
      <c r="C8" s="8"/>
      <c r="D8" s="15"/>
      <c r="E8" s="16"/>
      <c r="F8" s="17"/>
      <c r="G8" s="17"/>
      <c r="H8" s="17"/>
    </row>
    <row r="9" spans="1:8" x14ac:dyDescent="0.2">
      <c r="A9" s="6"/>
      <c r="B9" s="7"/>
      <c r="C9" s="8"/>
      <c r="D9" s="15"/>
      <c r="E9" s="16"/>
      <c r="F9" s="17"/>
      <c r="G9" s="17"/>
      <c r="H9" s="17"/>
    </row>
    <row r="41" spans="1:12" ht="13.8" x14ac:dyDescent="0.2">
      <c r="G41" s="433" t="s">
        <v>402</v>
      </c>
      <c r="H41" s="433"/>
      <c r="I41" s="433"/>
      <c r="J41" s="433"/>
      <c r="K41" s="433"/>
      <c r="L41" s="433"/>
    </row>
    <row r="44" spans="1:12" s="1" customFormat="1" x14ac:dyDescent="0.2">
      <c r="A44"/>
      <c r="B44" s="1" t="s">
        <v>555</v>
      </c>
    </row>
    <row r="46" spans="1:12" ht="17.399999999999999" x14ac:dyDescent="0.2">
      <c r="F46" s="95" t="str">
        <f>CURR_INT_ABBR</f>
        <v>USD</v>
      </c>
    </row>
    <row r="48" spans="1:12" ht="24" x14ac:dyDescent="0.2">
      <c r="F48" s="136" t="s">
        <v>388</v>
      </c>
      <c r="G48" s="144" t="s">
        <v>143</v>
      </c>
      <c r="H48" s="144" t="s">
        <v>141</v>
      </c>
      <c r="I48" s="144" t="s">
        <v>146</v>
      </c>
      <c r="J48" s="51"/>
    </row>
    <row r="49" spans="6:10" ht="12" x14ac:dyDescent="0.2">
      <c r="F49" s="94" t="str">
        <f>Strategy1</f>
        <v>Objetivo estratégico 1: Fortalecer la gobernanza de la nutrición</v>
      </c>
      <c r="G49" s="76">
        <f>'Financial Req'!I97</f>
        <v>5059883.3533888888</v>
      </c>
      <c r="H49" s="76">
        <f>Summary_Available_Funds!I33</f>
        <v>2172190.6197466501</v>
      </c>
      <c r="I49" s="67">
        <f>Summary_Financial_Gaps!I56</f>
        <v>2887692.7336422387</v>
      </c>
      <c r="J49" s="94"/>
    </row>
    <row r="50" spans="6:10" ht="34.200000000000003" x14ac:dyDescent="0.2">
      <c r="F50" s="94" t="str">
        <f>Strategy2</f>
        <v>Objetivo estratégico 2: Fortalecer el acceso al tratamiento y a los servicios de salud y nutrición de calidad, así como al tratamiento de todas las formas de malnutrición</v>
      </c>
      <c r="G50" s="76">
        <f>'Financial Req'!I103</f>
        <v>66309883.113035612</v>
      </c>
      <c r="H50" s="76">
        <f>Summary_Available_Funds!I34</f>
        <v>48354412.221195169</v>
      </c>
      <c r="I50" s="67">
        <f>Summary_Financial_Gaps!I57</f>
        <v>17955470.891840436</v>
      </c>
      <c r="J50" s="94"/>
    </row>
    <row r="51" spans="6:10" ht="22.8" x14ac:dyDescent="0.2">
      <c r="F51" s="94" t="str">
        <f>Strategy3</f>
        <v>Objetivo estratégico 3: Aumentar la disponibilidad y el acceso a alimentos nutritivos de alto valor, seguros y diversificados</v>
      </c>
      <c r="G51" s="76">
        <f>'Financial Req'!I109</f>
        <v>238469318.43477252</v>
      </c>
      <c r="H51" s="76">
        <f>Summary_Available_Funds!I35</f>
        <v>119454865.15323311</v>
      </c>
      <c r="I51" s="67">
        <f>Summary_Financial_Gaps!I58</f>
        <v>119014453.28153938</v>
      </c>
      <c r="J51" s="94"/>
    </row>
    <row r="52" spans="6:10" ht="22.8" x14ac:dyDescent="0.2">
      <c r="F52" s="94" t="str">
        <f>Strategy4</f>
        <v>Objetivo estratégico 4: Fortalecer la protección social, la resiliencia de la respuesta a las emergencias y los desastres naturales.</v>
      </c>
      <c r="G52" s="76">
        <f>'Financial Req'!I115</f>
        <v>107832583.00833511</v>
      </c>
      <c r="H52" s="76">
        <f>Summary_Available_Funds!I36</f>
        <v>53675709.354318105</v>
      </c>
      <c r="I52" s="67">
        <f>Summary_Financial_Gaps!I59</f>
        <v>54156873.654017016</v>
      </c>
      <c r="J52" s="94"/>
    </row>
    <row r="53" spans="6:10" ht="22.8" x14ac:dyDescent="0.2">
      <c r="F53" s="94" t="str">
        <f>Strategy5</f>
        <v xml:space="preserve">Objetivo estratégico 5: Promoción de prácticas favorables a una nutrición óptima, de higiene y saneamiento básico. </v>
      </c>
      <c r="G53" s="76">
        <f>'Financial Req'!I121</f>
        <v>32852488.986111034</v>
      </c>
      <c r="H53" s="76">
        <f>Summary_Available_Funds!I37</f>
        <v>19502867.993163209</v>
      </c>
      <c r="I53" s="67">
        <f>Summary_Financial_Gaps!I60</f>
        <v>13349620.992947828</v>
      </c>
      <c r="J53" s="94"/>
    </row>
    <row r="54" spans="6:10" ht="12" x14ac:dyDescent="0.2">
      <c r="F54" t="str">
        <f>Partner6</f>
        <v>[No está en uso]</v>
      </c>
      <c r="G54" s="76">
        <f>'Financial Req'!I127</f>
        <v>0</v>
      </c>
      <c r="H54" s="76">
        <f>Summary_Available_Funds!I38</f>
        <v>0</v>
      </c>
      <c r="I54" s="67">
        <f>Summary_Financial_Gaps!I61</f>
        <v>0</v>
      </c>
      <c r="J54" s="94"/>
    </row>
    <row r="55" spans="6:10" ht="12" x14ac:dyDescent="0.2">
      <c r="F55" t="str">
        <f>Partner7</f>
        <v>[No está en uso]</v>
      </c>
      <c r="G55" s="76">
        <f>'Financial Req'!I133</f>
        <v>0</v>
      </c>
      <c r="H55" s="76">
        <f>Summary_Available_Funds!I39</f>
        <v>0</v>
      </c>
      <c r="I55" s="67">
        <f>Summary_Financial_Gaps!I62</f>
        <v>0</v>
      </c>
      <c r="J55" s="94"/>
    </row>
    <row r="56" spans="6:10" ht="12" x14ac:dyDescent="0.2">
      <c r="F56" t="str">
        <f>Partner8</f>
        <v>[No está en uso]</v>
      </c>
      <c r="G56" s="76">
        <f>'Financial Req'!I139</f>
        <v>0</v>
      </c>
      <c r="H56" s="76">
        <f>Summary_Available_Funds!I40</f>
        <v>0</v>
      </c>
      <c r="I56" s="67">
        <f>Summary_Financial_Gaps!I63</f>
        <v>0</v>
      </c>
      <c r="J56" s="94"/>
    </row>
    <row r="57" spans="6:10" ht="12" x14ac:dyDescent="0.2">
      <c r="F57" t="str">
        <f>Partner9</f>
        <v>[No está en uso]</v>
      </c>
      <c r="G57" s="76">
        <f>'Financial Req'!I145</f>
        <v>0</v>
      </c>
      <c r="H57" s="76">
        <f>Summary_Available_Funds!I41</f>
        <v>0</v>
      </c>
      <c r="I57" s="67">
        <f>Summary_Financial_Gaps!I64</f>
        <v>0</v>
      </c>
      <c r="J57" s="94"/>
    </row>
    <row r="58" spans="6:10" ht="12" x14ac:dyDescent="0.2">
      <c r="F58" t="str">
        <f>Partner10</f>
        <v>[No está en uso]</v>
      </c>
      <c r="G58" s="76">
        <f>'Financial Req'!I151</f>
        <v>0</v>
      </c>
      <c r="H58" s="76">
        <f>Summary_Available_Funds!I42</f>
        <v>0</v>
      </c>
      <c r="I58" s="67">
        <f>Summary_Financial_Gaps!I65</f>
        <v>0</v>
      </c>
      <c r="J58" s="94"/>
    </row>
    <row r="59" spans="6:10" ht="12" x14ac:dyDescent="0.2">
      <c r="F59" s="156" t="str">
        <f>"Total ("&amp;F46&amp;")"</f>
        <v>Total (USD)</v>
      </c>
      <c r="G59" s="79">
        <f>SUM(G49:G58)</f>
        <v>450524156.89564317</v>
      </c>
      <c r="H59" s="79">
        <f>SUM(H49:H58)</f>
        <v>243160045.34165624</v>
      </c>
      <c r="I59" s="122">
        <f>SUM(I49:I58)</f>
        <v>207364111.55398691</v>
      </c>
    </row>
    <row r="62" spans="6:10" ht="17.399999999999999" x14ac:dyDescent="0.2">
      <c r="F62" s="95" t="str">
        <f>CURR_LCU_ABBR</f>
        <v>GOZ</v>
      </c>
    </row>
    <row r="64" spans="6:10" ht="24" x14ac:dyDescent="0.2">
      <c r="F64" s="136" t="s">
        <v>388</v>
      </c>
      <c r="G64" s="144" t="s">
        <v>143</v>
      </c>
      <c r="H64" s="144" t="s">
        <v>141</v>
      </c>
      <c r="I64" s="144" t="s">
        <v>146</v>
      </c>
    </row>
    <row r="65" spans="2:12" ht="12" x14ac:dyDescent="0.2">
      <c r="F65" s="94" t="str">
        <f>Strategy1</f>
        <v>Objetivo estratégico 1: Fortalecer la gobernanza de la nutrición</v>
      </c>
      <c r="G65" s="30">
        <f t="shared" ref="G65:I74" si="0">G49*EXCHANGE_RATE</f>
        <v>9107790036.1000004</v>
      </c>
      <c r="H65" s="30">
        <f t="shared" si="0"/>
        <v>3909943115.5439701</v>
      </c>
      <c r="I65" s="123">
        <f t="shared" si="0"/>
        <v>5197846920.5560293</v>
      </c>
    </row>
    <row r="66" spans="2:12" ht="34.200000000000003" x14ac:dyDescent="0.2">
      <c r="F66" s="94" t="str">
        <f>Strategy2</f>
        <v>Objetivo estratégico 2: Fortalecer el acceso al tratamiento y a los servicios de salud y nutrición de calidad, así como al tratamiento de todas las formas de malnutrición</v>
      </c>
      <c r="G66" s="30">
        <f t="shared" si="0"/>
        <v>119357789603.4641</v>
      </c>
      <c r="H66" s="30">
        <f t="shared" si="0"/>
        <v>87037941998.151306</v>
      </c>
      <c r="I66" s="123">
        <f t="shared" si="0"/>
        <v>32319847605.312782</v>
      </c>
    </row>
    <row r="67" spans="2:12" ht="22.8" x14ac:dyDescent="0.2">
      <c r="F67" s="94" t="str">
        <f>Strategy3</f>
        <v>Objetivo estratégico 3: Aumentar la disponibilidad y el acceso a alimentos nutritivos de alto valor, seguros y diversificados</v>
      </c>
      <c r="G67" s="30">
        <f t="shared" si="0"/>
        <v>429244773182.59052</v>
      </c>
      <c r="H67" s="30">
        <f t="shared" si="0"/>
        <v>215018757275.81961</v>
      </c>
      <c r="I67" s="123">
        <f t="shared" si="0"/>
        <v>214226015906.77087</v>
      </c>
    </row>
    <row r="68" spans="2:12" ht="22.8" x14ac:dyDescent="0.2">
      <c r="F68" s="94" t="str">
        <f>Strategy4</f>
        <v>Objetivo estratégico 4: Fortalecer la protección social, la resiliencia de la respuesta a las emergencias y los desastres naturales.</v>
      </c>
      <c r="G68" s="30">
        <f t="shared" si="0"/>
        <v>194098649415.0032</v>
      </c>
      <c r="H68" s="30">
        <f t="shared" si="0"/>
        <v>96616276837.772583</v>
      </c>
      <c r="I68" s="123">
        <f t="shared" si="0"/>
        <v>97482372577.230637</v>
      </c>
    </row>
    <row r="69" spans="2:12" ht="22.8" x14ac:dyDescent="0.2">
      <c r="F69" s="94" t="str">
        <f>Strategy5</f>
        <v xml:space="preserve">Objetivo estratégico 5: Promoción de prácticas favorables a una nutrición óptima, de higiene y saneamiento básico. </v>
      </c>
      <c r="G69" s="30">
        <f t="shared" si="0"/>
        <v>59134480174.999863</v>
      </c>
      <c r="H69" s="30">
        <f t="shared" si="0"/>
        <v>35105162387.693779</v>
      </c>
      <c r="I69" s="123">
        <f t="shared" si="0"/>
        <v>24029317787.306091</v>
      </c>
    </row>
    <row r="70" spans="2:12" ht="12" x14ac:dyDescent="0.2">
      <c r="F70" t="str">
        <f>Partner6</f>
        <v>[No está en uso]</v>
      </c>
      <c r="G70" s="30">
        <f t="shared" si="0"/>
        <v>0</v>
      </c>
      <c r="H70" s="30">
        <f t="shared" si="0"/>
        <v>0</v>
      </c>
      <c r="I70" s="123">
        <f t="shared" si="0"/>
        <v>0</v>
      </c>
    </row>
    <row r="71" spans="2:12" ht="12" x14ac:dyDescent="0.2">
      <c r="F71" t="str">
        <f>Partner7</f>
        <v>[No está en uso]</v>
      </c>
      <c r="G71" s="30">
        <f t="shared" si="0"/>
        <v>0</v>
      </c>
      <c r="H71" s="30">
        <f t="shared" si="0"/>
        <v>0</v>
      </c>
      <c r="I71" s="123">
        <f t="shared" si="0"/>
        <v>0</v>
      </c>
    </row>
    <row r="72" spans="2:12" ht="12" x14ac:dyDescent="0.2">
      <c r="F72" t="str">
        <f>Partner8</f>
        <v>[No está en uso]</v>
      </c>
      <c r="G72" s="30">
        <f t="shared" si="0"/>
        <v>0</v>
      </c>
      <c r="H72" s="30">
        <f t="shared" si="0"/>
        <v>0</v>
      </c>
      <c r="I72" s="123">
        <f t="shared" si="0"/>
        <v>0</v>
      </c>
    </row>
    <row r="73" spans="2:12" ht="12" x14ac:dyDescent="0.2">
      <c r="F73" t="str">
        <f>Partner9</f>
        <v>[No está en uso]</v>
      </c>
      <c r="G73" s="30">
        <f t="shared" si="0"/>
        <v>0</v>
      </c>
      <c r="H73" s="30">
        <f t="shared" si="0"/>
        <v>0</v>
      </c>
      <c r="I73" s="123">
        <f t="shared" si="0"/>
        <v>0</v>
      </c>
    </row>
    <row r="74" spans="2:12" ht="12" x14ac:dyDescent="0.2">
      <c r="F74" t="str">
        <f>Partner10</f>
        <v>[No está en uso]</v>
      </c>
      <c r="G74" s="30">
        <f t="shared" si="0"/>
        <v>0</v>
      </c>
      <c r="H74" s="30">
        <f t="shared" si="0"/>
        <v>0</v>
      </c>
      <c r="I74" s="123">
        <f t="shared" si="0"/>
        <v>0</v>
      </c>
    </row>
    <row r="75" spans="2:12" ht="12" x14ac:dyDescent="0.2">
      <c r="F75" s="156" t="str">
        <f>"Total ("&amp;F62&amp;")"</f>
        <v>Total (GOZ)</v>
      </c>
      <c r="G75" s="90">
        <f>SUM(G65:G74)</f>
        <v>810943482412.15771</v>
      </c>
      <c r="H75" s="90">
        <f>SUM(H65:H74)</f>
        <v>437688081614.98126</v>
      </c>
      <c r="I75" s="124">
        <f>SUM(I65:I74)</f>
        <v>373255400797.17639</v>
      </c>
    </row>
    <row r="76" spans="2:12" ht="23.25" customHeight="1" x14ac:dyDescent="0.2"/>
    <row r="77" spans="2:12" ht="12" x14ac:dyDescent="0.2">
      <c r="B77" s="98" t="s">
        <v>554</v>
      </c>
      <c r="C77" s="1"/>
      <c r="D77" s="1"/>
      <c r="E77" s="1"/>
      <c r="F77" s="1"/>
      <c r="G77" s="1"/>
      <c r="H77" s="1"/>
      <c r="I77" s="1"/>
      <c r="J77" s="1"/>
      <c r="K77" s="1"/>
      <c r="L77" s="1"/>
    </row>
    <row r="78" spans="2:12" ht="23.25" customHeight="1" x14ac:dyDescent="0.2"/>
    <row r="79" spans="2:12" ht="23.25" customHeight="1" x14ac:dyDescent="0.2">
      <c r="F79" s="210" t="str">
        <f>"Funding Gap ("&amp;CURR_INT_ABBR&amp;")"</f>
        <v>Funding Gap (USD)</v>
      </c>
      <c r="G79" s="224" t="s">
        <v>144</v>
      </c>
      <c r="H79" s="102">
        <f>Ts_First_Fin_Yr</f>
        <v>2019</v>
      </c>
      <c r="I79" s="102">
        <f>Ts_First_Fin_Yr+1</f>
        <v>2020</v>
      </c>
      <c r="J79" s="102">
        <f>Ts_First_Fin_Yr+2</f>
        <v>2021</v>
      </c>
      <c r="K79" s="102">
        <f>Ts_First_Fin_Yr+3</f>
        <v>2022</v>
      </c>
      <c r="L79" s="102">
        <f>Ts_First_Fin_Yr+4</f>
        <v>2023</v>
      </c>
    </row>
    <row r="80" spans="2:12" ht="12" x14ac:dyDescent="0.2">
      <c r="F80" s="180" t="str">
        <f>Strategy1</f>
        <v>Objetivo estratégico 1: Fortalecer la gobernanza de la nutrición</v>
      </c>
      <c r="G80" s="182">
        <f>SUM(H80:L80)</f>
        <v>2887692.7336422387</v>
      </c>
      <c r="H80" s="76">
        <f t="shared" ref="H80:L89" si="1">H93/EXCHANGE_RATE</f>
        <v>742399.73160622548</v>
      </c>
      <c r="I80" s="76">
        <f t="shared" si="1"/>
        <v>-32299.896171552275</v>
      </c>
      <c r="J80" s="76">
        <f t="shared" si="1"/>
        <v>803371.21277289209</v>
      </c>
      <c r="K80" s="76">
        <f t="shared" si="1"/>
        <v>388541.06493955891</v>
      </c>
      <c r="L80" s="76">
        <f t="shared" si="1"/>
        <v>985680.62049511448</v>
      </c>
    </row>
    <row r="81" spans="6:12" ht="34.200000000000003" x14ac:dyDescent="0.2">
      <c r="F81" s="180" t="str">
        <f>Strategy2</f>
        <v>Objetivo estratégico 2: Fortalecer el acceso al tratamiento y a los servicios de salud y nutrición de calidad, así como al tratamiento de todas las formas de malnutrición</v>
      </c>
      <c r="G81" s="182">
        <f t="shared" ref="G81:G89" si="2">SUM(H81:L81)</f>
        <v>17955470.891840436</v>
      </c>
      <c r="H81" s="76">
        <f t="shared" si="1"/>
        <v>1878666.1002767992</v>
      </c>
      <c r="I81" s="76">
        <f t="shared" si="1"/>
        <v>1274324.3399187438</v>
      </c>
      <c r="J81" s="76">
        <f t="shared" si="1"/>
        <v>2929300.3120610761</v>
      </c>
      <c r="K81" s="76">
        <f t="shared" si="1"/>
        <v>5888900.3560311869</v>
      </c>
      <c r="L81" s="76">
        <f t="shared" si="1"/>
        <v>5984279.7835526317</v>
      </c>
    </row>
    <row r="82" spans="6:12" ht="22.8" x14ac:dyDescent="0.2">
      <c r="F82" s="180" t="str">
        <f>Strategy3</f>
        <v>Objetivo estratégico 3: Aumentar la disponibilidad y el acceso a alimentos nutritivos de alto valor, seguros y diversificados</v>
      </c>
      <c r="G82" s="182">
        <f t="shared" si="2"/>
        <v>119014453.28153938</v>
      </c>
      <c r="H82" s="76">
        <f t="shared" si="1"/>
        <v>19222108.621713765</v>
      </c>
      <c r="I82" s="76">
        <f t="shared" si="1"/>
        <v>3264601.1188434898</v>
      </c>
      <c r="J82" s="76">
        <f t="shared" si="1"/>
        <v>20057065.553653598</v>
      </c>
      <c r="K82" s="76">
        <f t="shared" si="1"/>
        <v>37975172.744774982</v>
      </c>
      <c r="L82" s="76">
        <f t="shared" si="1"/>
        <v>38495505.24255354</v>
      </c>
    </row>
    <row r="83" spans="6:12" ht="22.8" x14ac:dyDescent="0.2">
      <c r="F83" s="180" t="str">
        <f>Strategy4</f>
        <v>Objetivo estratégico 4: Fortalecer la protección social, la resiliencia de la respuesta a las emergencias y los desastres naturales.</v>
      </c>
      <c r="G83" s="182">
        <f t="shared" si="2"/>
        <v>54156873.654017016</v>
      </c>
      <c r="H83" s="76">
        <f t="shared" si="1"/>
        <v>10147180.781151051</v>
      </c>
      <c r="I83" s="76">
        <f t="shared" si="1"/>
        <v>6616901.8261434929</v>
      </c>
      <c r="J83" s="76">
        <f t="shared" si="1"/>
        <v>10103392.230287492</v>
      </c>
      <c r="K83" s="76">
        <f t="shared" si="1"/>
        <v>13625129.022061491</v>
      </c>
      <c r="L83" s="76">
        <f t="shared" si="1"/>
        <v>13664269.794373494</v>
      </c>
    </row>
    <row r="84" spans="6:12" ht="22.8" x14ac:dyDescent="0.2">
      <c r="F84" s="180" t="str">
        <f>Strategy5</f>
        <v xml:space="preserve">Objetivo estratégico 5: Promoción de prácticas favorables a una nutrición óptima, de higiene y saneamiento básico. </v>
      </c>
      <c r="G84" s="182">
        <f t="shared" si="2"/>
        <v>13349620.992947828</v>
      </c>
      <c r="H84" s="76">
        <f t="shared" si="1"/>
        <v>-1232520.5421511587</v>
      </c>
      <c r="I84" s="76">
        <f t="shared" si="1"/>
        <v>3304988.8837747462</v>
      </c>
      <c r="J84" s="76">
        <f t="shared" si="1"/>
        <v>3572579.9948858577</v>
      </c>
      <c r="K84" s="76">
        <f t="shared" si="1"/>
        <v>3848119.6615525247</v>
      </c>
      <c r="L84" s="76">
        <f t="shared" si="1"/>
        <v>3856452.9948858577</v>
      </c>
    </row>
    <row r="85" spans="6:12" ht="12" x14ac:dyDescent="0.2">
      <c r="F85" s="181" t="str">
        <f>Partner6</f>
        <v>[No está en uso]</v>
      </c>
      <c r="G85" s="182">
        <f t="shared" si="2"/>
        <v>0</v>
      </c>
      <c r="H85" s="76">
        <f t="shared" si="1"/>
        <v>0</v>
      </c>
      <c r="I85" s="76">
        <f t="shared" si="1"/>
        <v>0</v>
      </c>
      <c r="J85" s="76">
        <f t="shared" si="1"/>
        <v>0</v>
      </c>
      <c r="K85" s="76">
        <f t="shared" si="1"/>
        <v>0</v>
      </c>
      <c r="L85" s="76">
        <f t="shared" si="1"/>
        <v>0</v>
      </c>
    </row>
    <row r="86" spans="6:12" ht="12" x14ac:dyDescent="0.2">
      <c r="F86" s="181" t="str">
        <f>Partner7</f>
        <v>[No está en uso]</v>
      </c>
      <c r="G86" s="182">
        <f t="shared" si="2"/>
        <v>0</v>
      </c>
      <c r="H86" s="76">
        <f t="shared" si="1"/>
        <v>0</v>
      </c>
      <c r="I86" s="76">
        <f t="shared" si="1"/>
        <v>0</v>
      </c>
      <c r="J86" s="76">
        <f t="shared" si="1"/>
        <v>0</v>
      </c>
      <c r="K86" s="76">
        <f t="shared" si="1"/>
        <v>0</v>
      </c>
      <c r="L86" s="76">
        <f t="shared" si="1"/>
        <v>0</v>
      </c>
    </row>
    <row r="87" spans="6:12" ht="12" x14ac:dyDescent="0.2">
      <c r="F87" s="181" t="str">
        <f>Partner8</f>
        <v>[No está en uso]</v>
      </c>
      <c r="G87" s="182">
        <f t="shared" si="2"/>
        <v>0</v>
      </c>
      <c r="H87" s="76">
        <f t="shared" si="1"/>
        <v>0</v>
      </c>
      <c r="I87" s="76">
        <f t="shared" si="1"/>
        <v>0</v>
      </c>
      <c r="J87" s="76">
        <f t="shared" si="1"/>
        <v>0</v>
      </c>
      <c r="K87" s="76">
        <f t="shared" si="1"/>
        <v>0</v>
      </c>
      <c r="L87" s="76">
        <f t="shared" si="1"/>
        <v>0</v>
      </c>
    </row>
    <row r="88" spans="6:12" ht="12" x14ac:dyDescent="0.2">
      <c r="F88" s="181" t="str">
        <f>Partner9</f>
        <v>[No está en uso]</v>
      </c>
      <c r="G88" s="182">
        <f t="shared" si="2"/>
        <v>0</v>
      </c>
      <c r="H88" s="76">
        <f t="shared" si="1"/>
        <v>0</v>
      </c>
      <c r="I88" s="76">
        <f t="shared" si="1"/>
        <v>0</v>
      </c>
      <c r="J88" s="76">
        <f t="shared" si="1"/>
        <v>0</v>
      </c>
      <c r="K88" s="76">
        <f t="shared" si="1"/>
        <v>0</v>
      </c>
      <c r="L88" s="76">
        <f t="shared" si="1"/>
        <v>0</v>
      </c>
    </row>
    <row r="89" spans="6:12" ht="12" x14ac:dyDescent="0.2">
      <c r="F89" s="181" t="str">
        <f>Partner10</f>
        <v>[No está en uso]</v>
      </c>
      <c r="G89" s="182">
        <f t="shared" si="2"/>
        <v>0</v>
      </c>
      <c r="H89" s="76">
        <f t="shared" si="1"/>
        <v>0</v>
      </c>
      <c r="I89" s="76">
        <f t="shared" si="1"/>
        <v>0</v>
      </c>
      <c r="J89" s="76">
        <f t="shared" si="1"/>
        <v>0</v>
      </c>
      <c r="K89" s="76">
        <f t="shared" si="1"/>
        <v>0</v>
      </c>
      <c r="L89" s="76">
        <f t="shared" si="1"/>
        <v>0</v>
      </c>
    </row>
    <row r="90" spans="6:12" ht="12" x14ac:dyDescent="0.2">
      <c r="F90" s="156" t="str">
        <f>"Total Funding Gap ("&amp;CURR_INT_ABBR&amp;")"</f>
        <v>Total Funding Gap (USD)</v>
      </c>
      <c r="G90" s="177">
        <f>SUM(G80:G89)</f>
        <v>207364111.55398691</v>
      </c>
      <c r="H90" s="177">
        <f>SUM(H80:H89)</f>
        <v>30757834.692596681</v>
      </c>
      <c r="I90" s="177">
        <f t="shared" ref="I90:L90" si="3">SUM(I80:I89)</f>
        <v>14428516.272508919</v>
      </c>
      <c r="J90" s="177">
        <f t="shared" si="3"/>
        <v>37465709.303660914</v>
      </c>
      <c r="K90" s="177">
        <f t="shared" si="3"/>
        <v>61725862.849359743</v>
      </c>
      <c r="L90" s="177">
        <f t="shared" si="3"/>
        <v>62986188.435860641</v>
      </c>
    </row>
    <row r="91" spans="6:12" ht="12" x14ac:dyDescent="0.2">
      <c r="F91" s="72"/>
      <c r="G91" s="50"/>
      <c r="H91" s="178"/>
      <c r="I91" s="178"/>
      <c r="J91" s="178"/>
      <c r="K91" s="178"/>
      <c r="L91" s="178"/>
    </row>
    <row r="92" spans="6:12" ht="23.25" customHeight="1" x14ac:dyDescent="0.2">
      <c r="F92" s="210" t="str">
        <f>"Funding Gap ("&amp;CURR_LCU_ABBR&amp;")"</f>
        <v>Funding Gap (GOZ)</v>
      </c>
      <c r="G92" s="224" t="s">
        <v>144</v>
      </c>
      <c r="H92" s="102">
        <f>Ts_First_Fin_Yr</f>
        <v>2019</v>
      </c>
      <c r="I92" s="102">
        <f>Ts_First_Fin_Yr+1</f>
        <v>2020</v>
      </c>
      <c r="J92" s="102">
        <f>Ts_First_Fin_Yr+2</f>
        <v>2021</v>
      </c>
      <c r="K92" s="102">
        <f>Ts_First_Fin_Yr+3</f>
        <v>2022</v>
      </c>
      <c r="L92" s="102">
        <f>Ts_First_Fin_Yr+4</f>
        <v>2023</v>
      </c>
    </row>
    <row r="93" spans="6:12" ht="12" x14ac:dyDescent="0.2">
      <c r="F93" s="180" t="str">
        <f>Strategy1</f>
        <v>Objetivo estratégico 1: Fortalecer la gobernanza de la nutrición</v>
      </c>
      <c r="G93" s="91">
        <f>Financial_Gap_Details!I18</f>
        <v>5197846920.5560303</v>
      </c>
      <c r="H93" s="179">
        <f>Financial_Gap_Details!I173</f>
        <v>1336319516.8912058</v>
      </c>
      <c r="I93" s="179">
        <f>Financial_Gap_Details!I328</f>
        <v>-58139813.108794093</v>
      </c>
      <c r="J93" s="179">
        <f>Financial_Gap_Details!I483</f>
        <v>1446068182.9912057</v>
      </c>
      <c r="K93" s="179">
        <f>Financial_Gap_Details!I638</f>
        <v>699373916.89120603</v>
      </c>
      <c r="L93" s="179">
        <f>Financial_Gap_Details!I793</f>
        <v>1774225116.891206</v>
      </c>
    </row>
    <row r="94" spans="6:12" ht="34.200000000000003" x14ac:dyDescent="0.2">
      <c r="F94" s="180" t="str">
        <f>Strategy2</f>
        <v>Objetivo estratégico 2: Fortalecer el acceso al tratamiento y a los servicios de salud y nutrición de calidad, así como al tratamiento de todas las formas de malnutrición</v>
      </c>
      <c r="G94" s="91">
        <f>Financial_Gap_Details!I25</f>
        <v>32319847605.31279</v>
      </c>
      <c r="H94" s="179">
        <f>Financial_Gap_Details!I180</f>
        <v>3381598980.4982386</v>
      </c>
      <c r="I94" s="179">
        <f>Financial_Gap_Details!I335</f>
        <v>2293783811.8537388</v>
      </c>
      <c r="J94" s="179">
        <f>Financial_Gap_Details!I490</f>
        <v>5272740561.7099371</v>
      </c>
      <c r="K94" s="179">
        <f>Financial_Gap_Details!I645</f>
        <v>10600020640.856136</v>
      </c>
      <c r="L94" s="179">
        <f>Financial_Gap_Details!I800</f>
        <v>10771703610.394737</v>
      </c>
    </row>
    <row r="95" spans="6:12" ht="22.8" x14ac:dyDescent="0.2">
      <c r="F95" s="180" t="str">
        <f>Strategy3</f>
        <v>Objetivo estratégico 3: Aumentar la disponibilidad y el acceso a alimentos nutritivos de alto valor, seguros y diversificados</v>
      </c>
      <c r="G95" s="91">
        <f>Financial_Gap_Details!I32</f>
        <v>214226015906.7709</v>
      </c>
      <c r="H95" s="179">
        <f>Financial_Gap_Details!I187</f>
        <v>34599795519.084778</v>
      </c>
      <c r="I95" s="179">
        <f>Financial_Gap_Details!I342</f>
        <v>5876282013.9182816</v>
      </c>
      <c r="J95" s="179">
        <f>Financial_Gap_Details!I497</f>
        <v>36102717996.576477</v>
      </c>
      <c r="K95" s="179">
        <f>Financial_Gap_Details!I652</f>
        <v>68355310940.594971</v>
      </c>
      <c r="L95" s="179">
        <f>Financial_Gap_Details!I807</f>
        <v>69291909436.596375</v>
      </c>
    </row>
    <row r="96" spans="6:12" ht="22.8" x14ac:dyDescent="0.2">
      <c r="F96" s="180" t="str">
        <f>Strategy4</f>
        <v>Objetivo estratégico 4: Fortalecer la protección social, la resiliencia de la respuesta a las emergencias y los desastres naturales.</v>
      </c>
      <c r="G96" s="91">
        <f>Financial_Gap_Details!I39</f>
        <v>97482372577.230652</v>
      </c>
      <c r="H96" s="179">
        <f>Financial_Gap_Details!I194</f>
        <v>18264925406.071892</v>
      </c>
      <c r="I96" s="179">
        <f>Financial_Gap_Details!I349</f>
        <v>11910423287.058287</v>
      </c>
      <c r="J96" s="179">
        <f>Financial_Gap_Details!I504</f>
        <v>18186106014.517487</v>
      </c>
      <c r="K96" s="179">
        <f>Financial_Gap_Details!I659</f>
        <v>24525232239.710686</v>
      </c>
      <c r="L96" s="179">
        <f>Financial_Gap_Details!I814</f>
        <v>24595685629.872288</v>
      </c>
    </row>
    <row r="97" spans="2:12" ht="22.8" x14ac:dyDescent="0.2">
      <c r="F97" s="180" t="str">
        <f>Strategy5</f>
        <v xml:space="preserve">Objetivo estratégico 5: Promoción de prácticas favorables a una nutrición óptima, de higiene y saneamiento básico. </v>
      </c>
      <c r="G97" s="91">
        <f>Financial_Gap_Details!I46</f>
        <v>24029317787.306087</v>
      </c>
      <c r="H97" s="179">
        <f>Financial_Gap_Details!I201</f>
        <v>-2218536975.8720856</v>
      </c>
      <c r="I97" s="179">
        <f>Financial_Gap_Details!I356</f>
        <v>5948979990.7945433</v>
      </c>
      <c r="J97" s="179">
        <f>Financial_Gap_Details!I511</f>
        <v>6430643990.7945442</v>
      </c>
      <c r="K97" s="179">
        <f>Financial_Gap_Details!I666</f>
        <v>6926615390.7945442</v>
      </c>
      <c r="L97" s="179">
        <f>Financial_Gap_Details!I821</f>
        <v>6941615390.7945442</v>
      </c>
    </row>
    <row r="98" spans="2:12" ht="12" x14ac:dyDescent="0.2">
      <c r="F98" s="181" t="str">
        <f>Partner6</f>
        <v>[No está en uso]</v>
      </c>
      <c r="G98" s="91">
        <f>Financial_Gap_Details!I53</f>
        <v>0</v>
      </c>
      <c r="H98" s="179">
        <f>Financial_Gap_Details!I208</f>
        <v>0</v>
      </c>
      <c r="I98" s="179">
        <f>Financial_Gap_Details!I363</f>
        <v>0</v>
      </c>
      <c r="J98" s="179">
        <f>Financial_Gap_Details!I518</f>
        <v>0</v>
      </c>
      <c r="K98" s="179">
        <f>Financial_Gap_Details!I673</f>
        <v>0</v>
      </c>
      <c r="L98" s="179">
        <f>Financial_Gap_Details!I828</f>
        <v>0</v>
      </c>
    </row>
    <row r="99" spans="2:12" ht="12" x14ac:dyDescent="0.2">
      <c r="F99" s="181" t="str">
        <f>Partner7</f>
        <v>[No está en uso]</v>
      </c>
      <c r="G99" s="91">
        <f>Financial_Gap_Details!I60</f>
        <v>0</v>
      </c>
      <c r="H99" s="179">
        <f>Financial_Gap_Details!I215</f>
        <v>0</v>
      </c>
      <c r="I99" s="179">
        <f>Financial_Gap_Details!I370</f>
        <v>0</v>
      </c>
      <c r="J99" s="179">
        <f>Financial_Gap_Details!I525</f>
        <v>0</v>
      </c>
      <c r="K99" s="179">
        <f>Financial_Gap_Details!I680</f>
        <v>0</v>
      </c>
      <c r="L99" s="179">
        <f>Financial_Gap_Details!I835</f>
        <v>0</v>
      </c>
    </row>
    <row r="100" spans="2:12" ht="12" x14ac:dyDescent="0.2">
      <c r="F100" s="181" t="str">
        <f>Partner8</f>
        <v>[No está en uso]</v>
      </c>
      <c r="G100" s="91">
        <f>Financial_Gap_Details!I67</f>
        <v>0</v>
      </c>
      <c r="H100" s="179">
        <f>Financial_Gap_Details!I222</f>
        <v>0</v>
      </c>
      <c r="I100" s="179">
        <f>Financial_Gap_Details!I377</f>
        <v>0</v>
      </c>
      <c r="J100" s="179">
        <f>Financial_Gap_Details!I532</f>
        <v>0</v>
      </c>
      <c r="K100" s="179">
        <f>Financial_Gap_Details!I687</f>
        <v>0</v>
      </c>
      <c r="L100" s="179">
        <f>Financial_Gap_Details!I842</f>
        <v>0</v>
      </c>
    </row>
    <row r="101" spans="2:12" ht="12" x14ac:dyDescent="0.2">
      <c r="F101" s="181" t="str">
        <f>Partner9</f>
        <v>[No está en uso]</v>
      </c>
      <c r="G101" s="91">
        <f>Financial_Gap_Details!I74</f>
        <v>0</v>
      </c>
      <c r="H101" s="179">
        <f>Financial_Gap_Details!I229</f>
        <v>0</v>
      </c>
      <c r="I101" s="179">
        <f>Financial_Gap_Details!I384</f>
        <v>0</v>
      </c>
      <c r="J101" s="179">
        <f>Financial_Gap_Details!I539</f>
        <v>0</v>
      </c>
      <c r="K101" s="179">
        <f>Financial_Gap_Details!I694</f>
        <v>0</v>
      </c>
      <c r="L101" s="179">
        <f>Financial_Gap_Details!I849</f>
        <v>0</v>
      </c>
    </row>
    <row r="102" spans="2:12" ht="12" x14ac:dyDescent="0.2">
      <c r="F102" s="181" t="str">
        <f>Partner10</f>
        <v>[No está en uso]</v>
      </c>
      <c r="G102" s="91">
        <f>Financial_Gap_Details!I81</f>
        <v>0</v>
      </c>
      <c r="H102" s="179">
        <f>Financial_Gap_Details!I236</f>
        <v>0</v>
      </c>
      <c r="I102" s="179">
        <f>Financial_Gap_Details!I391</f>
        <v>0</v>
      </c>
      <c r="J102" s="179">
        <f>Financial_Gap_Details!I546</f>
        <v>0</v>
      </c>
      <c r="K102" s="179">
        <f>Financial_Gap_Details!I701</f>
        <v>0</v>
      </c>
      <c r="L102" s="179">
        <f>Financial_Gap_Details!I856</f>
        <v>0</v>
      </c>
    </row>
    <row r="103" spans="2:12" ht="12" x14ac:dyDescent="0.2">
      <c r="F103" s="156" t="str">
        <f>"Total Funding Gap ("&amp;CURR_LCU_ABBR&amp;")"</f>
        <v>Total Funding Gap (GOZ)</v>
      </c>
      <c r="G103" s="84">
        <f>Financial_Gap_Details!I82</f>
        <v>373255400797.17645</v>
      </c>
      <c r="H103" s="90">
        <f>Financial_Gap_Details!I237</f>
        <v>55364102446.674026</v>
      </c>
      <c r="I103" s="90">
        <f>Financial_Gap_Details!I392</f>
        <v>25971329290.516056</v>
      </c>
      <c r="J103" s="90">
        <f>Financial_Gap_Details!I547</f>
        <v>67438276746.589645</v>
      </c>
      <c r="K103" s="90">
        <f>Financial_Gap_Details!I702</f>
        <v>111106553128.84755</v>
      </c>
      <c r="L103" s="90">
        <f>Financial_Gap_Details!I857</f>
        <v>113375139184.54915</v>
      </c>
    </row>
    <row r="104" spans="2:12" ht="15.75" customHeight="1" x14ac:dyDescent="0.2">
      <c r="F104" s="72"/>
      <c r="G104" s="183"/>
      <c r="H104" s="178"/>
      <c r="I104" s="178"/>
      <c r="J104" s="178"/>
      <c r="K104" s="178"/>
      <c r="L104" s="178"/>
    </row>
    <row r="106" spans="2:12" ht="12" x14ac:dyDescent="0.2">
      <c r="B106" s="98" t="str">
        <f>Strategy1&amp;": Summary Dashboard"</f>
        <v>Objetivo estratégico 1: Fortalecer la gobernanza de la nutrición: Summary Dashboard</v>
      </c>
      <c r="C106" s="1"/>
      <c r="D106" s="1"/>
      <c r="E106" s="1"/>
      <c r="F106" s="1"/>
      <c r="G106" s="1"/>
      <c r="H106" s="1"/>
      <c r="I106" s="1"/>
      <c r="J106" s="1"/>
      <c r="K106" s="1"/>
      <c r="L106" s="1"/>
    </row>
    <row r="109" spans="2:12" ht="12" x14ac:dyDescent="0.2">
      <c r="I109" s="43" t="s">
        <v>142</v>
      </c>
    </row>
    <row r="110" spans="2:12" x14ac:dyDescent="0.2">
      <c r="I110" t="str">
        <f>STRAT1_IND1</f>
        <v>Se refuerza la coordinación multisectorial en materia de nutrición</v>
      </c>
    </row>
    <row r="111" spans="2:12" x14ac:dyDescent="0.2">
      <c r="I111" t="str">
        <f>STRAT1_IND2</f>
        <v>Está en funcionamiento el sistema multisectorial de información sobre nutrición para la adopción de decisiones eficaces.</v>
      </c>
    </row>
    <row r="112" spans="2:12" x14ac:dyDescent="0.2">
      <c r="I112" t="str">
        <f>STRAT1_IND3</f>
        <v>La investigación en nutrición se utiliza para aclarar que la toma de decisiones se mejora y se refuerza.</v>
      </c>
    </row>
    <row r="113" spans="9:12" x14ac:dyDescent="0.2">
      <c r="I113" t="str">
        <f>STRAT1_IND4</f>
        <v>El marco legislativo y reglamentario de la nutrición se ha fortalecido y está en funcionamiento.</v>
      </c>
    </row>
    <row r="114" spans="9:12" x14ac:dyDescent="0.2">
      <c r="I114" t="str">
        <f>STRAT1_IND5</f>
        <v>Objetivo estratégico 1 Indicador 5</v>
      </c>
    </row>
    <row r="121" spans="9:12" x14ac:dyDescent="0.2">
      <c r="I121" s="38"/>
    </row>
    <row r="122" spans="9:12" ht="12" x14ac:dyDescent="0.2">
      <c r="I122" s="229" t="s">
        <v>256</v>
      </c>
    </row>
    <row r="123" spans="9:12" ht="13.8" x14ac:dyDescent="0.2">
      <c r="J123" s="225"/>
      <c r="K123" s="226"/>
      <c r="L123" s="227"/>
    </row>
    <row r="124" spans="9:12" ht="12" x14ac:dyDescent="0.2">
      <c r="I124" s="51" t="s">
        <v>267</v>
      </c>
      <c r="J124" s="228" t="s">
        <v>390</v>
      </c>
      <c r="K124" s="228" t="s">
        <v>391</v>
      </c>
      <c r="L124" s="228" t="s">
        <v>392</v>
      </c>
    </row>
    <row r="125" spans="9:12" ht="12" x14ac:dyDescent="0.2">
      <c r="I125" s="51" t="s">
        <v>166</v>
      </c>
      <c r="J125" s="228" t="s">
        <v>394</v>
      </c>
      <c r="K125" s="228" t="s">
        <v>395</v>
      </c>
      <c r="L125" s="228" t="s">
        <v>396</v>
      </c>
    </row>
    <row r="126" spans="9:12" ht="12" x14ac:dyDescent="0.2">
      <c r="I126" s="51" t="s">
        <v>286</v>
      </c>
      <c r="J126" s="228" t="s">
        <v>397</v>
      </c>
      <c r="L126" s="228" t="s">
        <v>398</v>
      </c>
    </row>
    <row r="129" spans="6:12" ht="17.399999999999999" x14ac:dyDescent="0.2">
      <c r="F129" s="95" t="str">
        <f>CURR_INT_ABBR</f>
        <v>USD</v>
      </c>
    </row>
    <row r="130" spans="6:12" ht="12" x14ac:dyDescent="0.2">
      <c r="F130" s="71" t="str">
        <f>Basic_Setup!$B$104</f>
        <v>Socios que contribuyen a la financiación de los objetivos y resultados estratégicos</v>
      </c>
      <c r="G130" s="137" t="s">
        <v>292</v>
      </c>
      <c r="H130" s="102">
        <f>Ts_First_Fin_Yr</f>
        <v>2019</v>
      </c>
      <c r="I130" s="102">
        <f>Ts_First_Fin_Yr+1</f>
        <v>2020</v>
      </c>
      <c r="J130" s="102">
        <f>Ts_First_Fin_Yr+2</f>
        <v>2021</v>
      </c>
      <c r="K130" s="102">
        <f>Ts_First_Fin_Yr+3</f>
        <v>2022</v>
      </c>
      <c r="L130" s="102">
        <f>Ts_First_Fin_Yr+4</f>
        <v>2023</v>
      </c>
    </row>
    <row r="131" spans="6:12" x14ac:dyDescent="0.2">
      <c r="F131" t="str">
        <f>Partner1</f>
        <v>UNICEF</v>
      </c>
      <c r="G131" s="62">
        <f>Partner1!I$25</f>
        <v>40000</v>
      </c>
      <c r="H131" s="114">
        <f>Partner1!J$25</f>
        <v>8000</v>
      </c>
      <c r="I131" s="62">
        <f>Partner1!K$25</f>
        <v>8000</v>
      </c>
      <c r="J131" s="62">
        <f>Partner1!L$25</f>
        <v>8000</v>
      </c>
      <c r="K131" s="62">
        <f>Partner1!M$25</f>
        <v>8000</v>
      </c>
      <c r="L131" s="62">
        <f>Partner1!N$25</f>
        <v>8000</v>
      </c>
    </row>
    <row r="132" spans="6:12" x14ac:dyDescent="0.2">
      <c r="F132" t="str">
        <f>Partner2</f>
        <v>Organización Mundial de la Salud</v>
      </c>
      <c r="G132" s="62">
        <f>Partner2!I$25</f>
        <v>25000</v>
      </c>
      <c r="H132" s="114">
        <f>Partner2!J$25</f>
        <v>5000</v>
      </c>
      <c r="I132" s="62">
        <f>Partner2!K$25</f>
        <v>5000</v>
      </c>
      <c r="J132" s="62">
        <f>Partner2!L$25</f>
        <v>10000</v>
      </c>
      <c r="K132" s="62">
        <f>Partner2!M$25</f>
        <v>5000</v>
      </c>
      <c r="L132" s="62">
        <f>Partner2!N$25</f>
        <v>0</v>
      </c>
    </row>
    <row r="133" spans="6:12" x14ac:dyDescent="0.2">
      <c r="F133" t="str">
        <f>Partner3</f>
        <v>Banco Mundial</v>
      </c>
      <c r="G133" s="62">
        <f>Partner3!I$25</f>
        <v>1136844</v>
      </c>
      <c r="H133" s="114">
        <f>Partner3!J$25</f>
        <v>283873</v>
      </c>
      <c r="I133" s="62">
        <f>Partner3!K$25</f>
        <v>569098</v>
      </c>
      <c r="J133" s="62">
        <f>Partner3!L$25</f>
        <v>283873</v>
      </c>
      <c r="K133" s="62">
        <f>Partner3!M$25</f>
        <v>0</v>
      </c>
      <c r="L133" s="62">
        <f>Partner3!N$25</f>
        <v>0</v>
      </c>
    </row>
    <row r="134" spans="6:12" x14ac:dyDescent="0.2">
      <c r="F134" t="str">
        <f>Partner4</f>
        <v>Organización de las Naciones Unidas para la Alimentación y la Agricultura</v>
      </c>
      <c r="G134" s="62">
        <f>Partner4!I$25</f>
        <v>87900</v>
      </c>
      <c r="H134" s="114">
        <f>Partner4!J$25</f>
        <v>43950</v>
      </c>
      <c r="I134" s="62">
        <f>Partner4!K$25</f>
        <v>43950</v>
      </c>
      <c r="J134" s="62">
        <f>Partner4!L$25</f>
        <v>0</v>
      </c>
      <c r="K134" s="62">
        <f>Partner4!M$25</f>
        <v>0</v>
      </c>
      <c r="L134" s="62">
        <f>Partner4!N$25</f>
        <v>0</v>
      </c>
    </row>
    <row r="135" spans="6:12" x14ac:dyDescent="0.2">
      <c r="F135" t="str">
        <f>Partner5</f>
        <v>Programa Mundial de Alimentos</v>
      </c>
      <c r="G135" s="62">
        <f>Partner5!I$25</f>
        <v>750000</v>
      </c>
      <c r="H135" s="114">
        <f>Partner5!J$25</f>
        <v>150000</v>
      </c>
      <c r="I135" s="62">
        <f>Partner5!K$25</f>
        <v>150000</v>
      </c>
      <c r="J135" s="62">
        <f>Partner5!L$25</f>
        <v>150000</v>
      </c>
      <c r="K135" s="62">
        <f>Partner5!M$25</f>
        <v>150000</v>
      </c>
      <c r="L135" s="62">
        <f>Partner5!N$25</f>
        <v>150000</v>
      </c>
    </row>
    <row r="136" spans="6:12" x14ac:dyDescent="0.2">
      <c r="F136" t="str">
        <f>Partner6</f>
        <v>[No está en uso]</v>
      </c>
      <c r="G136" s="62">
        <f>Partner6!I$25</f>
        <v>0</v>
      </c>
      <c r="H136" s="114">
        <f>Partner6!J$25</f>
        <v>0</v>
      </c>
      <c r="I136" s="62">
        <f>Partner6!K$25</f>
        <v>0</v>
      </c>
      <c r="J136" s="62">
        <f>Partner6!L$25</f>
        <v>0</v>
      </c>
      <c r="K136" s="62">
        <f>Partner6!M$25</f>
        <v>0</v>
      </c>
      <c r="L136" s="62">
        <f>Partner6!N$25</f>
        <v>0</v>
      </c>
    </row>
    <row r="137" spans="6:12" x14ac:dyDescent="0.2">
      <c r="F137" t="str">
        <f>Partner7</f>
        <v>[No está en uso]</v>
      </c>
      <c r="G137" s="62">
        <f>Partner7!I$25</f>
        <v>0</v>
      </c>
      <c r="H137" s="114">
        <f>Partner7!J$25</f>
        <v>0</v>
      </c>
      <c r="I137" s="62">
        <f>Partner7!K$25</f>
        <v>0</v>
      </c>
      <c r="J137" s="62">
        <f>Partner7!L$25</f>
        <v>0</v>
      </c>
      <c r="K137" s="62">
        <f>Partner7!M$25</f>
        <v>0</v>
      </c>
      <c r="L137" s="62">
        <f>Partner7!N$25</f>
        <v>0</v>
      </c>
    </row>
    <row r="138" spans="6:12" x14ac:dyDescent="0.2">
      <c r="F138" t="str">
        <f>Partner8</f>
        <v>[No está en uso]</v>
      </c>
      <c r="G138" s="62">
        <f>Partner8!I$25</f>
        <v>0</v>
      </c>
      <c r="H138" s="114">
        <f>Partner8!J$25</f>
        <v>0</v>
      </c>
      <c r="I138" s="62">
        <f>Partner8!K$25</f>
        <v>0</v>
      </c>
      <c r="J138" s="62">
        <f>Partner8!L$25</f>
        <v>0</v>
      </c>
      <c r="K138" s="62">
        <f>Partner8!M$25</f>
        <v>0</v>
      </c>
      <c r="L138" s="62">
        <f>Partner8!N$25</f>
        <v>0</v>
      </c>
    </row>
    <row r="139" spans="6:12" x14ac:dyDescent="0.2">
      <c r="F139" t="str">
        <f>Partner9</f>
        <v>[No está en uso]</v>
      </c>
      <c r="G139" s="62">
        <f>Partner9!I$25</f>
        <v>0</v>
      </c>
      <c r="H139" s="114">
        <f>Partner9!J$25</f>
        <v>0</v>
      </c>
      <c r="I139" s="62">
        <f>Partner9!K$25</f>
        <v>0</v>
      </c>
      <c r="J139" s="62">
        <f>Partner9!L$25</f>
        <v>0</v>
      </c>
      <c r="K139" s="62">
        <f>Partner9!M$25</f>
        <v>0</v>
      </c>
      <c r="L139" s="62">
        <f>Partner9!N$25</f>
        <v>0</v>
      </c>
    </row>
    <row r="140" spans="6:12" x14ac:dyDescent="0.2">
      <c r="F140" t="str">
        <f>Partner10</f>
        <v>[No está en uso]</v>
      </c>
      <c r="G140" s="62">
        <f>Partner10!I$25</f>
        <v>0</v>
      </c>
      <c r="H140" s="115">
        <f>Partner10!J$25</f>
        <v>0</v>
      </c>
      <c r="I140" s="62">
        <f>Partner10!K$25</f>
        <v>0</v>
      </c>
      <c r="J140" s="62">
        <f>Partner10!L$25</f>
        <v>0</v>
      </c>
      <c r="K140" s="62">
        <f>Partner10!M$25</f>
        <v>0</v>
      </c>
      <c r="L140" s="62">
        <f>Partner10!N$25</f>
        <v>0</v>
      </c>
    </row>
    <row r="141" spans="6:12" ht="12" x14ac:dyDescent="0.2">
      <c r="F141" s="155" t="str">
        <f>"Subtotal - "&amp;F130&amp;" Contribution"</f>
        <v>Subtotal - Socios que contribuyen a la financiación de los objetivos y resultados estratégicos Contribution</v>
      </c>
      <c r="G141" s="116">
        <f>SUM(G131:G140)</f>
        <v>2039744</v>
      </c>
      <c r="H141" s="117">
        <f t="shared" ref="H141:L141" si="4">SUM(H131:H140)</f>
        <v>490823</v>
      </c>
      <c r="I141" s="117">
        <f t="shared" si="4"/>
        <v>776048</v>
      </c>
      <c r="J141" s="117">
        <f t="shared" si="4"/>
        <v>451873</v>
      </c>
      <c r="K141" s="117">
        <f t="shared" si="4"/>
        <v>163000</v>
      </c>
      <c r="L141" s="117">
        <f t="shared" si="4"/>
        <v>158000</v>
      </c>
    </row>
    <row r="142" spans="6:12" ht="12" x14ac:dyDescent="0.2">
      <c r="F142" s="138" t="s">
        <v>99</v>
      </c>
      <c r="G142" s="113">
        <f>G141/G147</f>
        <v>0.40312075546837828</v>
      </c>
      <c r="H142" s="113">
        <f t="shared" ref="H142:L142" si="5">H141/H147</f>
        <v>0.38963110485081315</v>
      </c>
      <c r="I142" s="113">
        <f t="shared" si="5"/>
        <v>1.0075438715552767</v>
      </c>
      <c r="J142" s="113">
        <f t="shared" si="5"/>
        <v>0.35254831605294112</v>
      </c>
      <c r="K142" s="113">
        <f t="shared" si="5"/>
        <v>0.28199209441795015</v>
      </c>
      <c r="L142" s="113">
        <f t="shared" si="5"/>
        <v>0.13502312270976405</v>
      </c>
    </row>
    <row r="143" spans="6:12" ht="12" x14ac:dyDescent="0.2">
      <c r="F143" s="139" t="s">
        <v>250</v>
      </c>
      <c r="G143" s="118">
        <f>SUM(H143:L143)</f>
        <v>132446.61974665002</v>
      </c>
      <c r="H143" s="119">
        <f>Summary_Govt_Contributions!J65</f>
        <v>26489.323949330003</v>
      </c>
      <c r="I143" s="119">
        <f>Summary_Govt_Contributions!K65</f>
        <v>26489.323949330003</v>
      </c>
      <c r="J143" s="119">
        <f>Summary_Govt_Contributions!L65</f>
        <v>26489.323949330003</v>
      </c>
      <c r="K143" s="119">
        <f>Summary_Govt_Contributions!M65</f>
        <v>26489.323949330003</v>
      </c>
      <c r="L143" s="119">
        <f>Summary_Govt_Contributions!N65</f>
        <v>26489.323949330003</v>
      </c>
    </row>
    <row r="144" spans="6:12" ht="12" x14ac:dyDescent="0.2">
      <c r="F144" s="138" t="s">
        <v>249</v>
      </c>
      <c r="G144" s="113">
        <f>G143/G147</f>
        <v>2.6175824716975552E-2</v>
      </c>
      <c r="H144" s="113">
        <f t="shared" ref="H144:L144" si="6">H143/H147</f>
        <v>2.1028078466429963E-2</v>
      </c>
      <c r="I144" s="113">
        <f t="shared" si="6"/>
        <v>3.439111499132768E-2</v>
      </c>
      <c r="J144" s="113">
        <f t="shared" si="6"/>
        <v>2.0666794766930393E-2</v>
      </c>
      <c r="K144" s="113">
        <f t="shared" si="6"/>
        <v>4.5826870798694075E-2</v>
      </c>
      <c r="L144" s="113">
        <f t="shared" si="6"/>
        <v>2.2637159734867573E-2</v>
      </c>
    </row>
    <row r="145" spans="2:13" ht="12" x14ac:dyDescent="0.2">
      <c r="F145" s="140" t="s">
        <v>288</v>
      </c>
      <c r="G145" s="118">
        <f>SUM(G141:G143)</f>
        <v>2172191.0228674053</v>
      </c>
      <c r="H145" s="117">
        <f>SUM(H141,H143)</f>
        <v>517312.32394933002</v>
      </c>
      <c r="I145" s="117">
        <f t="shared" ref="I145:L145" si="7">SUM(I141,I143)</f>
        <v>802537.32394933002</v>
      </c>
      <c r="J145" s="117">
        <f t="shared" si="7"/>
        <v>478362.32394933002</v>
      </c>
      <c r="K145" s="117">
        <f t="shared" si="7"/>
        <v>189489.32394932999</v>
      </c>
      <c r="L145" s="117">
        <f t="shared" si="7"/>
        <v>184489.32394932999</v>
      </c>
      <c r="M145" s="75"/>
    </row>
    <row r="146" spans="2:13" ht="12" x14ac:dyDescent="0.2">
      <c r="F146" s="51"/>
      <c r="G146" s="119"/>
      <c r="H146" s="119"/>
      <c r="I146" s="119"/>
      <c r="J146" s="119"/>
      <c r="K146" s="119"/>
      <c r="L146" s="119"/>
    </row>
    <row r="147" spans="2:13" ht="12" x14ac:dyDescent="0.2">
      <c r="F147" s="140" t="s">
        <v>287</v>
      </c>
      <c r="G147" s="120">
        <f>SUM(H147:L147)</f>
        <v>5059883.3533888888</v>
      </c>
      <c r="H147" s="67">
        <f>'Financial Req'!J97</f>
        <v>1259712.0555555555</v>
      </c>
      <c r="I147" s="67">
        <f>'Financial Req'!K97</f>
        <v>770237.42777777778</v>
      </c>
      <c r="J147" s="67">
        <f>'Financial Req'!L97</f>
        <v>1281733.5367222221</v>
      </c>
      <c r="K147" s="67">
        <f>'Financial Req'!M97</f>
        <v>578030.38888888888</v>
      </c>
      <c r="L147" s="67">
        <f>'Financial Req'!N97</f>
        <v>1170169.9444444445</v>
      </c>
    </row>
    <row r="148" spans="2:13" ht="12" x14ac:dyDescent="0.2">
      <c r="F148" s="51"/>
      <c r="G148" s="38"/>
      <c r="H148" s="67"/>
      <c r="I148" s="67"/>
      <c r="J148" s="67"/>
      <c r="K148" s="67"/>
      <c r="L148" s="67"/>
    </row>
    <row r="149" spans="2:13" ht="12" x14ac:dyDescent="0.2">
      <c r="F149" s="141" t="s">
        <v>286</v>
      </c>
      <c r="G149" s="121">
        <f>G145/G147</f>
        <v>0.42929665985532389</v>
      </c>
      <c r="H149" s="121">
        <f>H145/H147</f>
        <v>0.4106591833172431</v>
      </c>
      <c r="I149" s="121">
        <f t="shared" ref="I149:L149" si="8">I145/I147</f>
        <v>1.0419349865466043</v>
      </c>
      <c r="J149" s="121">
        <f t="shared" si="8"/>
        <v>0.37321511081987152</v>
      </c>
      <c r="K149" s="121">
        <f t="shared" si="8"/>
        <v>0.32781896521664422</v>
      </c>
      <c r="L149" s="121">
        <f t="shared" si="8"/>
        <v>0.15766028244463159</v>
      </c>
    </row>
    <row r="150" spans="2:13" ht="12" x14ac:dyDescent="0.2">
      <c r="F150" s="51"/>
      <c r="G150" s="101"/>
    </row>
    <row r="151" spans="2:13" ht="17.399999999999999" x14ac:dyDescent="0.2">
      <c r="F151" s="210" t="str">
        <f>"Funding Gap ("&amp;CURR_INT_ABBR&amp;")"</f>
        <v>Funding Gap (USD)</v>
      </c>
      <c r="G151" s="176">
        <f>G147-G145</f>
        <v>2887692.3305214834</v>
      </c>
      <c r="H151" s="175">
        <f>H147-H145</f>
        <v>742399.73160622548</v>
      </c>
      <c r="I151" s="175">
        <f t="shared" ref="I151:L151" si="9">I147-I145</f>
        <v>-32299.896171552246</v>
      </c>
      <c r="J151" s="175">
        <f t="shared" si="9"/>
        <v>803371.21277289209</v>
      </c>
      <c r="K151" s="175">
        <f t="shared" si="9"/>
        <v>388541.06493955886</v>
      </c>
      <c r="L151" s="175">
        <f t="shared" si="9"/>
        <v>985680.62049511448</v>
      </c>
    </row>
    <row r="152" spans="2:13" ht="12" x14ac:dyDescent="0.2">
      <c r="F152" s="51"/>
      <c r="G152" s="101"/>
    </row>
    <row r="153" spans="2:13" ht="12" x14ac:dyDescent="0.2">
      <c r="B153" s="98" t="str">
        <f>Strategy2&amp;": Summary Dashboard"</f>
        <v>Objetivo estratégico 2: Fortalecer el acceso al tratamiento y a los servicios de salud y nutrición de calidad, así como al tratamiento de todas las formas de malnutrición: Summary Dashboard</v>
      </c>
      <c r="C153" s="1"/>
      <c r="D153" s="1"/>
      <c r="E153" s="1"/>
      <c r="F153" s="1"/>
      <c r="G153" s="1"/>
      <c r="H153" s="1"/>
      <c r="I153" s="1"/>
      <c r="J153" s="1"/>
      <c r="K153" s="1"/>
      <c r="L153" s="1"/>
    </row>
    <row r="156" spans="2:13" ht="12" x14ac:dyDescent="0.2">
      <c r="I156" s="43" t="s">
        <v>142</v>
      </c>
    </row>
    <row r="157" spans="2:13" x14ac:dyDescent="0.2">
      <c r="I157" t="str">
        <f>STRAT2_IND1</f>
        <v>Se fortalece el acceso y la utilización sostenible de los servicios de salud y nutrición para los niños menores de 5 años, los adolescentes, las mujeres embarazadas y lactantes, y los demás grupos vulnerables</v>
      </c>
    </row>
    <row r="158" spans="2:13" x14ac:dyDescent="0.2">
      <c r="I158" t="str">
        <f>STRAT2_IND2</f>
        <v xml:space="preserve">Se reduce la prevalencia de enfermedades relacionadas con la prevalencia de la malnutrición (paludismo, diarrea, neumonía, parásitos intestinales, VIH, TNM) en lactantes, adolescentes y mujeres en edad reproductiva. </v>
      </c>
    </row>
    <row r="159" spans="2:13" x14ac:dyDescent="0.2">
      <c r="I159" t="str">
        <f>STRAT2_IND3</f>
        <v>Se refuerzan las intervenciones comunitarias en materia de nutrición.</v>
      </c>
    </row>
    <row r="160" spans="2:13" x14ac:dyDescent="0.2">
      <c r="I160" t="str">
        <f>STRAT2_IND4</f>
        <v>Objetivo estratégico 2 Indicador 4</v>
      </c>
    </row>
    <row r="161" spans="6:12" x14ac:dyDescent="0.2">
      <c r="I161" t="str">
        <f>STRAT2_IND5</f>
        <v>Objetivo estratégico 2 Indicador 5</v>
      </c>
    </row>
    <row r="169" spans="6:12" ht="12" x14ac:dyDescent="0.2">
      <c r="I169" s="229" t="s">
        <v>256</v>
      </c>
    </row>
    <row r="170" spans="6:12" ht="13.8" x14ac:dyDescent="0.2">
      <c r="J170" s="225"/>
      <c r="K170" s="226"/>
      <c r="L170" s="227"/>
    </row>
    <row r="171" spans="6:12" ht="12" x14ac:dyDescent="0.2">
      <c r="I171" s="51" t="s">
        <v>267</v>
      </c>
      <c r="J171" s="228" t="s">
        <v>390</v>
      </c>
      <c r="K171" s="228" t="s">
        <v>391</v>
      </c>
      <c r="L171" s="228" t="s">
        <v>392</v>
      </c>
    </row>
    <row r="172" spans="6:12" ht="12" x14ac:dyDescent="0.2">
      <c r="I172" s="51" t="s">
        <v>166</v>
      </c>
      <c r="J172" s="228" t="s">
        <v>394</v>
      </c>
      <c r="K172" s="228" t="s">
        <v>395</v>
      </c>
      <c r="L172" s="228" t="s">
        <v>396</v>
      </c>
    </row>
    <row r="173" spans="6:12" ht="12" x14ac:dyDescent="0.2">
      <c r="I173" s="51" t="s">
        <v>286</v>
      </c>
      <c r="J173" s="228" t="s">
        <v>397</v>
      </c>
      <c r="L173" s="228" t="s">
        <v>398</v>
      </c>
    </row>
    <row r="176" spans="6:12" ht="17.399999999999999" x14ac:dyDescent="0.2">
      <c r="F176" s="95" t="str">
        <f>CURR_INT_ABBR</f>
        <v>USD</v>
      </c>
    </row>
    <row r="177" spans="6:12" ht="12" x14ac:dyDescent="0.2">
      <c r="F177" s="71" t="str">
        <f>Basic_Setup!$B$104</f>
        <v>Socios que contribuyen a la financiación de los objetivos y resultados estratégicos</v>
      </c>
      <c r="G177" s="137" t="s">
        <v>292</v>
      </c>
      <c r="H177" s="102">
        <f>Ts_First_Fin_Yr</f>
        <v>2019</v>
      </c>
      <c r="I177" s="102">
        <f>Ts_First_Fin_Yr+1</f>
        <v>2020</v>
      </c>
      <c r="J177" s="102">
        <f>Ts_First_Fin_Yr+2</f>
        <v>2021</v>
      </c>
      <c r="K177" s="102">
        <f>Ts_First_Fin_Yr+3</f>
        <v>2022</v>
      </c>
      <c r="L177" s="102">
        <f>Ts_First_Fin_Yr+4</f>
        <v>2023</v>
      </c>
    </row>
    <row r="178" spans="6:12" x14ac:dyDescent="0.2">
      <c r="F178" t="str">
        <f>Partner1</f>
        <v>UNICEF</v>
      </c>
      <c r="G178" s="62">
        <f>Partner1!I$31</f>
        <v>24000000</v>
      </c>
      <c r="H178" s="114">
        <f>Partner1!J$31</f>
        <v>4800000</v>
      </c>
      <c r="I178" s="62">
        <f>Partner1!K$31</f>
        <v>4800000</v>
      </c>
      <c r="J178" s="62">
        <f>Partner1!L$31</f>
        <v>4800000</v>
      </c>
      <c r="K178" s="62">
        <f>Partner1!M$31</f>
        <v>4800000</v>
      </c>
      <c r="L178" s="62">
        <f>Partner1!N$31</f>
        <v>4800000</v>
      </c>
    </row>
    <row r="179" spans="6:12" x14ac:dyDescent="0.2">
      <c r="F179" t="str">
        <f>Partner2</f>
        <v>Organización Mundial de la Salud</v>
      </c>
      <c r="G179" s="62">
        <f>Partner2!I$31</f>
        <v>75000</v>
      </c>
      <c r="H179" s="114">
        <f>Partner2!J$31</f>
        <v>15000</v>
      </c>
      <c r="I179" s="62">
        <f>Partner2!K$31</f>
        <v>30000</v>
      </c>
      <c r="J179" s="62">
        <f>Partner2!L$31</f>
        <v>25000</v>
      </c>
      <c r="K179" s="62">
        <f>Partner2!M$31</f>
        <v>5000</v>
      </c>
      <c r="L179" s="62">
        <f>Partner2!N$31</f>
        <v>0</v>
      </c>
    </row>
    <row r="180" spans="6:12" x14ac:dyDescent="0.2">
      <c r="F180" t="str">
        <f>Partner3</f>
        <v>Banco Mundial</v>
      </c>
      <c r="G180" s="62">
        <f>Partner3!I$31</f>
        <v>11522937</v>
      </c>
      <c r="H180" s="114">
        <f>Partner3!J$31</f>
        <v>2823054.5</v>
      </c>
      <c r="I180" s="62">
        <f>Partner3!K$31</f>
        <v>5876828</v>
      </c>
      <c r="J180" s="62">
        <f>Partner3!L$31</f>
        <v>2823054.5</v>
      </c>
      <c r="K180" s="62">
        <f>Partner3!M$31</f>
        <v>0</v>
      </c>
      <c r="L180" s="62">
        <f>Partner3!N$31</f>
        <v>0</v>
      </c>
    </row>
    <row r="181" spans="6:12" x14ac:dyDescent="0.2">
      <c r="F181" t="str">
        <f>Partner4</f>
        <v>Organización de las Naciones Unidas para la Alimentación y la Agricultura</v>
      </c>
      <c r="G181" s="62">
        <f>Partner4!I$31</f>
        <v>0</v>
      </c>
      <c r="H181" s="114">
        <f>Partner4!J$31</f>
        <v>0</v>
      </c>
      <c r="I181" s="62">
        <f>Partner4!K$31</f>
        <v>0</v>
      </c>
      <c r="J181" s="62">
        <f>Partner4!L$31</f>
        <v>0</v>
      </c>
      <c r="K181" s="62">
        <f>Partner4!M$31</f>
        <v>0</v>
      </c>
      <c r="L181" s="62">
        <f>Partner4!N$31</f>
        <v>0</v>
      </c>
    </row>
    <row r="182" spans="6:12" x14ac:dyDescent="0.2">
      <c r="F182" t="str">
        <f>Partner5</f>
        <v>Programa Mundial de Alimentos</v>
      </c>
      <c r="G182" s="62">
        <f>Partner5!I$31</f>
        <v>7500000</v>
      </c>
      <c r="H182" s="114">
        <f>Partner5!J$31</f>
        <v>1500000</v>
      </c>
      <c r="I182" s="62">
        <f>Partner5!K$31</f>
        <v>1500000</v>
      </c>
      <c r="J182" s="62">
        <f>Partner5!L$31</f>
        <v>1500000</v>
      </c>
      <c r="K182" s="62">
        <f>Partner5!M$31</f>
        <v>1500000</v>
      </c>
      <c r="L182" s="62">
        <f>Partner5!N$31</f>
        <v>1500000</v>
      </c>
    </row>
    <row r="183" spans="6:12" x14ac:dyDescent="0.2">
      <c r="F183" t="str">
        <f>Partner6</f>
        <v>[No está en uso]</v>
      </c>
      <c r="G183" s="62">
        <f>Partner6!I$31</f>
        <v>0</v>
      </c>
      <c r="H183" s="114">
        <f>Partner6!J$31</f>
        <v>0</v>
      </c>
      <c r="I183" s="62">
        <f>Partner6!K$31</f>
        <v>0</v>
      </c>
      <c r="J183" s="62">
        <f>Partner6!L$31</f>
        <v>0</v>
      </c>
      <c r="K183" s="62">
        <f>Partner6!M$31</f>
        <v>0</v>
      </c>
      <c r="L183" s="62">
        <f>Partner6!N$31</f>
        <v>0</v>
      </c>
    </row>
    <row r="184" spans="6:12" x14ac:dyDescent="0.2">
      <c r="F184" t="str">
        <f>Partner7</f>
        <v>[No está en uso]</v>
      </c>
      <c r="G184" s="62">
        <f>Partner7!I$31</f>
        <v>0</v>
      </c>
      <c r="H184" s="114">
        <f>Partner7!J$31</f>
        <v>0</v>
      </c>
      <c r="I184" s="62">
        <f>Partner7!K$31</f>
        <v>0</v>
      </c>
      <c r="J184" s="62">
        <f>Partner7!L$31</f>
        <v>0</v>
      </c>
      <c r="K184" s="62">
        <f>Partner7!M$31</f>
        <v>0</v>
      </c>
      <c r="L184" s="62">
        <f>Partner7!N$31</f>
        <v>0</v>
      </c>
    </row>
    <row r="185" spans="6:12" x14ac:dyDescent="0.2">
      <c r="F185" t="str">
        <f>Partner8</f>
        <v>[No está en uso]</v>
      </c>
      <c r="G185" s="62">
        <f>Partner8!I$31</f>
        <v>0</v>
      </c>
      <c r="H185" s="114">
        <f>Partner8!J$31</f>
        <v>0</v>
      </c>
      <c r="I185" s="62">
        <f>Partner8!K$31</f>
        <v>0</v>
      </c>
      <c r="J185" s="62">
        <f>Partner8!L$31</f>
        <v>0</v>
      </c>
      <c r="K185" s="62">
        <f>Partner8!M$31</f>
        <v>0</v>
      </c>
      <c r="L185" s="62">
        <f>Partner8!N$31</f>
        <v>0</v>
      </c>
    </row>
    <row r="186" spans="6:12" x14ac:dyDescent="0.2">
      <c r="F186" t="str">
        <f>Partner9</f>
        <v>[No está en uso]</v>
      </c>
      <c r="G186" s="62">
        <f>Partner9!I$31</f>
        <v>0</v>
      </c>
      <c r="H186" s="114">
        <f>Partner9!J$31</f>
        <v>0</v>
      </c>
      <c r="I186" s="62">
        <f>Partner9!K$31</f>
        <v>0</v>
      </c>
      <c r="J186" s="62">
        <f>Partner9!L$31</f>
        <v>0</v>
      </c>
      <c r="K186" s="62">
        <f>Partner9!M$31</f>
        <v>0</v>
      </c>
      <c r="L186" s="62">
        <f>Partner9!N$31</f>
        <v>0</v>
      </c>
    </row>
    <row r="187" spans="6:12" x14ac:dyDescent="0.2">
      <c r="F187" t="str">
        <f>Partner10</f>
        <v>[No está en uso]</v>
      </c>
      <c r="G187" s="62">
        <f>Partner10!I$31</f>
        <v>0</v>
      </c>
      <c r="H187" s="115">
        <f>Partner10!J$31</f>
        <v>0</v>
      </c>
      <c r="I187" s="62">
        <f>Partner10!K$31</f>
        <v>0</v>
      </c>
      <c r="J187" s="62">
        <f>Partner10!L$31</f>
        <v>0</v>
      </c>
      <c r="K187" s="62">
        <f>Partner10!M$31</f>
        <v>0</v>
      </c>
      <c r="L187" s="62">
        <f>Partner10!N$31</f>
        <v>0</v>
      </c>
    </row>
    <row r="188" spans="6:12" ht="12" x14ac:dyDescent="0.2">
      <c r="F188" s="155" t="str">
        <f>"Subtotal - "&amp;F177&amp;" Contribution"</f>
        <v>Subtotal - Socios que contribuyen a la financiación de los objetivos y resultados estratégicos Contribution</v>
      </c>
      <c r="G188" s="116">
        <f>SUM(G178:G187)</f>
        <v>43097937</v>
      </c>
      <c r="H188" s="117">
        <f t="shared" ref="H188" si="10">SUM(H178:H187)</f>
        <v>9138054.5</v>
      </c>
      <c r="I188" s="117">
        <f t="shared" ref="I188" si="11">SUM(I178:I187)</f>
        <v>12206828</v>
      </c>
      <c r="J188" s="117">
        <f t="shared" ref="J188" si="12">SUM(J178:J187)</f>
        <v>9148054.5</v>
      </c>
      <c r="K188" s="117">
        <f t="shared" ref="K188" si="13">SUM(K178:K187)</f>
        <v>6305000</v>
      </c>
      <c r="L188" s="117">
        <f t="shared" ref="L188" si="14">SUM(L178:L187)</f>
        <v>6300000</v>
      </c>
    </row>
    <row r="189" spans="6:12" ht="12" x14ac:dyDescent="0.2">
      <c r="F189" s="138" t="s">
        <v>99</v>
      </c>
      <c r="G189" s="113">
        <f>G188/G194</f>
        <v>0.64994741321640992</v>
      </c>
      <c r="H189" s="113">
        <f t="shared" ref="H189:L189" si="15">H188/H194</f>
        <v>0.75721268261304242</v>
      </c>
      <c r="I189" s="113">
        <f t="shared" si="15"/>
        <v>0.83997056224039723</v>
      </c>
      <c r="J189" s="113">
        <f t="shared" si="15"/>
        <v>0.69680085919955259</v>
      </c>
      <c r="K189" s="113">
        <f t="shared" si="15"/>
        <v>0.47602166743960367</v>
      </c>
      <c r="L189" s="113">
        <f t="shared" si="15"/>
        <v>0.47242058039152873</v>
      </c>
    </row>
    <row r="190" spans="6:12" ht="12" x14ac:dyDescent="0.2">
      <c r="F190" s="139" t="s">
        <v>250</v>
      </c>
      <c r="G190" s="118">
        <f>SUM(H190:L190)</f>
        <v>5256475.2211951725</v>
      </c>
      <c r="H190" s="119">
        <f>Summary_Govt_Contributions!J66</f>
        <v>1051295.0442390344</v>
      </c>
      <c r="I190" s="119">
        <f>Summary_Govt_Contributions!K66</f>
        <v>1051295.0442390344</v>
      </c>
      <c r="J190" s="119">
        <f>Summary_Govt_Contributions!L66</f>
        <v>1051295.0442390344</v>
      </c>
      <c r="K190" s="119">
        <f>Summary_Govt_Contributions!M66</f>
        <v>1051295.0442390344</v>
      </c>
      <c r="L190" s="119">
        <f>Summary_Govt_Contributions!N66</f>
        <v>1051295.0442390344</v>
      </c>
    </row>
    <row r="191" spans="6:12" ht="12" x14ac:dyDescent="0.2">
      <c r="F191" s="138" t="s">
        <v>249</v>
      </c>
      <c r="G191" s="113">
        <f>G190/G194</f>
        <v>7.9271369129616548E-2</v>
      </c>
      <c r="H191" s="113">
        <f t="shared" ref="H191:L191" si="16">H190/H194</f>
        <v>8.7114159875719327E-2</v>
      </c>
      <c r="I191" s="113">
        <f t="shared" si="16"/>
        <v>7.2341224877585319E-2</v>
      </c>
      <c r="J191" s="113">
        <f t="shared" si="16"/>
        <v>8.007640204788799E-2</v>
      </c>
      <c r="K191" s="113">
        <f t="shared" si="16"/>
        <v>7.9371803319533238E-2</v>
      </c>
      <c r="L191" s="113">
        <f t="shared" si="16"/>
        <v>7.8833875390816266E-2</v>
      </c>
    </row>
    <row r="192" spans="6:12" ht="12" x14ac:dyDescent="0.2">
      <c r="F192" s="140" t="s">
        <v>288</v>
      </c>
      <c r="G192" s="118">
        <f>SUM(G188:G190)</f>
        <v>48354412.871142581</v>
      </c>
      <c r="H192" s="117">
        <f>SUM(H188,H190)</f>
        <v>10189349.544239035</v>
      </c>
      <c r="I192" s="117">
        <f t="shared" ref="I192:L192" si="17">SUM(I188,I190)</f>
        <v>13258123.044239035</v>
      </c>
      <c r="J192" s="117">
        <f t="shared" si="17"/>
        <v>10199349.544239035</v>
      </c>
      <c r="K192" s="117">
        <f t="shared" si="17"/>
        <v>7356295.0442390349</v>
      </c>
      <c r="L192" s="117">
        <f t="shared" si="17"/>
        <v>7351295.0442390349</v>
      </c>
    </row>
    <row r="193" spans="2:12" ht="12" x14ac:dyDescent="0.2">
      <c r="F193" s="140"/>
      <c r="G193" s="174"/>
      <c r="H193" s="67"/>
      <c r="I193" s="67"/>
      <c r="J193" s="67"/>
      <c r="K193" s="67"/>
      <c r="L193" s="67"/>
    </row>
    <row r="194" spans="2:12" ht="12" x14ac:dyDescent="0.2">
      <c r="F194" s="140" t="s">
        <v>287</v>
      </c>
      <c r="G194" s="120">
        <f>SUM(H194:L194)</f>
        <v>66309883.113035612</v>
      </c>
      <c r="H194" s="67">
        <f>'Financial Req'!J103</f>
        <v>12068015.644515835</v>
      </c>
      <c r="I194" s="67">
        <f>'Financial Req'!K103</f>
        <v>14532447.384157779</v>
      </c>
      <c r="J194" s="67">
        <f>'Financial Req'!L103</f>
        <v>13128649.85630011</v>
      </c>
      <c r="K194" s="67">
        <f>'Financial Req'!M103</f>
        <v>13245195.400270222</v>
      </c>
      <c r="L194" s="67">
        <f>'Financial Req'!N103</f>
        <v>13335574.827791667</v>
      </c>
    </row>
    <row r="195" spans="2:12" ht="12" x14ac:dyDescent="0.2">
      <c r="F195" s="51"/>
      <c r="G195" s="38"/>
      <c r="H195" s="67"/>
      <c r="I195" s="67"/>
      <c r="J195" s="67"/>
      <c r="K195" s="67"/>
      <c r="L195" s="67"/>
    </row>
    <row r="196" spans="2:12" ht="12" x14ac:dyDescent="0.2">
      <c r="F196" s="141" t="s">
        <v>286</v>
      </c>
      <c r="G196" s="121">
        <f>G192/G194</f>
        <v>0.7292187921476937</v>
      </c>
      <c r="H196" s="121">
        <f t="shared" ref="H196:L196" si="18">H192/H194</f>
        <v>0.84432684248876189</v>
      </c>
      <c r="I196" s="121">
        <f t="shared" si="18"/>
        <v>0.91231178711798266</v>
      </c>
      <c r="J196" s="121">
        <f t="shared" si="18"/>
        <v>0.77687726124744061</v>
      </c>
      <c r="K196" s="121">
        <f t="shared" si="18"/>
        <v>0.55539347075913692</v>
      </c>
      <c r="L196" s="121">
        <f t="shared" si="18"/>
        <v>0.551254455782345</v>
      </c>
    </row>
    <row r="197" spans="2:12" ht="12" x14ac:dyDescent="0.2">
      <c r="F197" s="51"/>
      <c r="G197" s="101"/>
    </row>
    <row r="198" spans="2:12" ht="17.399999999999999" x14ac:dyDescent="0.2">
      <c r="F198" s="210" t="str">
        <f>"Funding Gap ("&amp;CURR_INT_ABBR&amp;")"</f>
        <v>Funding Gap (USD)</v>
      </c>
      <c r="G198" s="176">
        <f>G194-G192</f>
        <v>17955470.241893031</v>
      </c>
      <c r="H198" s="175">
        <f>H194-H192</f>
        <v>1878666.1002767999</v>
      </c>
      <c r="I198" s="175">
        <f t="shared" ref="I198:L198" si="19">I194-I192</f>
        <v>1274324.3399187438</v>
      </c>
      <c r="J198" s="175">
        <f t="shared" si="19"/>
        <v>2929300.3120610751</v>
      </c>
      <c r="K198" s="175">
        <f t="shared" si="19"/>
        <v>5888900.3560311869</v>
      </c>
      <c r="L198" s="175">
        <f t="shared" si="19"/>
        <v>5984279.7835526317</v>
      </c>
    </row>
    <row r="199" spans="2:12" ht="17.399999999999999" x14ac:dyDescent="0.2">
      <c r="F199" s="95"/>
      <c r="G199" s="184"/>
      <c r="H199" s="175"/>
      <c r="I199" s="175"/>
      <c r="J199" s="175"/>
      <c r="K199" s="175"/>
      <c r="L199" s="175"/>
    </row>
    <row r="200" spans="2:12" ht="12" x14ac:dyDescent="0.2">
      <c r="B200" s="98" t="str">
        <f>Strategy3&amp;": Summary Dashboard"</f>
        <v>Objetivo estratégico 3: Aumentar la disponibilidad y el acceso a alimentos nutritivos de alto valor, seguros y diversificados: Summary Dashboard</v>
      </c>
      <c r="C200" s="1"/>
      <c r="D200" s="1"/>
      <c r="E200" s="1"/>
      <c r="F200" s="1"/>
      <c r="G200" s="1"/>
      <c r="H200" s="1"/>
      <c r="I200" s="1"/>
      <c r="J200" s="1"/>
      <c r="K200" s="1"/>
      <c r="L200" s="1"/>
    </row>
    <row r="203" spans="2:12" ht="12" x14ac:dyDescent="0.2">
      <c r="I203" s="43" t="s">
        <v>142</v>
      </c>
    </row>
    <row r="204" spans="2:12" x14ac:dyDescent="0.2">
      <c r="I204" t="str">
        <f>STRAT3_IND1</f>
        <v xml:space="preserve">Aumenta la disponibilidad y el acceso a alimentos de alto valor nutritivo en los hogares. </v>
      </c>
    </row>
    <row r="205" spans="2:12" x14ac:dyDescent="0.2">
      <c r="I205" t="str">
        <f>STRAT3_IND2</f>
        <v xml:space="preserve"> La seguridad alimentaria está garantizada para toda la nación.</v>
      </c>
    </row>
    <row r="206" spans="2:12" x14ac:dyDescent="0.2">
      <c r="I206" t="str">
        <f>STRAT3_IND3</f>
        <v>Objetivo estratégico 3 Indicador 3</v>
      </c>
    </row>
    <row r="207" spans="2:12" x14ac:dyDescent="0.2">
      <c r="I207" t="str">
        <f>STRAT3_IND4</f>
        <v>Objetivo estratégico 3 Indicador 4</v>
      </c>
    </row>
    <row r="208" spans="2:12" x14ac:dyDescent="0.2">
      <c r="I208" t="str">
        <f>STRAT3_IND5</f>
        <v>Objetivo estratégico 3 Indicador 5</v>
      </c>
    </row>
    <row r="216" spans="6:12" ht="12" x14ac:dyDescent="0.2">
      <c r="I216" s="229" t="s">
        <v>256</v>
      </c>
    </row>
    <row r="217" spans="6:12" ht="13.8" x14ac:dyDescent="0.2">
      <c r="J217" s="225"/>
      <c r="K217" s="226"/>
      <c r="L217" s="227"/>
    </row>
    <row r="218" spans="6:12" ht="12" x14ac:dyDescent="0.2">
      <c r="I218" s="51" t="s">
        <v>267</v>
      </c>
      <c r="J218" s="228" t="s">
        <v>390</v>
      </c>
      <c r="K218" s="228" t="s">
        <v>391</v>
      </c>
      <c r="L218" s="228" t="s">
        <v>392</v>
      </c>
    </row>
    <row r="219" spans="6:12" ht="12" x14ac:dyDescent="0.2">
      <c r="I219" s="51" t="s">
        <v>166</v>
      </c>
      <c r="J219" s="228" t="s">
        <v>394</v>
      </c>
      <c r="K219" s="228" t="s">
        <v>395</v>
      </c>
      <c r="L219" s="228" t="s">
        <v>396</v>
      </c>
    </row>
    <row r="220" spans="6:12" ht="12" x14ac:dyDescent="0.2">
      <c r="I220" s="51" t="s">
        <v>286</v>
      </c>
      <c r="J220" s="228" t="s">
        <v>397</v>
      </c>
      <c r="L220" s="228" t="s">
        <v>398</v>
      </c>
    </row>
    <row r="223" spans="6:12" ht="17.399999999999999" x14ac:dyDescent="0.2">
      <c r="F223" s="95" t="str">
        <f>CURR_INT_ABBR</f>
        <v>USD</v>
      </c>
    </row>
    <row r="224" spans="6:12" ht="12" x14ac:dyDescent="0.2">
      <c r="F224" s="71" t="str">
        <f>Basic_Setup!$B$104</f>
        <v>Socios que contribuyen a la financiación de los objetivos y resultados estratégicos</v>
      </c>
      <c r="G224" s="137" t="s">
        <v>292</v>
      </c>
      <c r="H224" s="102">
        <f>Ts_First_Fin_Yr</f>
        <v>2019</v>
      </c>
      <c r="I224" s="102">
        <f>Ts_First_Fin_Yr+1</f>
        <v>2020</v>
      </c>
      <c r="J224" s="102">
        <f>Ts_First_Fin_Yr+2</f>
        <v>2021</v>
      </c>
      <c r="K224" s="102">
        <f>Ts_First_Fin_Yr+3</f>
        <v>2022</v>
      </c>
      <c r="L224" s="102">
        <f>Ts_First_Fin_Yr+4</f>
        <v>2023</v>
      </c>
    </row>
    <row r="225" spans="6:12" x14ac:dyDescent="0.2">
      <c r="F225" t="str">
        <f>Partner1</f>
        <v>UNICEF</v>
      </c>
      <c r="G225" s="62">
        <f>Partner1!I$37</f>
        <v>0</v>
      </c>
      <c r="H225" s="114">
        <f>Partner1!J$37</f>
        <v>0</v>
      </c>
      <c r="I225" s="62">
        <f>Partner1!K$37</f>
        <v>0</v>
      </c>
      <c r="J225" s="62">
        <f>Partner1!L$37</f>
        <v>0</v>
      </c>
      <c r="K225" s="62">
        <f>Partner1!M$37</f>
        <v>0</v>
      </c>
      <c r="L225" s="62">
        <f>Partner1!N$37</f>
        <v>0</v>
      </c>
    </row>
    <row r="226" spans="6:12" x14ac:dyDescent="0.2">
      <c r="F226" t="str">
        <f>Partner2</f>
        <v>Organización Mundial de la Salud</v>
      </c>
      <c r="G226" s="62">
        <f>Partner2!I$37</f>
        <v>0</v>
      </c>
      <c r="H226" s="114">
        <f>Partner2!J$37</f>
        <v>0</v>
      </c>
      <c r="I226" s="62">
        <f>Partner2!K$37</f>
        <v>0</v>
      </c>
      <c r="J226" s="62">
        <f>Partner2!L$37</f>
        <v>0</v>
      </c>
      <c r="K226" s="62">
        <f>Partner2!M$37</f>
        <v>0</v>
      </c>
      <c r="L226" s="62">
        <f>Partner2!N$37</f>
        <v>0</v>
      </c>
    </row>
    <row r="227" spans="6:12" x14ac:dyDescent="0.2">
      <c r="F227" t="str">
        <f>Partner3</f>
        <v>Banco Mundial</v>
      </c>
      <c r="G227" s="62">
        <f>Partner3!I$37</f>
        <v>72652855</v>
      </c>
      <c r="H227" s="114">
        <f>Partner3!J$37</f>
        <v>18035400</v>
      </c>
      <c r="I227" s="62">
        <f>Partner3!K$37</f>
        <v>36582055</v>
      </c>
      <c r="J227" s="62">
        <f>Partner3!L$37</f>
        <v>18035400</v>
      </c>
      <c r="K227" s="62">
        <f>Partner3!M$37</f>
        <v>0</v>
      </c>
      <c r="L227" s="62">
        <f>Partner3!N$37</f>
        <v>0</v>
      </c>
    </row>
    <row r="228" spans="6:12" x14ac:dyDescent="0.2">
      <c r="F228" t="str">
        <f>Partner4</f>
        <v>Organización de las Naciones Unidas para la Alimentación y la Agricultura</v>
      </c>
      <c r="G228" s="62">
        <f>Partner4!I$37</f>
        <v>2237774</v>
      </c>
      <c r="H228" s="114">
        <f>Partner4!J$37</f>
        <v>1317450</v>
      </c>
      <c r="I228" s="62">
        <f>Partner4!K$37</f>
        <v>565774</v>
      </c>
      <c r="J228" s="62">
        <f>Partner4!L$37</f>
        <v>354550</v>
      </c>
      <c r="K228" s="62">
        <f>Partner4!M$37</f>
        <v>0</v>
      </c>
      <c r="L228" s="62">
        <f>Partner4!N$37</f>
        <v>0</v>
      </c>
    </row>
    <row r="229" spans="6:12" x14ac:dyDescent="0.2">
      <c r="F229" t="str">
        <f>Partner5</f>
        <v>Programa Mundial de Alimentos</v>
      </c>
      <c r="G229" s="62">
        <f>Partner5!I$37</f>
        <v>3125000</v>
      </c>
      <c r="H229" s="114">
        <f>Partner5!J$37</f>
        <v>625000</v>
      </c>
      <c r="I229" s="62">
        <f>Partner5!K$37</f>
        <v>625000</v>
      </c>
      <c r="J229" s="62">
        <f>Partner5!L$37</f>
        <v>625000</v>
      </c>
      <c r="K229" s="62">
        <f>Partner5!M$37</f>
        <v>625000</v>
      </c>
      <c r="L229" s="62">
        <f>Partner5!N$37</f>
        <v>625000</v>
      </c>
    </row>
    <row r="230" spans="6:12" x14ac:dyDescent="0.2">
      <c r="F230" t="str">
        <f>Partner6</f>
        <v>[No está en uso]</v>
      </c>
      <c r="G230" s="62">
        <f>Partner6!I$37</f>
        <v>0</v>
      </c>
      <c r="H230" s="114">
        <f>Partner6!J$37</f>
        <v>0</v>
      </c>
      <c r="I230" s="62">
        <f>Partner6!K$37</f>
        <v>0</v>
      </c>
      <c r="J230" s="62">
        <f>Partner6!L$37</f>
        <v>0</v>
      </c>
      <c r="K230" s="62">
        <f>Partner6!M$37</f>
        <v>0</v>
      </c>
      <c r="L230" s="62">
        <f>Partner6!N$37</f>
        <v>0</v>
      </c>
    </row>
    <row r="231" spans="6:12" x14ac:dyDescent="0.2">
      <c r="F231" t="str">
        <f>Partner7</f>
        <v>[No está en uso]</v>
      </c>
      <c r="G231" s="62">
        <f>Partner7!I$37</f>
        <v>0</v>
      </c>
      <c r="H231" s="114">
        <f>Partner7!J$37</f>
        <v>0</v>
      </c>
      <c r="I231" s="62">
        <f>Partner7!K$37</f>
        <v>0</v>
      </c>
      <c r="J231" s="62">
        <f>Partner7!L$37</f>
        <v>0</v>
      </c>
      <c r="K231" s="62">
        <f>Partner7!M$37</f>
        <v>0</v>
      </c>
      <c r="L231" s="62">
        <f>Partner7!N$37</f>
        <v>0</v>
      </c>
    </row>
    <row r="232" spans="6:12" x14ac:dyDescent="0.2">
      <c r="F232" t="str">
        <f>Partner8</f>
        <v>[No está en uso]</v>
      </c>
      <c r="G232" s="62">
        <f>Partner8!I$37</f>
        <v>0</v>
      </c>
      <c r="H232" s="114">
        <f>Partner8!J$37</f>
        <v>0</v>
      </c>
      <c r="I232" s="62">
        <f>Partner8!K$37</f>
        <v>0</v>
      </c>
      <c r="J232" s="62">
        <f>Partner8!L$37</f>
        <v>0</v>
      </c>
      <c r="K232" s="62">
        <f>Partner8!M$37</f>
        <v>0</v>
      </c>
      <c r="L232" s="62">
        <f>Partner8!N$37</f>
        <v>0</v>
      </c>
    </row>
    <row r="233" spans="6:12" x14ac:dyDescent="0.2">
      <c r="F233" t="str">
        <f>Partner9</f>
        <v>[No está en uso]</v>
      </c>
      <c r="G233" s="62">
        <f>Partner9!I$37</f>
        <v>0</v>
      </c>
      <c r="H233" s="114">
        <f>Partner9!J$37</f>
        <v>0</v>
      </c>
      <c r="I233" s="62">
        <f>Partner9!K$37</f>
        <v>0</v>
      </c>
      <c r="J233" s="62">
        <f>Partner9!L$37</f>
        <v>0</v>
      </c>
      <c r="K233" s="62">
        <f>Partner9!M$37</f>
        <v>0</v>
      </c>
      <c r="L233" s="62">
        <f>Partner9!N$37</f>
        <v>0</v>
      </c>
    </row>
    <row r="234" spans="6:12" x14ac:dyDescent="0.2">
      <c r="F234" t="str">
        <f>Partner10</f>
        <v>[No está en uso]</v>
      </c>
      <c r="G234" s="62">
        <f>Partner10!I$37</f>
        <v>0</v>
      </c>
      <c r="H234" s="115">
        <f>Partner10!J$37</f>
        <v>0</v>
      </c>
      <c r="I234" s="62">
        <f>Partner10!K$37</f>
        <v>0</v>
      </c>
      <c r="J234" s="62">
        <f>Partner10!L$37</f>
        <v>0</v>
      </c>
      <c r="K234" s="62">
        <f>Partner10!M$37</f>
        <v>0</v>
      </c>
      <c r="L234" s="62">
        <f>Partner10!N$37</f>
        <v>0</v>
      </c>
    </row>
    <row r="235" spans="6:12" ht="12" x14ac:dyDescent="0.2">
      <c r="F235" s="155" t="str">
        <f>"Subtotal - "&amp;F224&amp;" Contribution"</f>
        <v>Subtotal - Socios que contribuyen a la financiación de los objetivos y resultados estratégicos Contribution</v>
      </c>
      <c r="G235" s="116">
        <f>SUM(G225:G234)</f>
        <v>78015629</v>
      </c>
      <c r="H235" s="117">
        <f t="shared" ref="H235" si="20">SUM(H225:H234)</f>
        <v>19977850</v>
      </c>
      <c r="I235" s="117">
        <f t="shared" ref="I235" si="21">SUM(I225:I234)</f>
        <v>37772829</v>
      </c>
      <c r="J235" s="117">
        <f t="shared" ref="J235" si="22">SUM(J225:J234)</f>
        <v>19014950</v>
      </c>
      <c r="K235" s="117">
        <f t="shared" ref="K235" si="23">SUM(K225:K234)</f>
        <v>625000</v>
      </c>
      <c r="L235" s="117">
        <f t="shared" ref="L235" si="24">SUM(L225:L234)</f>
        <v>625000</v>
      </c>
    </row>
    <row r="236" spans="6:12" ht="12" x14ac:dyDescent="0.2">
      <c r="F236" s="138" t="s">
        <v>99</v>
      </c>
      <c r="G236" s="113">
        <f>G235/G241</f>
        <v>0.32715164161187166</v>
      </c>
      <c r="H236" s="113">
        <f t="shared" ref="H236:L236" si="25">H235/H241</f>
        <v>0.4206943159705282</v>
      </c>
      <c r="I236" s="113">
        <f t="shared" si="25"/>
        <v>0.76579050397149906</v>
      </c>
      <c r="J236" s="113">
        <f t="shared" si="25"/>
        <v>0.40149926292234633</v>
      </c>
      <c r="K236" s="113">
        <f t="shared" si="25"/>
        <v>1.3329630902043227E-2</v>
      </c>
      <c r="L236" s="113">
        <f t="shared" si="25"/>
        <v>1.3183330940540722E-2</v>
      </c>
    </row>
    <row r="237" spans="6:12" ht="12" x14ac:dyDescent="0.2">
      <c r="F237" s="139" t="s">
        <v>250</v>
      </c>
      <c r="G237" s="118">
        <f>SUM(H237:L237)</f>
        <v>41439236.153233118</v>
      </c>
      <c r="H237" s="119">
        <f>Summary_Govt_Contributions!J67</f>
        <v>8287847.2306466242</v>
      </c>
      <c r="I237" s="119">
        <f>Summary_Govt_Contributions!K67</f>
        <v>8287847.2306466242</v>
      </c>
      <c r="J237" s="119">
        <f>Summary_Govt_Contributions!L67</f>
        <v>8287847.2306466242</v>
      </c>
      <c r="K237" s="119">
        <f>Summary_Govt_Contributions!M67</f>
        <v>8287847.2306466242</v>
      </c>
      <c r="L237" s="119">
        <f>Summary_Govt_Contributions!N67</f>
        <v>8287847.2306466242</v>
      </c>
    </row>
    <row r="238" spans="6:12" ht="12" x14ac:dyDescent="0.2">
      <c r="F238" s="138" t="s">
        <v>249</v>
      </c>
      <c r="G238" s="113">
        <f>G237/G239</f>
        <v>0.34690287499028283</v>
      </c>
      <c r="H238" s="113">
        <f t="shared" ref="H238:L238" si="26">H237/H239</f>
        <v>0.29321219862429787</v>
      </c>
      <c r="I238" s="113">
        <f t="shared" si="26"/>
        <v>0.17993325128675114</v>
      </c>
      <c r="J238" s="113">
        <f t="shared" si="26"/>
        <v>0.3035530447899949</v>
      </c>
      <c r="K238" s="113">
        <f t="shared" si="26"/>
        <v>0.92987650479961637</v>
      </c>
      <c r="L238" s="113">
        <f t="shared" si="26"/>
        <v>0.92987650479961637</v>
      </c>
    </row>
    <row r="239" spans="6:12" ht="12" x14ac:dyDescent="0.2">
      <c r="F239" s="140" t="s">
        <v>288</v>
      </c>
      <c r="G239" s="118">
        <f>SUM(G235,G237)</f>
        <v>119454865.15323311</v>
      </c>
      <c r="H239" s="117">
        <f>SUM(H235,H237)</f>
        <v>28265697.230646625</v>
      </c>
      <c r="I239" s="117">
        <f t="shared" ref="I239:L239" si="27">SUM(I235,I237)</f>
        <v>46060676.230646625</v>
      </c>
      <c r="J239" s="117">
        <f t="shared" si="27"/>
        <v>27302797.230646625</v>
      </c>
      <c r="K239" s="117">
        <f t="shared" si="27"/>
        <v>8912847.2306466252</v>
      </c>
      <c r="L239" s="117">
        <f t="shared" si="27"/>
        <v>8912847.2306466252</v>
      </c>
    </row>
    <row r="240" spans="6:12" ht="12" x14ac:dyDescent="0.2">
      <c r="F240" s="51"/>
      <c r="G240" s="119"/>
      <c r="H240" s="119"/>
      <c r="I240" s="119"/>
      <c r="J240" s="119"/>
      <c r="K240" s="119"/>
      <c r="L240" s="119"/>
    </row>
    <row r="241" spans="2:12" ht="12" x14ac:dyDescent="0.2">
      <c r="F241" s="140" t="s">
        <v>287</v>
      </c>
      <c r="G241" s="120">
        <f>SUM(H241:L241)</f>
        <v>238469318.43477252</v>
      </c>
      <c r="H241" s="67">
        <f>'Financial Req'!J109</f>
        <v>47487805.85236039</v>
      </c>
      <c r="I241" s="67">
        <f>'Financial Req'!K109</f>
        <v>49325277.349490114</v>
      </c>
      <c r="J241" s="67">
        <f>'Financial Req'!L109</f>
        <v>47359862.784300223</v>
      </c>
      <c r="K241" s="67">
        <f>'Financial Req'!M109</f>
        <v>46888019.975421607</v>
      </c>
      <c r="L241" s="67">
        <f>'Financial Req'!N109</f>
        <v>47408352.473200165</v>
      </c>
    </row>
    <row r="242" spans="2:12" ht="12" x14ac:dyDescent="0.2">
      <c r="F242" s="51"/>
      <c r="G242" s="38"/>
      <c r="H242" s="67"/>
      <c r="I242" s="67"/>
      <c r="J242" s="67"/>
      <c r="K242" s="67"/>
      <c r="L242" s="67"/>
    </row>
    <row r="243" spans="2:12" ht="12" x14ac:dyDescent="0.2">
      <c r="F243" s="141" t="s">
        <v>286</v>
      </c>
      <c r="G243" s="121">
        <f>G239/G241</f>
        <v>0.50092341412007302</v>
      </c>
      <c r="H243" s="121">
        <f t="shared" ref="H243:L243" si="28">H239/H241</f>
        <v>0.59522011437051214</v>
      </c>
      <c r="I243" s="121">
        <f t="shared" si="28"/>
        <v>0.93381484516118518</v>
      </c>
      <c r="J243" s="121">
        <f t="shared" si="28"/>
        <v>0.57649654423613517</v>
      </c>
      <c r="K243" s="121">
        <f t="shared" si="28"/>
        <v>0.19008794219330824</v>
      </c>
      <c r="L243" s="121">
        <f t="shared" si="28"/>
        <v>0.18800162346255414</v>
      </c>
    </row>
    <row r="244" spans="2:12" ht="12" x14ac:dyDescent="0.2">
      <c r="F244" s="51"/>
      <c r="G244" s="101"/>
    </row>
    <row r="245" spans="2:12" ht="17.399999999999999" x14ac:dyDescent="0.2">
      <c r="F245" s="210" t="str">
        <f>"Funding Gap ("&amp;CURR_INT_ABBR&amp;")"</f>
        <v>Funding Gap (USD)</v>
      </c>
      <c r="G245" s="176">
        <f>G241-G239</f>
        <v>119014453.28153941</v>
      </c>
      <c r="H245" s="175">
        <f>H241-H239</f>
        <v>19222108.621713765</v>
      </c>
      <c r="I245" s="175">
        <f t="shared" ref="I245:L245" si="29">I241-I239</f>
        <v>3264601.1188434884</v>
      </c>
      <c r="J245" s="175">
        <f t="shared" si="29"/>
        <v>20057065.553653598</v>
      </c>
      <c r="K245" s="175">
        <f t="shared" si="29"/>
        <v>37975172.744774982</v>
      </c>
      <c r="L245" s="175">
        <f t="shared" si="29"/>
        <v>38495505.24255354</v>
      </c>
    </row>
    <row r="246" spans="2:12" ht="17.399999999999999" x14ac:dyDescent="0.2">
      <c r="F246" s="95"/>
      <c r="G246" s="184"/>
      <c r="H246" s="175"/>
      <c r="I246" s="175"/>
      <c r="J246" s="175"/>
      <c r="K246" s="175"/>
      <c r="L246" s="175"/>
    </row>
    <row r="248" spans="2:12" ht="12" x14ac:dyDescent="0.2">
      <c r="B248" s="98" t="str">
        <f>Strategy4&amp;": Summary Dashboard"</f>
        <v>Objetivo estratégico 4: Fortalecer la protección social, la resiliencia de la respuesta a las emergencias y los desastres naturales.: Summary Dashboard</v>
      </c>
      <c r="C248" s="1"/>
      <c r="D248" s="1"/>
      <c r="E248" s="1"/>
      <c r="F248" s="1"/>
      <c r="G248" s="1"/>
      <c r="H248" s="1"/>
      <c r="I248" s="1"/>
      <c r="J248" s="1"/>
      <c r="K248" s="1"/>
      <c r="L248" s="1"/>
    </row>
    <row r="251" spans="2:12" ht="12" x14ac:dyDescent="0.2">
      <c r="I251" s="43" t="s">
        <v>142</v>
      </c>
    </row>
    <row r="252" spans="2:12" x14ac:dyDescent="0.2">
      <c r="I252" t="str">
        <f>STRAT4_IND1</f>
        <v xml:space="preserve">Se garantiza la protección social de los niños menores de 5 años, los adolescentes, FE/FA y otros grupos vulnerables. </v>
      </c>
    </row>
    <row r="253" spans="2:12" x14ac:dyDescent="0.2">
      <c r="I253" t="str">
        <f>STRAT4_IND2</f>
        <v xml:space="preserve">Se fortalece la capacidad de resiliencia y el estado nutricional de las poblaciones vulnerables, incluidos los niños de las zonas desfavorecidas.  </v>
      </c>
    </row>
    <row r="254" spans="2:12" x14ac:dyDescent="0.2">
      <c r="I254" t="str">
        <f>STRAT4_IND3</f>
        <v xml:space="preserve"> Se introducen eficazmente intervenciones para emergencias y catástrofes naturales integrales de la nutrición.</v>
      </c>
    </row>
    <row r="255" spans="2:12" x14ac:dyDescent="0.2">
      <c r="I255" t="str">
        <f>STRAT4_IND4</f>
        <v>Objetivo estratégico 4 Indicador 4</v>
      </c>
    </row>
    <row r="256" spans="2:12" x14ac:dyDescent="0.2">
      <c r="I256" t="str">
        <f>STRAT4_IND5</f>
        <v>Objetivo estratégico 4 Indicador 5</v>
      </c>
    </row>
    <row r="264" spans="6:12" ht="12" x14ac:dyDescent="0.2">
      <c r="I264" s="229" t="s">
        <v>256</v>
      </c>
    </row>
    <row r="265" spans="6:12" ht="13.8" x14ac:dyDescent="0.2">
      <c r="J265" s="225"/>
      <c r="K265" s="226"/>
      <c r="L265" s="227"/>
    </row>
    <row r="266" spans="6:12" ht="12" x14ac:dyDescent="0.2">
      <c r="I266" s="51" t="s">
        <v>267</v>
      </c>
      <c r="J266" s="228" t="s">
        <v>390</v>
      </c>
      <c r="K266" s="228" t="s">
        <v>391</v>
      </c>
      <c r="L266" s="228" t="s">
        <v>392</v>
      </c>
    </row>
    <row r="267" spans="6:12" ht="12" x14ac:dyDescent="0.2">
      <c r="I267" s="51" t="s">
        <v>166</v>
      </c>
      <c r="J267" s="228" t="s">
        <v>394</v>
      </c>
      <c r="K267" s="228" t="s">
        <v>395</v>
      </c>
      <c r="L267" s="228" t="s">
        <v>396</v>
      </c>
    </row>
    <row r="268" spans="6:12" ht="12" x14ac:dyDescent="0.2">
      <c r="I268" s="51" t="s">
        <v>286</v>
      </c>
      <c r="J268" s="228" t="s">
        <v>397</v>
      </c>
      <c r="L268" s="228" t="s">
        <v>398</v>
      </c>
    </row>
    <row r="271" spans="6:12" ht="17.399999999999999" x14ac:dyDescent="0.2">
      <c r="F271" s="95" t="str">
        <f>CURR_INT_ABBR</f>
        <v>USD</v>
      </c>
    </row>
    <row r="272" spans="6:12" ht="12" x14ac:dyDescent="0.2">
      <c r="F272" s="71" t="str">
        <f>Basic_Setup!$B$104</f>
        <v>Socios que contribuyen a la financiación de los objetivos y resultados estratégicos</v>
      </c>
      <c r="G272" s="137" t="s">
        <v>292</v>
      </c>
      <c r="H272" s="102">
        <f>Ts_First_Fin_Yr</f>
        <v>2019</v>
      </c>
      <c r="I272" s="102">
        <f>Ts_First_Fin_Yr+1</f>
        <v>2020</v>
      </c>
      <c r="J272" s="102">
        <f>Ts_First_Fin_Yr+2</f>
        <v>2021</v>
      </c>
      <c r="K272" s="102">
        <f>Ts_First_Fin_Yr+3</f>
        <v>2022</v>
      </c>
      <c r="L272" s="102">
        <f>Ts_First_Fin_Yr+4</f>
        <v>2023</v>
      </c>
    </row>
    <row r="273" spans="6:12" x14ac:dyDescent="0.2">
      <c r="F273" t="str">
        <f>Partner1</f>
        <v>UNICEF</v>
      </c>
      <c r="G273" s="62">
        <f>Partner1!I$43</f>
        <v>2000000</v>
      </c>
      <c r="H273" s="114">
        <f>Partner1!J$43</f>
        <v>400000</v>
      </c>
      <c r="I273" s="62">
        <f>Partner1!K$43</f>
        <v>400000</v>
      </c>
      <c r="J273" s="62">
        <f>Partner1!L$43</f>
        <v>400000</v>
      </c>
      <c r="K273" s="62">
        <f>Partner1!M$43</f>
        <v>400000</v>
      </c>
      <c r="L273" s="62">
        <f>Partner1!N$43</f>
        <v>400000</v>
      </c>
    </row>
    <row r="274" spans="6:12" x14ac:dyDescent="0.2">
      <c r="F274" t="str">
        <f>Partner2</f>
        <v>Organización Mundial de la Salud</v>
      </c>
      <c r="G274" s="62">
        <f>Partner2!I$43</f>
        <v>0</v>
      </c>
      <c r="H274" s="114">
        <f>Partner2!J$43</f>
        <v>0</v>
      </c>
      <c r="I274" s="62">
        <f>Partner2!K$43</f>
        <v>0</v>
      </c>
      <c r="J274" s="62">
        <f>Partner2!L$43</f>
        <v>0</v>
      </c>
      <c r="K274" s="62">
        <f>Partner2!M$43</f>
        <v>0</v>
      </c>
      <c r="L274" s="62">
        <f>Partner2!N$43</f>
        <v>0</v>
      </c>
    </row>
    <row r="275" spans="6:12" x14ac:dyDescent="0.2">
      <c r="F275" t="str">
        <f>Partner3</f>
        <v>Banco Mundial</v>
      </c>
      <c r="G275" s="62">
        <f>Partner3!I$43</f>
        <v>13883068</v>
      </c>
      <c r="H275" s="114">
        <f>Partner3!J$43</f>
        <v>3483077.5</v>
      </c>
      <c r="I275" s="62">
        <f>Partner3!K$43</f>
        <v>6916913</v>
      </c>
      <c r="J275" s="62">
        <f>Partner3!L$43</f>
        <v>3483077.5</v>
      </c>
      <c r="K275" s="62">
        <f>Partner3!M$43</f>
        <v>0</v>
      </c>
      <c r="L275" s="62">
        <f>Partner3!N$43</f>
        <v>0</v>
      </c>
    </row>
    <row r="276" spans="6:12" x14ac:dyDescent="0.2">
      <c r="F276" t="str">
        <f>Partner4</f>
        <v>Organización de las Naciones Unidas para la Alimentación y la Agricultura</v>
      </c>
      <c r="G276" s="62">
        <f>Partner4!I$43</f>
        <v>51900</v>
      </c>
      <c r="H276" s="114">
        <f>Partner4!J$43</f>
        <v>37400</v>
      </c>
      <c r="I276" s="62">
        <f>Partner4!K$43</f>
        <v>14500</v>
      </c>
      <c r="J276" s="62">
        <f>Partner4!L$43</f>
        <v>0</v>
      </c>
      <c r="K276" s="62">
        <f>Partner4!M$43</f>
        <v>0</v>
      </c>
      <c r="L276" s="62">
        <f>Partner4!N$43</f>
        <v>0</v>
      </c>
    </row>
    <row r="277" spans="6:12" x14ac:dyDescent="0.2">
      <c r="F277" t="str">
        <f>Partner5</f>
        <v>Programa Mundial de Alimentos</v>
      </c>
      <c r="G277" s="62">
        <f>Partner5!I$43</f>
        <v>2750000</v>
      </c>
      <c r="H277" s="114">
        <f>Partner5!J$43</f>
        <v>550000</v>
      </c>
      <c r="I277" s="62">
        <f>Partner5!K$43</f>
        <v>550000</v>
      </c>
      <c r="J277" s="62">
        <f>Partner5!L$43</f>
        <v>550000</v>
      </c>
      <c r="K277" s="62">
        <f>Partner5!M$43</f>
        <v>550000</v>
      </c>
      <c r="L277" s="62">
        <f>Partner5!N$43</f>
        <v>550000</v>
      </c>
    </row>
    <row r="278" spans="6:12" x14ac:dyDescent="0.2">
      <c r="F278" t="str">
        <f>Partner6</f>
        <v>[No está en uso]</v>
      </c>
      <c r="G278" s="62">
        <f>Partner6!I$43</f>
        <v>0</v>
      </c>
      <c r="H278" s="114">
        <f>Partner6!J$43</f>
        <v>0</v>
      </c>
      <c r="I278" s="62">
        <f>Partner6!K$43</f>
        <v>0</v>
      </c>
      <c r="J278" s="62">
        <f>Partner6!L$43</f>
        <v>0</v>
      </c>
      <c r="K278" s="62">
        <f>Partner6!M$43</f>
        <v>0</v>
      </c>
      <c r="L278" s="62">
        <f>Partner6!N$43</f>
        <v>0</v>
      </c>
    </row>
    <row r="279" spans="6:12" x14ac:dyDescent="0.2">
      <c r="F279" t="str">
        <f>Partner7</f>
        <v>[No está en uso]</v>
      </c>
      <c r="G279" s="62">
        <f>Partner7!I$43</f>
        <v>0</v>
      </c>
      <c r="H279" s="114">
        <f>Partner7!J$43</f>
        <v>0</v>
      </c>
      <c r="I279" s="62">
        <f>Partner7!K$43</f>
        <v>0</v>
      </c>
      <c r="J279" s="62">
        <f>Partner7!L$43</f>
        <v>0</v>
      </c>
      <c r="K279" s="62">
        <f>Partner7!M$43</f>
        <v>0</v>
      </c>
      <c r="L279" s="62">
        <f>Partner7!N$43</f>
        <v>0</v>
      </c>
    </row>
    <row r="280" spans="6:12" x14ac:dyDescent="0.2">
      <c r="F280" t="str">
        <f>Partner8</f>
        <v>[No está en uso]</v>
      </c>
      <c r="G280" s="62">
        <f>Partner8!I$43</f>
        <v>0</v>
      </c>
      <c r="H280" s="114">
        <f>Partner8!J$43</f>
        <v>0</v>
      </c>
      <c r="I280" s="62">
        <f>Partner8!K$43</f>
        <v>0</v>
      </c>
      <c r="J280" s="62">
        <f>Partner8!L$43</f>
        <v>0</v>
      </c>
      <c r="K280" s="62">
        <f>Partner8!M$43</f>
        <v>0</v>
      </c>
      <c r="L280" s="62">
        <f>Partner8!N$43</f>
        <v>0</v>
      </c>
    </row>
    <row r="281" spans="6:12" x14ac:dyDescent="0.2">
      <c r="F281" t="str">
        <f>Partner9</f>
        <v>[No está en uso]</v>
      </c>
      <c r="G281" s="62">
        <f>Partner9!I$43</f>
        <v>0</v>
      </c>
      <c r="H281" s="114">
        <f>Partner9!J$43</f>
        <v>0</v>
      </c>
      <c r="I281" s="62">
        <f>Partner9!K$43</f>
        <v>0</v>
      </c>
      <c r="J281" s="62">
        <f>Partner9!L$43</f>
        <v>0</v>
      </c>
      <c r="K281" s="62">
        <f>Partner9!M$43</f>
        <v>0</v>
      </c>
      <c r="L281" s="62">
        <f>Partner9!N$43</f>
        <v>0</v>
      </c>
    </row>
    <row r="282" spans="6:12" x14ac:dyDescent="0.2">
      <c r="F282" t="str">
        <f>Partner10</f>
        <v>[No está en uso]</v>
      </c>
      <c r="G282" s="62">
        <f>Partner10!I$43</f>
        <v>0</v>
      </c>
      <c r="H282" s="115">
        <f>Partner10!J$43</f>
        <v>0</v>
      </c>
      <c r="I282" s="62">
        <f>Partner10!K$43</f>
        <v>0</v>
      </c>
      <c r="J282" s="62">
        <f>Partner10!L$43</f>
        <v>0</v>
      </c>
      <c r="K282" s="62">
        <f>Partner10!M$43</f>
        <v>0</v>
      </c>
      <c r="L282" s="62">
        <f>Partner10!N$43</f>
        <v>0</v>
      </c>
    </row>
    <row r="283" spans="6:12" ht="12" x14ac:dyDescent="0.2">
      <c r="F283" s="155" t="str">
        <f>"Subtotal - "&amp;F272&amp;" Contribution"</f>
        <v>Subtotal - Socios que contribuyen a la financiación de los objetivos y resultados estratégicos Contribution</v>
      </c>
      <c r="G283" s="116">
        <f>SUM(G273:G282)</f>
        <v>18684968</v>
      </c>
      <c r="H283" s="117">
        <f t="shared" ref="H283" si="30">SUM(H273:H282)</f>
        <v>4470477.5</v>
      </c>
      <c r="I283" s="117">
        <f t="shared" ref="I283" si="31">SUM(I273:I282)</f>
        <v>7881413</v>
      </c>
      <c r="J283" s="117">
        <f t="shared" ref="J283" si="32">SUM(J273:J282)</f>
        <v>4433077.5</v>
      </c>
      <c r="K283" s="117">
        <f t="shared" ref="K283" si="33">SUM(K273:K282)</f>
        <v>950000</v>
      </c>
      <c r="L283" s="117">
        <f t="shared" ref="L283" si="34">SUM(L273:L282)</f>
        <v>950000</v>
      </c>
    </row>
    <row r="284" spans="6:12" ht="12" x14ac:dyDescent="0.2">
      <c r="F284" s="138" t="s">
        <v>99</v>
      </c>
      <c r="G284" s="113">
        <f>G283/G289</f>
        <v>0.17327757045897446</v>
      </c>
      <c r="H284" s="113">
        <f t="shared" ref="H284:L284" si="35">H283/H289</f>
        <v>0.20681520669805106</v>
      </c>
      <c r="I284" s="113">
        <f t="shared" si="35"/>
        <v>0.3666376633418037</v>
      </c>
      <c r="J284" s="113">
        <f t="shared" si="35"/>
        <v>0.20585819074027847</v>
      </c>
      <c r="K284" s="113">
        <f t="shared" si="35"/>
        <v>4.403596111526132E-2</v>
      </c>
      <c r="L284" s="113">
        <f t="shared" si="35"/>
        <v>4.3956210597649176E-2</v>
      </c>
    </row>
    <row r="285" spans="6:12" ht="12" x14ac:dyDescent="0.2">
      <c r="F285" s="139" t="s">
        <v>250</v>
      </c>
      <c r="G285" s="118">
        <f>SUM(H285:L285)</f>
        <v>34990741.354318097</v>
      </c>
      <c r="H285" s="119">
        <f>Summary_Govt_Contributions!J68</f>
        <v>6998148.2708636187</v>
      </c>
      <c r="I285" s="119">
        <f>Summary_Govt_Contributions!K68</f>
        <v>6998148.2708636187</v>
      </c>
      <c r="J285" s="119">
        <f>Summary_Govt_Contributions!L68</f>
        <v>6998148.2708636187</v>
      </c>
      <c r="K285" s="119">
        <f>Summary_Govt_Contributions!M68</f>
        <v>6998148.2708636187</v>
      </c>
      <c r="L285" s="119">
        <f>Summary_Govt_Contributions!N68</f>
        <v>6998148.2708636187</v>
      </c>
    </row>
    <row r="286" spans="6:12" ht="12" x14ac:dyDescent="0.2">
      <c r="F286" s="138" t="s">
        <v>249</v>
      </c>
      <c r="G286" s="113">
        <f>G285/G287</f>
        <v>0.65189154973884222</v>
      </c>
      <c r="H286" s="113">
        <f t="shared" ref="H286:L286" si="36">H285/H287</f>
        <v>0.61019937442222771</v>
      </c>
      <c r="I286" s="113">
        <f t="shared" si="36"/>
        <v>0.4703195304936193</v>
      </c>
      <c r="J286" s="113">
        <f t="shared" si="36"/>
        <v>0.61219578819804155</v>
      </c>
      <c r="K286" s="113">
        <f t="shared" si="36"/>
        <v>0.88047530473449809</v>
      </c>
      <c r="L286" s="113">
        <f t="shared" si="36"/>
        <v>0.88047530473449809</v>
      </c>
    </row>
    <row r="287" spans="6:12" ht="12" x14ac:dyDescent="0.2">
      <c r="F287" s="140" t="s">
        <v>288</v>
      </c>
      <c r="G287" s="118">
        <f>SUM(G283,G285)</f>
        <v>53675709.354318097</v>
      </c>
      <c r="H287" s="117">
        <f>SUM(H283,H285)</f>
        <v>11468625.770863619</v>
      </c>
      <c r="I287" s="117">
        <f t="shared" ref="I287:L287" si="37">SUM(I283,I285)</f>
        <v>14879561.270863619</v>
      </c>
      <c r="J287" s="117">
        <f t="shared" si="37"/>
        <v>11431225.770863619</v>
      </c>
      <c r="K287" s="117">
        <f t="shared" si="37"/>
        <v>7948148.2708636187</v>
      </c>
      <c r="L287" s="117">
        <f t="shared" si="37"/>
        <v>7948148.2708636187</v>
      </c>
    </row>
    <row r="288" spans="6:12" ht="12" x14ac:dyDescent="0.2">
      <c r="F288" s="51"/>
      <c r="G288" s="119"/>
      <c r="H288" s="119"/>
      <c r="I288" s="119"/>
      <c r="J288" s="119"/>
      <c r="K288" s="119"/>
      <c r="L288" s="119"/>
    </row>
    <row r="289" spans="2:12" ht="12" x14ac:dyDescent="0.2">
      <c r="F289" s="140" t="s">
        <v>287</v>
      </c>
      <c r="G289" s="120">
        <f>SUM(H289:L289)</f>
        <v>107832583.00833511</v>
      </c>
      <c r="H289" s="67">
        <f>'Financial Req'!J115</f>
        <v>21615806.552014668</v>
      </c>
      <c r="I289" s="67">
        <f>'Financial Req'!K115</f>
        <v>21496463.097007111</v>
      </c>
      <c r="J289" s="67">
        <f>'Financial Req'!L115</f>
        <v>21534618.001151111</v>
      </c>
      <c r="K289" s="67">
        <f>'Financial Req'!M115</f>
        <v>21573277.292925108</v>
      </c>
      <c r="L289" s="67">
        <f>'Financial Req'!N115</f>
        <v>21612418.065237112</v>
      </c>
    </row>
    <row r="290" spans="2:12" ht="12" x14ac:dyDescent="0.2">
      <c r="F290" s="51"/>
      <c r="G290" s="119"/>
      <c r="H290" s="119"/>
      <c r="I290" s="119"/>
      <c r="J290" s="119"/>
      <c r="K290" s="119"/>
      <c r="L290" s="119"/>
    </row>
    <row r="291" spans="2:12" ht="12" x14ac:dyDescent="0.2">
      <c r="F291" s="141" t="s">
        <v>286</v>
      </c>
      <c r="G291" s="121">
        <f>G285/G287</f>
        <v>0.65189154973884222</v>
      </c>
      <c r="H291" s="121">
        <f t="shared" ref="H291:L291" si="38">H285/H287</f>
        <v>0.61019937442222771</v>
      </c>
      <c r="I291" s="121">
        <f t="shared" si="38"/>
        <v>0.4703195304936193</v>
      </c>
      <c r="J291" s="121">
        <f t="shared" si="38"/>
        <v>0.61219578819804155</v>
      </c>
      <c r="K291" s="121">
        <f t="shared" si="38"/>
        <v>0.88047530473449809</v>
      </c>
      <c r="L291" s="121">
        <f t="shared" si="38"/>
        <v>0.88047530473449809</v>
      </c>
    </row>
    <row r="292" spans="2:12" ht="12" x14ac:dyDescent="0.2">
      <c r="F292" s="51"/>
      <c r="G292" s="101"/>
    </row>
    <row r="293" spans="2:12" ht="17.399999999999999" x14ac:dyDescent="0.2">
      <c r="F293" s="210" t="str">
        <f>"Funding Gap ("&amp;CURR_INT_ABBR&amp;")"</f>
        <v>Funding Gap (USD)</v>
      </c>
      <c r="G293" s="176">
        <f>G289-G287</f>
        <v>54156873.654017016</v>
      </c>
      <c r="H293" s="175">
        <f>H289-H287</f>
        <v>10147180.781151049</v>
      </c>
      <c r="I293" s="175">
        <f t="shared" ref="I293:L293" si="39">I289-I287</f>
        <v>6616901.826143492</v>
      </c>
      <c r="J293" s="175">
        <f t="shared" si="39"/>
        <v>10103392.230287492</v>
      </c>
      <c r="K293" s="175">
        <f t="shared" si="39"/>
        <v>13625129.02206149</v>
      </c>
      <c r="L293" s="175">
        <f t="shared" si="39"/>
        <v>13664269.794373494</v>
      </c>
    </row>
    <row r="294" spans="2:12" ht="17.399999999999999" x14ac:dyDescent="0.2">
      <c r="F294" s="95"/>
      <c r="G294" s="184"/>
      <c r="H294" s="175"/>
      <c r="I294" s="175"/>
      <c r="J294" s="175"/>
      <c r="K294" s="175"/>
      <c r="L294" s="175"/>
    </row>
    <row r="296" spans="2:12" ht="12" x14ac:dyDescent="0.2">
      <c r="B296" s="98" t="str">
        <f>Strategy5&amp;": Summary Dashboard"</f>
        <v>Objetivo estratégico 5: Promoción de prácticas favorables a una nutrición óptima, de higiene y saneamiento básico. : Summary Dashboard</v>
      </c>
      <c r="C296" s="1"/>
      <c r="D296" s="1"/>
      <c r="E296" s="1"/>
      <c r="F296" s="1"/>
      <c r="G296" s="1"/>
      <c r="H296" s="1"/>
      <c r="I296" s="1"/>
      <c r="J296" s="1"/>
      <c r="K296" s="1"/>
      <c r="L296" s="1"/>
    </row>
    <row r="299" spans="2:12" ht="12" x14ac:dyDescent="0.2">
      <c r="I299" s="43" t="s">
        <v>142</v>
      </c>
    </row>
    <row r="300" spans="2:12" x14ac:dyDescent="0.2">
      <c r="I300" t="str">
        <f>STRAT5_IND1</f>
        <v>Se mejoran las prácticas nutricionales favorables para los niños menores de 5 años, los adolescentes, las mujeres embarazadas y lactantes, y otros grupos vulnerables.</v>
      </c>
    </row>
    <row r="301" spans="2:12" x14ac:dyDescent="0.2">
      <c r="I301" t="str">
        <f>STRAT5_IND2</f>
        <v>Se promueven dietas saludables y estilos de vida saludables para las personas.</v>
      </c>
    </row>
    <row r="302" spans="2:12" x14ac:dyDescent="0.2">
      <c r="I302" t="str">
        <f>STRAT5_IND3</f>
        <v>Se promueven las buenas prácticas WASH a nivel comunitario y doméstico</v>
      </c>
    </row>
    <row r="303" spans="2:12" x14ac:dyDescent="0.2">
      <c r="I303" t="str">
        <f>STRAT5_IND4</f>
        <v>Objetivo estratégico 5 Indicador 4</v>
      </c>
    </row>
    <row r="304" spans="2:12" x14ac:dyDescent="0.2">
      <c r="I304" t="str">
        <f>STRAT5_IND5</f>
        <v>Objetivo estratégico 5 Indicador 5</v>
      </c>
    </row>
    <row r="312" spans="6:12" ht="12" x14ac:dyDescent="0.2">
      <c r="I312" s="229" t="s">
        <v>256</v>
      </c>
    </row>
    <row r="313" spans="6:12" ht="13.8" x14ac:dyDescent="0.2">
      <c r="J313" s="225"/>
      <c r="K313" s="226"/>
      <c r="L313" s="227"/>
    </row>
    <row r="314" spans="6:12" ht="12" x14ac:dyDescent="0.2">
      <c r="I314" s="51" t="s">
        <v>267</v>
      </c>
      <c r="J314" s="228" t="s">
        <v>390</v>
      </c>
      <c r="K314" s="228" t="s">
        <v>391</v>
      </c>
      <c r="L314" s="228" t="s">
        <v>392</v>
      </c>
    </row>
    <row r="315" spans="6:12" ht="12" x14ac:dyDescent="0.2">
      <c r="I315" s="51" t="s">
        <v>166</v>
      </c>
      <c r="J315" s="228" t="s">
        <v>394</v>
      </c>
      <c r="K315" s="228" t="s">
        <v>395</v>
      </c>
      <c r="L315" s="228" t="s">
        <v>396</v>
      </c>
    </row>
    <row r="316" spans="6:12" ht="12" x14ac:dyDescent="0.2">
      <c r="I316" s="51" t="s">
        <v>286</v>
      </c>
      <c r="J316" s="228" t="s">
        <v>397</v>
      </c>
      <c r="L316" s="228" t="s">
        <v>398</v>
      </c>
    </row>
    <row r="319" spans="6:12" ht="17.399999999999999" x14ac:dyDescent="0.2">
      <c r="F319" s="95" t="str">
        <f>CURR_INT_ABBR</f>
        <v>USD</v>
      </c>
    </row>
    <row r="320" spans="6:12" ht="12" x14ac:dyDescent="0.2">
      <c r="F320" s="71" t="str">
        <f>Basic_Setup!$B$104</f>
        <v>Socios que contribuyen a la financiación de los objetivos y resultados estratégicos</v>
      </c>
      <c r="G320" s="137" t="s">
        <v>292</v>
      </c>
      <c r="H320" s="102">
        <f>Ts_First_Fin_Yr</f>
        <v>2019</v>
      </c>
      <c r="I320" s="102">
        <f>Ts_First_Fin_Yr+1</f>
        <v>2020</v>
      </c>
      <c r="J320" s="102">
        <f>Ts_First_Fin_Yr+2</f>
        <v>2021</v>
      </c>
      <c r="K320" s="102">
        <f>Ts_First_Fin_Yr+3</f>
        <v>2022</v>
      </c>
      <c r="L320" s="102">
        <f>Ts_First_Fin_Yr+4</f>
        <v>2023</v>
      </c>
    </row>
    <row r="321" spans="6:12" x14ac:dyDescent="0.2">
      <c r="F321" t="str">
        <f>Partner1</f>
        <v>UNICEF</v>
      </c>
      <c r="G321" s="62">
        <f>Partner1!I$49</f>
        <v>12000000</v>
      </c>
      <c r="H321" s="114">
        <f>Partner1!J$49</f>
        <v>2400000</v>
      </c>
      <c r="I321" s="62">
        <f>Partner1!K$49</f>
        <v>2400000</v>
      </c>
      <c r="J321" s="62">
        <f>Partner1!L$49</f>
        <v>2400000</v>
      </c>
      <c r="K321" s="62">
        <f>Partner1!M$49</f>
        <v>2400000</v>
      </c>
      <c r="L321" s="62">
        <f>Partner1!N$49</f>
        <v>2400000</v>
      </c>
    </row>
    <row r="322" spans="6:12" x14ac:dyDescent="0.2">
      <c r="F322" t="str">
        <f>Partner2</f>
        <v>Organización Mundial de la Salud</v>
      </c>
      <c r="G322" s="62">
        <f>Partner2!I$49</f>
        <v>0</v>
      </c>
      <c r="H322" s="114">
        <f>Partner2!J$49</f>
        <v>0</v>
      </c>
      <c r="I322" s="62">
        <f>Partner2!K$49</f>
        <v>0</v>
      </c>
      <c r="J322" s="62">
        <f>Partner2!L$49</f>
        <v>0</v>
      </c>
      <c r="K322" s="62">
        <f>Partner2!M$49</f>
        <v>0</v>
      </c>
      <c r="L322" s="62">
        <f>Partner2!N$49</f>
        <v>0</v>
      </c>
    </row>
    <row r="323" spans="6:12" x14ac:dyDescent="0.2">
      <c r="F323" t="str">
        <f>Partner3</f>
        <v>Banco Mundial</v>
      </c>
      <c r="G323" s="62">
        <f>Partner3!I$49</f>
        <v>1136844</v>
      </c>
      <c r="H323" s="114">
        <f>Partner3!J$49</f>
        <v>283873</v>
      </c>
      <c r="I323" s="62">
        <f>Partner3!K$49</f>
        <v>569098</v>
      </c>
      <c r="J323" s="62">
        <f>Partner3!L$49</f>
        <v>283873</v>
      </c>
      <c r="K323" s="62">
        <f>Partner3!M$49</f>
        <v>0</v>
      </c>
      <c r="L323" s="62">
        <f>Partner3!N$49</f>
        <v>0</v>
      </c>
    </row>
    <row r="324" spans="6:12" x14ac:dyDescent="0.2">
      <c r="F324" t="str">
        <f>Partner4</f>
        <v>Organización de las Naciones Unidas para la Alimentación y la Agricultura</v>
      </c>
      <c r="G324" s="62">
        <f>Partner4!I$49</f>
        <v>405786</v>
      </c>
      <c r="H324" s="114">
        <f>Partner4!J$49</f>
        <v>388486</v>
      </c>
      <c r="I324" s="62">
        <f>Partner4!K$49</f>
        <v>17300</v>
      </c>
      <c r="J324" s="62">
        <f>Partner4!L$49</f>
        <v>0</v>
      </c>
      <c r="K324" s="62">
        <f>Partner4!M$49</f>
        <v>0</v>
      </c>
      <c r="L324" s="62">
        <f>Partner4!N$49</f>
        <v>0</v>
      </c>
    </row>
    <row r="325" spans="6:12" x14ac:dyDescent="0.2">
      <c r="F325" t="str">
        <f>Partner5</f>
        <v>Programa Mundial de Alimentos</v>
      </c>
      <c r="G325" s="62">
        <f>Partner5!I$49</f>
        <v>5000000</v>
      </c>
      <c r="H325" s="114">
        <f>Partner5!J$49</f>
        <v>1000000</v>
      </c>
      <c r="I325" s="62">
        <f>Partner5!K$49</f>
        <v>1000000</v>
      </c>
      <c r="J325" s="62">
        <f>Partner5!L$49</f>
        <v>1000000</v>
      </c>
      <c r="K325" s="62">
        <f>Partner5!M$49</f>
        <v>1000000</v>
      </c>
      <c r="L325" s="62">
        <f>Partner5!N$49</f>
        <v>1000000</v>
      </c>
    </row>
    <row r="326" spans="6:12" x14ac:dyDescent="0.2">
      <c r="F326" t="str">
        <f>Partner6</f>
        <v>[No está en uso]</v>
      </c>
      <c r="G326" s="62">
        <f>Partner6!I$49</f>
        <v>0</v>
      </c>
      <c r="H326" s="114">
        <f>Partner6!J$49</f>
        <v>0</v>
      </c>
      <c r="I326" s="62">
        <f>Partner6!K$49</f>
        <v>0</v>
      </c>
      <c r="J326" s="62">
        <f>Partner6!L$49</f>
        <v>0</v>
      </c>
      <c r="K326" s="62">
        <f>Partner6!M$49</f>
        <v>0</v>
      </c>
      <c r="L326" s="62">
        <f>Partner6!N$49</f>
        <v>0</v>
      </c>
    </row>
    <row r="327" spans="6:12" x14ac:dyDescent="0.2">
      <c r="F327" t="str">
        <f>Partner7</f>
        <v>[No está en uso]</v>
      </c>
      <c r="G327" s="62">
        <f>Partner7!I$49</f>
        <v>0</v>
      </c>
      <c r="H327" s="114">
        <f>Partner7!J$49</f>
        <v>0</v>
      </c>
      <c r="I327" s="62">
        <f>Partner7!K$49</f>
        <v>0</v>
      </c>
      <c r="J327" s="62">
        <f>Partner7!L$49</f>
        <v>0</v>
      </c>
      <c r="K327" s="62">
        <f>Partner7!M$49</f>
        <v>0</v>
      </c>
      <c r="L327" s="62">
        <f>Partner7!N$49</f>
        <v>0</v>
      </c>
    </row>
    <row r="328" spans="6:12" x14ac:dyDescent="0.2">
      <c r="F328" t="str">
        <f>Partner8</f>
        <v>[No está en uso]</v>
      </c>
      <c r="G328" s="62">
        <f>Partner8!I$49</f>
        <v>0</v>
      </c>
      <c r="H328" s="114">
        <f>Partner8!J$49</f>
        <v>0</v>
      </c>
      <c r="I328" s="62">
        <f>Partner8!K$49</f>
        <v>0</v>
      </c>
      <c r="J328" s="62">
        <f>Partner8!L$49</f>
        <v>0</v>
      </c>
      <c r="K328" s="62">
        <f>Partner8!M$49</f>
        <v>0</v>
      </c>
      <c r="L328" s="62">
        <f>Partner8!N$49</f>
        <v>0</v>
      </c>
    </row>
    <row r="329" spans="6:12" x14ac:dyDescent="0.2">
      <c r="F329" t="str">
        <f>Partner9</f>
        <v>[No está en uso]</v>
      </c>
      <c r="G329" s="62">
        <f>Partner9!I$49</f>
        <v>0</v>
      </c>
      <c r="H329" s="114">
        <f>Partner9!J$49</f>
        <v>0</v>
      </c>
      <c r="I329" s="62">
        <f>Partner9!K$49</f>
        <v>0</v>
      </c>
      <c r="J329" s="62">
        <f>Partner9!L$49</f>
        <v>0</v>
      </c>
      <c r="K329" s="62">
        <f>Partner9!M$49</f>
        <v>0</v>
      </c>
      <c r="L329" s="62">
        <f>Partner9!N$49</f>
        <v>0</v>
      </c>
    </row>
    <row r="330" spans="6:12" x14ac:dyDescent="0.2">
      <c r="F330" t="str">
        <f>Partner10</f>
        <v>[No está en uso]</v>
      </c>
      <c r="G330" s="62">
        <f>Partner10!I$49</f>
        <v>0</v>
      </c>
      <c r="H330" s="115">
        <f>Partner10!J$49</f>
        <v>0</v>
      </c>
      <c r="I330" s="62">
        <f>Partner10!K$49</f>
        <v>0</v>
      </c>
      <c r="J330" s="62">
        <f>Partner10!L$49</f>
        <v>0</v>
      </c>
      <c r="K330" s="62">
        <f>Partner10!M$49</f>
        <v>0</v>
      </c>
      <c r="L330" s="62">
        <f>Partner10!N$49</f>
        <v>0</v>
      </c>
    </row>
    <row r="331" spans="6:12" ht="12" x14ac:dyDescent="0.2">
      <c r="F331" s="155" t="str">
        <f>"Subtotal - "&amp;F320&amp;" Contribution"</f>
        <v>Subtotal - Socios que contribuyen a la financiación de los objetivos y resultados estratégicos Contribution</v>
      </c>
      <c r="G331" s="116">
        <f>SUM(G321:G330)</f>
        <v>18542630</v>
      </c>
      <c r="H331" s="117">
        <f t="shared" ref="H331" si="40">SUM(H321:H330)</f>
        <v>4072359</v>
      </c>
      <c r="I331" s="117">
        <f t="shared" ref="I331" si="41">SUM(I321:I330)</f>
        <v>3986398</v>
      </c>
      <c r="J331" s="117">
        <f t="shared" ref="J331" si="42">SUM(J321:J330)</f>
        <v>3683873</v>
      </c>
      <c r="K331" s="117">
        <f t="shared" ref="K331" si="43">SUM(K321:K330)</f>
        <v>3400000</v>
      </c>
      <c r="L331" s="117">
        <f t="shared" ref="L331" si="44">SUM(L321:L330)</f>
        <v>3400000</v>
      </c>
    </row>
    <row r="332" spans="6:12" ht="12" x14ac:dyDescent="0.2">
      <c r="F332" s="138" t="s">
        <v>99</v>
      </c>
      <c r="G332" s="113">
        <f>G331/G337</f>
        <v>0.56442085736149905</v>
      </c>
      <c r="H332" s="113">
        <f t="shared" ref="H332:L332" si="45">H331/H337</f>
        <v>1.3431767962698407</v>
      </c>
      <c r="I332" s="113">
        <f t="shared" si="45"/>
        <v>0.53269631869852263</v>
      </c>
      <c r="J332" s="113">
        <f t="shared" si="45"/>
        <v>0.4945791376059786</v>
      </c>
      <c r="K332" s="113">
        <f t="shared" si="45"/>
        <v>0.45697897387260922</v>
      </c>
      <c r="L332" s="113">
        <f t="shared" si="45"/>
        <v>0.45646770881089743</v>
      </c>
    </row>
    <row r="333" spans="6:12" ht="12" x14ac:dyDescent="0.2">
      <c r="F333" s="139" t="s">
        <v>250</v>
      </c>
      <c r="G333" s="118">
        <f>SUM(H333:L333)</f>
        <v>960237.99316321244</v>
      </c>
      <c r="H333" s="119">
        <f>Summary_Govt_Contributions!J69</f>
        <v>192047.59863264248</v>
      </c>
      <c r="I333" s="119">
        <f>Summary_Govt_Contributions!K69</f>
        <v>192047.59863264248</v>
      </c>
      <c r="J333" s="119">
        <f>Summary_Govt_Contributions!L69</f>
        <v>192047.59863264248</v>
      </c>
      <c r="K333" s="119">
        <f>Summary_Govt_Contributions!M69</f>
        <v>192047.59863264248</v>
      </c>
      <c r="L333" s="119">
        <f>Summary_Govt_Contributions!N69</f>
        <v>192047.59863264248</v>
      </c>
    </row>
    <row r="334" spans="6:12" ht="12" x14ac:dyDescent="0.2">
      <c r="F334" s="138" t="s">
        <v>249</v>
      </c>
      <c r="G334" s="113">
        <f>G333/G337</f>
        <v>2.9228774525095178E-2</v>
      </c>
      <c r="H334" s="113">
        <f t="shared" ref="H334:L334" si="46">H333/H337</f>
        <v>6.3342617451631583E-2</v>
      </c>
      <c r="I334" s="113">
        <f t="shared" si="46"/>
        <v>2.566302933287145E-2</v>
      </c>
      <c r="J334" s="113">
        <f t="shared" si="46"/>
        <v>2.5783390391316809E-2</v>
      </c>
      <c r="K334" s="113">
        <f t="shared" si="46"/>
        <v>2.581226898760108E-2</v>
      </c>
      <c r="L334" s="113">
        <f t="shared" si="46"/>
        <v>2.5783390391316809E-2</v>
      </c>
    </row>
    <row r="335" spans="6:12" ht="12" x14ac:dyDescent="0.2">
      <c r="F335" s="140" t="s">
        <v>288</v>
      </c>
      <c r="G335" s="118">
        <f>SUM(G331,G333)</f>
        <v>19502867.993163213</v>
      </c>
      <c r="H335" s="117">
        <f>SUM(H331,H333)</f>
        <v>4264406.5986326421</v>
      </c>
      <c r="I335" s="117">
        <f t="shared" ref="I335:L335" si="47">SUM(I331,I333)</f>
        <v>4178445.5986326425</v>
      </c>
      <c r="J335" s="117">
        <f t="shared" si="47"/>
        <v>3875920.5986326425</v>
      </c>
      <c r="K335" s="117">
        <f t="shared" si="47"/>
        <v>3592047.5986326425</v>
      </c>
      <c r="L335" s="117">
        <f t="shared" si="47"/>
        <v>3592047.5986326425</v>
      </c>
    </row>
    <row r="336" spans="6:12" ht="12" x14ac:dyDescent="0.2">
      <c r="F336" s="51"/>
      <c r="G336" s="119"/>
      <c r="H336" s="119"/>
      <c r="I336" s="119"/>
      <c r="J336" s="119"/>
      <c r="K336" s="119"/>
      <c r="L336" s="119"/>
    </row>
    <row r="337" spans="2:12" ht="12" x14ac:dyDescent="0.2">
      <c r="F337" s="140" t="s">
        <v>287</v>
      </c>
      <c r="G337" s="120">
        <f>SUM(H337:L337)</f>
        <v>32852488.986111045</v>
      </c>
      <c r="H337" s="67">
        <f>'Financial Req'!J121</f>
        <v>3031886.0564814834</v>
      </c>
      <c r="I337" s="67">
        <f>'Financial Req'!K121</f>
        <v>7483434.4824073883</v>
      </c>
      <c r="J337" s="67">
        <f>'Financial Req'!L121</f>
        <v>7448500.5935185011</v>
      </c>
      <c r="K337" s="67">
        <f>'Financial Req'!M121</f>
        <v>7440167.2601851672</v>
      </c>
      <c r="L337" s="67">
        <f>'Financial Req'!N121</f>
        <v>7448500.5935185011</v>
      </c>
    </row>
    <row r="338" spans="2:12" ht="12" x14ac:dyDescent="0.2">
      <c r="F338" s="51"/>
      <c r="G338" s="38"/>
      <c r="H338" s="67"/>
      <c r="I338" s="67"/>
      <c r="J338" s="67"/>
      <c r="K338" s="67"/>
      <c r="L338" s="67"/>
    </row>
    <row r="339" spans="2:12" ht="12" x14ac:dyDescent="0.2">
      <c r="F339" s="141" t="s">
        <v>286</v>
      </c>
      <c r="G339" s="121">
        <f>G335/G337</f>
        <v>0.59364963188659425</v>
      </c>
      <c r="H339" s="121">
        <f t="shared" ref="H339:L339" si="48">H335/H337</f>
        <v>1.406519413721472</v>
      </c>
      <c r="I339" s="121">
        <f t="shared" si="48"/>
        <v>0.55835934803139409</v>
      </c>
      <c r="J339" s="121">
        <f t="shared" si="48"/>
        <v>0.52036252799729543</v>
      </c>
      <c r="K339" s="121">
        <f t="shared" si="48"/>
        <v>0.4827912428602103</v>
      </c>
      <c r="L339" s="121">
        <f t="shared" si="48"/>
        <v>0.48225109920221426</v>
      </c>
    </row>
    <row r="340" spans="2:12" ht="12" x14ac:dyDescent="0.2">
      <c r="F340" s="51"/>
      <c r="G340" s="101"/>
    </row>
    <row r="341" spans="2:12" ht="17.399999999999999" x14ac:dyDescent="0.2">
      <c r="F341" s="210" t="str">
        <f>"Funding Gap ("&amp;CURR_INT_ABBR&amp;")"</f>
        <v>Funding Gap (USD)</v>
      </c>
      <c r="G341" s="176">
        <f>G337-G335</f>
        <v>13349620.992947832</v>
      </c>
      <c r="H341" s="175">
        <f>H337-H335</f>
        <v>-1232520.5421511587</v>
      </c>
      <c r="I341" s="175">
        <f t="shared" ref="I341:L341" si="49">I337-I335</f>
        <v>3304988.8837747457</v>
      </c>
      <c r="J341" s="175">
        <f t="shared" si="49"/>
        <v>3572579.9948858586</v>
      </c>
      <c r="K341" s="175">
        <f t="shared" si="49"/>
        <v>3848119.6615525247</v>
      </c>
      <c r="L341" s="175">
        <f t="shared" si="49"/>
        <v>3856452.9948858586</v>
      </c>
    </row>
    <row r="344" spans="2:12" ht="12" x14ac:dyDescent="0.2">
      <c r="B344" s="98" t="str">
        <f>Strategy6&amp;": Summary Dashboard"</f>
        <v>Objetivo estratégico 6: [No está en uso]: Summary Dashboard</v>
      </c>
      <c r="C344" s="1"/>
      <c r="D344" s="1"/>
      <c r="E344" s="1"/>
      <c r="F344" s="1"/>
      <c r="G344" s="1"/>
      <c r="H344" s="1"/>
      <c r="I344" s="1"/>
      <c r="J344" s="1"/>
      <c r="K344" s="1"/>
      <c r="L344" s="1"/>
    </row>
    <row r="347" spans="2:12" ht="12" x14ac:dyDescent="0.2">
      <c r="I347" s="43" t="s">
        <v>142</v>
      </c>
    </row>
    <row r="348" spans="2:12" x14ac:dyDescent="0.2">
      <c r="I348" t="str">
        <f>STRAT6_IND1</f>
        <v>Objetivo estratégico 6 Indicador 1</v>
      </c>
    </row>
    <row r="349" spans="2:12" x14ac:dyDescent="0.2">
      <c r="I349" t="str">
        <f>STRAT6_IND2</f>
        <v>Objetivo estratégico 6 Indicador 2</v>
      </c>
    </row>
    <row r="350" spans="2:12" x14ac:dyDescent="0.2">
      <c r="I350" t="str">
        <f>STRAT6_IND3</f>
        <v>Objetivo estratégico 6 Indicador 3</v>
      </c>
    </row>
    <row r="351" spans="2:12" x14ac:dyDescent="0.2">
      <c r="I351" t="str">
        <f>STRAT6_IND4</f>
        <v>Objetivo estratégico 6 Indicador 4</v>
      </c>
    </row>
    <row r="352" spans="2:12" x14ac:dyDescent="0.2">
      <c r="I352" t="str">
        <f>STRAT6_IND5</f>
        <v>Objetivo estratégico 6 Indicador 5</v>
      </c>
    </row>
    <row r="360" spans="6:12" ht="12" x14ac:dyDescent="0.2">
      <c r="I360" s="229" t="s">
        <v>256</v>
      </c>
    </row>
    <row r="361" spans="6:12" ht="13.8" x14ac:dyDescent="0.2">
      <c r="J361" s="225"/>
      <c r="K361" s="226"/>
      <c r="L361" s="227"/>
    </row>
    <row r="362" spans="6:12" ht="12" x14ac:dyDescent="0.2">
      <c r="I362" s="51" t="s">
        <v>267</v>
      </c>
      <c r="J362" s="228" t="s">
        <v>390</v>
      </c>
      <c r="K362" s="228" t="s">
        <v>391</v>
      </c>
      <c r="L362" s="228" t="s">
        <v>392</v>
      </c>
    </row>
    <row r="363" spans="6:12" ht="12" x14ac:dyDescent="0.2">
      <c r="I363" s="51" t="s">
        <v>166</v>
      </c>
      <c r="J363" s="228" t="s">
        <v>394</v>
      </c>
      <c r="K363" s="228" t="s">
        <v>395</v>
      </c>
      <c r="L363" s="228" t="s">
        <v>396</v>
      </c>
    </row>
    <row r="364" spans="6:12" ht="12" x14ac:dyDescent="0.2">
      <c r="I364" s="51" t="s">
        <v>286</v>
      </c>
      <c r="J364" s="228" t="s">
        <v>397</v>
      </c>
      <c r="L364" s="228" t="s">
        <v>398</v>
      </c>
    </row>
    <row r="367" spans="6:12" ht="17.399999999999999" x14ac:dyDescent="0.2">
      <c r="F367" s="95" t="str">
        <f>CURR_INT_ABBR</f>
        <v>USD</v>
      </c>
    </row>
    <row r="368" spans="6:12" ht="12" x14ac:dyDescent="0.2">
      <c r="F368" s="71" t="str">
        <f>Basic_Setup!$B$104</f>
        <v>Socios que contribuyen a la financiación de los objetivos y resultados estratégicos</v>
      </c>
      <c r="G368" s="137" t="s">
        <v>292</v>
      </c>
      <c r="H368" s="102">
        <f>Ts_First_Fin_Yr</f>
        <v>2019</v>
      </c>
      <c r="I368" s="102">
        <f>Ts_First_Fin_Yr+1</f>
        <v>2020</v>
      </c>
      <c r="J368" s="102">
        <f>Ts_First_Fin_Yr+2</f>
        <v>2021</v>
      </c>
      <c r="K368" s="102">
        <f>Ts_First_Fin_Yr+3</f>
        <v>2022</v>
      </c>
      <c r="L368" s="102">
        <f>Ts_First_Fin_Yr+4</f>
        <v>2023</v>
      </c>
    </row>
    <row r="369" spans="6:12" x14ac:dyDescent="0.2">
      <c r="F369" t="str">
        <f>Partner1</f>
        <v>UNICEF</v>
      </c>
      <c r="G369" s="62">
        <f>Partner1!I$55</f>
        <v>0</v>
      </c>
      <c r="H369" s="114">
        <f>Partner1!J$55</f>
        <v>0</v>
      </c>
      <c r="I369" s="62">
        <f>Partner1!K$55</f>
        <v>0</v>
      </c>
      <c r="J369" s="62">
        <f>Partner1!L$55</f>
        <v>0</v>
      </c>
      <c r="K369" s="62">
        <f>Partner1!M$55</f>
        <v>0</v>
      </c>
      <c r="L369" s="62">
        <f>Partner1!N$55</f>
        <v>0</v>
      </c>
    </row>
    <row r="370" spans="6:12" x14ac:dyDescent="0.2">
      <c r="F370" t="str">
        <f>Partner2</f>
        <v>Organización Mundial de la Salud</v>
      </c>
      <c r="G370" s="62">
        <f>Partner2!I$55</f>
        <v>0</v>
      </c>
      <c r="H370" s="114">
        <f>Partner2!J$55</f>
        <v>0</v>
      </c>
      <c r="I370" s="62">
        <f>Partner2!K$55</f>
        <v>0</v>
      </c>
      <c r="J370" s="62">
        <f>Partner2!L$55</f>
        <v>0</v>
      </c>
      <c r="K370" s="62">
        <f>Partner2!M$55</f>
        <v>0</v>
      </c>
      <c r="L370" s="62">
        <f>Partner2!N$55</f>
        <v>0</v>
      </c>
    </row>
    <row r="371" spans="6:12" x14ac:dyDescent="0.2">
      <c r="F371" t="str">
        <f>Partner3</f>
        <v>Banco Mundial</v>
      </c>
      <c r="G371" s="62">
        <f>Partner3!I$55</f>
        <v>0</v>
      </c>
      <c r="H371" s="114">
        <f>Partner3!J$55</f>
        <v>0</v>
      </c>
      <c r="I371" s="62">
        <f>Partner3!K$55</f>
        <v>0</v>
      </c>
      <c r="J371" s="62">
        <f>Partner3!L$55</f>
        <v>0</v>
      </c>
      <c r="K371" s="62">
        <f>Partner3!M$55</f>
        <v>0</v>
      </c>
      <c r="L371" s="62">
        <f>Partner3!N$55</f>
        <v>0</v>
      </c>
    </row>
    <row r="372" spans="6:12" x14ac:dyDescent="0.2">
      <c r="F372" t="str">
        <f>Partner4</f>
        <v>Organización de las Naciones Unidas para la Alimentación y la Agricultura</v>
      </c>
      <c r="G372" s="62">
        <f>Partner4!I$55</f>
        <v>0</v>
      </c>
      <c r="H372" s="114">
        <f>Partner4!J$55</f>
        <v>0</v>
      </c>
      <c r="I372" s="62">
        <f>Partner4!K$55</f>
        <v>0</v>
      </c>
      <c r="J372" s="62">
        <f>Partner4!L$55</f>
        <v>0</v>
      </c>
      <c r="K372" s="62">
        <f>Partner4!M$55</f>
        <v>0</v>
      </c>
      <c r="L372" s="62">
        <f>Partner4!N$55</f>
        <v>0</v>
      </c>
    </row>
    <row r="373" spans="6:12" x14ac:dyDescent="0.2">
      <c r="F373" t="str">
        <f>Partner5</f>
        <v>Programa Mundial de Alimentos</v>
      </c>
      <c r="G373" s="62">
        <f>Partner5!I$55</f>
        <v>0</v>
      </c>
      <c r="H373" s="114">
        <f>Partner5!J$55</f>
        <v>0</v>
      </c>
      <c r="I373" s="62">
        <f>Partner5!K$55</f>
        <v>0</v>
      </c>
      <c r="J373" s="62">
        <f>Partner5!L$55</f>
        <v>0</v>
      </c>
      <c r="K373" s="62">
        <f>Partner5!M$55</f>
        <v>0</v>
      </c>
      <c r="L373" s="62">
        <f>Partner5!N$55</f>
        <v>0</v>
      </c>
    </row>
    <row r="374" spans="6:12" x14ac:dyDescent="0.2">
      <c r="F374" t="str">
        <f>Partner6</f>
        <v>[No está en uso]</v>
      </c>
      <c r="G374" s="62">
        <f>Partner6!I$55</f>
        <v>0</v>
      </c>
      <c r="H374" s="114">
        <f>Partner6!J$55</f>
        <v>0</v>
      </c>
      <c r="I374" s="62">
        <f>Partner6!K$55</f>
        <v>0</v>
      </c>
      <c r="J374" s="62">
        <f>Partner6!L$55</f>
        <v>0</v>
      </c>
      <c r="K374" s="62">
        <f>Partner6!M$55</f>
        <v>0</v>
      </c>
      <c r="L374" s="62">
        <f>Partner6!N$55</f>
        <v>0</v>
      </c>
    </row>
    <row r="375" spans="6:12" x14ac:dyDescent="0.2">
      <c r="F375" t="str">
        <f>Partner7</f>
        <v>[No está en uso]</v>
      </c>
      <c r="G375" s="62">
        <f>Partner7!I$55</f>
        <v>0</v>
      </c>
      <c r="H375" s="114">
        <f>Partner7!J$55</f>
        <v>0</v>
      </c>
      <c r="I375" s="62">
        <f>Partner7!K$55</f>
        <v>0</v>
      </c>
      <c r="J375" s="62">
        <f>Partner7!L$55</f>
        <v>0</v>
      </c>
      <c r="K375" s="62">
        <f>Partner7!M$55</f>
        <v>0</v>
      </c>
      <c r="L375" s="62">
        <f>Partner7!N$55</f>
        <v>0</v>
      </c>
    </row>
    <row r="376" spans="6:12" x14ac:dyDescent="0.2">
      <c r="F376" t="str">
        <f>Partner8</f>
        <v>[No está en uso]</v>
      </c>
      <c r="G376" s="62">
        <f>Partner8!I$55</f>
        <v>0</v>
      </c>
      <c r="H376" s="114">
        <f>Partner8!J$55</f>
        <v>0</v>
      </c>
      <c r="I376" s="62">
        <f>Partner8!K$55</f>
        <v>0</v>
      </c>
      <c r="J376" s="62">
        <f>Partner8!L$55</f>
        <v>0</v>
      </c>
      <c r="K376" s="62">
        <f>Partner8!M$55</f>
        <v>0</v>
      </c>
      <c r="L376" s="62">
        <f>Partner8!N$55</f>
        <v>0</v>
      </c>
    </row>
    <row r="377" spans="6:12" x14ac:dyDescent="0.2">
      <c r="F377" t="str">
        <f>Partner9</f>
        <v>[No está en uso]</v>
      </c>
      <c r="G377" s="62">
        <f>Partner9!I$55</f>
        <v>0</v>
      </c>
      <c r="H377" s="114">
        <f>Partner9!J$55</f>
        <v>0</v>
      </c>
      <c r="I377" s="62">
        <f>Partner9!K$55</f>
        <v>0</v>
      </c>
      <c r="J377" s="62">
        <f>Partner9!L$55</f>
        <v>0</v>
      </c>
      <c r="K377" s="62">
        <f>Partner9!M$55</f>
        <v>0</v>
      </c>
      <c r="L377" s="62">
        <f>Partner9!N$55</f>
        <v>0</v>
      </c>
    </row>
    <row r="378" spans="6:12" x14ac:dyDescent="0.2">
      <c r="F378" t="str">
        <f>Partner10</f>
        <v>[No está en uso]</v>
      </c>
      <c r="G378" s="62">
        <f>Partner10!I$55</f>
        <v>0</v>
      </c>
      <c r="H378" s="115">
        <f>Partner10!J$55</f>
        <v>0</v>
      </c>
      <c r="I378" s="62">
        <f>Partner10!K$55</f>
        <v>0</v>
      </c>
      <c r="J378" s="62">
        <f>Partner10!L$55</f>
        <v>0</v>
      </c>
      <c r="K378" s="62">
        <f>Partner10!M$55</f>
        <v>0</v>
      </c>
      <c r="L378" s="62">
        <f>Partner10!N$55</f>
        <v>0</v>
      </c>
    </row>
    <row r="379" spans="6:12" ht="12" x14ac:dyDescent="0.2">
      <c r="F379" s="155" t="str">
        <f>"Subtotal - "&amp;F368&amp;" Contribution"</f>
        <v>Subtotal - Socios que contribuyen a la financiación de los objetivos y resultados estratégicos Contribution</v>
      </c>
      <c r="G379" s="116">
        <f>SUM(G369:G378)</f>
        <v>0</v>
      </c>
      <c r="H379" s="117">
        <f>SUM(H369:H378)</f>
        <v>0</v>
      </c>
      <c r="I379" s="117">
        <f t="shared" ref="I379:L379" si="50">SUM(I369:I378)</f>
        <v>0</v>
      </c>
      <c r="J379" s="117">
        <f t="shared" si="50"/>
        <v>0</v>
      </c>
      <c r="K379" s="117">
        <f t="shared" si="50"/>
        <v>0</v>
      </c>
      <c r="L379" s="117">
        <f t="shared" si="50"/>
        <v>0</v>
      </c>
    </row>
    <row r="380" spans="6:12" ht="12" x14ac:dyDescent="0.2">
      <c r="F380" s="138" t="s">
        <v>99</v>
      </c>
      <c r="G380" s="113" t="str">
        <f t="shared" ref="G380:L380" si="51">IF(ISERR(G379/G385),"N/A",G379/G385)</f>
        <v>N/A</v>
      </c>
      <c r="H380" s="113" t="str">
        <f t="shared" si="51"/>
        <v>N/A</v>
      </c>
      <c r="I380" s="113" t="str">
        <f t="shared" si="51"/>
        <v>N/A</v>
      </c>
      <c r="J380" s="113" t="str">
        <f t="shared" si="51"/>
        <v>N/A</v>
      </c>
      <c r="K380" s="113" t="str">
        <f t="shared" si="51"/>
        <v>N/A</v>
      </c>
      <c r="L380" s="113" t="str">
        <f t="shared" si="51"/>
        <v>N/A</v>
      </c>
    </row>
    <row r="381" spans="6:12" ht="12" x14ac:dyDescent="0.2">
      <c r="F381" s="139" t="s">
        <v>250</v>
      </c>
      <c r="G381" s="118">
        <f>SUM(H381:L381)</f>
        <v>0</v>
      </c>
      <c r="H381" s="119">
        <f>Summary_Govt_Contributions!J70</f>
        <v>0</v>
      </c>
      <c r="I381" s="119">
        <f>Summary_Govt_Contributions!K70</f>
        <v>0</v>
      </c>
      <c r="J381" s="119">
        <f>Summary_Govt_Contributions!L70</f>
        <v>0</v>
      </c>
      <c r="K381" s="119">
        <f>Summary_Govt_Contributions!M70</f>
        <v>0</v>
      </c>
      <c r="L381" s="119">
        <f>Summary_Govt_Contributions!N70</f>
        <v>0</v>
      </c>
    </row>
    <row r="382" spans="6:12" ht="12" x14ac:dyDescent="0.2">
      <c r="F382" s="138" t="s">
        <v>249</v>
      </c>
      <c r="G382" s="113" t="str">
        <f t="shared" ref="G382:L382" si="52">IF(ISERR(G381/G385),"N/A",G381/G385)</f>
        <v>N/A</v>
      </c>
      <c r="H382" s="113" t="str">
        <f t="shared" si="52"/>
        <v>N/A</v>
      </c>
      <c r="I382" s="113" t="str">
        <f t="shared" si="52"/>
        <v>N/A</v>
      </c>
      <c r="J382" s="113" t="str">
        <f t="shared" si="52"/>
        <v>N/A</v>
      </c>
      <c r="K382" s="113" t="str">
        <f t="shared" si="52"/>
        <v>N/A</v>
      </c>
      <c r="L382" s="113" t="str">
        <f t="shared" si="52"/>
        <v>N/A</v>
      </c>
    </row>
    <row r="383" spans="6:12" ht="12" x14ac:dyDescent="0.2">
      <c r="F383" s="140" t="s">
        <v>288</v>
      </c>
      <c r="G383" s="118">
        <f>SUM(G379,G381)</f>
        <v>0</v>
      </c>
      <c r="H383" s="117">
        <f>SUM(H379,H381)</f>
        <v>0</v>
      </c>
      <c r="I383" s="117">
        <f t="shared" ref="I383:L383" si="53">SUM(I379,I381)</f>
        <v>0</v>
      </c>
      <c r="J383" s="117">
        <f t="shared" si="53"/>
        <v>0</v>
      </c>
      <c r="K383" s="117">
        <f t="shared" si="53"/>
        <v>0</v>
      </c>
      <c r="L383" s="117">
        <f t="shared" si="53"/>
        <v>0</v>
      </c>
    </row>
    <row r="384" spans="6:12" ht="12" x14ac:dyDescent="0.2">
      <c r="F384" s="51"/>
      <c r="G384" s="119"/>
      <c r="H384" s="119"/>
      <c r="I384" s="119"/>
      <c r="J384" s="119"/>
      <c r="K384" s="119"/>
      <c r="L384" s="119"/>
    </row>
    <row r="385" spans="2:12" ht="12" x14ac:dyDescent="0.2">
      <c r="F385" s="140" t="s">
        <v>287</v>
      </c>
      <c r="G385" s="120">
        <f>SUM(H385:L385)</f>
        <v>0</v>
      </c>
      <c r="H385" s="67">
        <f>'Financial Req'!J127</f>
        <v>0</v>
      </c>
      <c r="I385" s="67">
        <f>'Financial Req'!K127</f>
        <v>0</v>
      </c>
      <c r="J385" s="67">
        <f>'Financial Req'!L127</f>
        <v>0</v>
      </c>
      <c r="K385" s="67">
        <f>'Financial Req'!M127</f>
        <v>0</v>
      </c>
      <c r="L385" s="67">
        <f>'Financial Req'!N127</f>
        <v>0</v>
      </c>
    </row>
    <row r="386" spans="2:12" ht="12" x14ac:dyDescent="0.2">
      <c r="F386" s="51"/>
      <c r="G386" s="38"/>
      <c r="H386" s="67"/>
      <c r="I386" s="67"/>
      <c r="J386" s="67"/>
      <c r="K386" s="67"/>
      <c r="L386" s="67"/>
    </row>
    <row r="387" spans="2:12" ht="12" x14ac:dyDescent="0.2">
      <c r="F387" s="141" t="s">
        <v>286</v>
      </c>
      <c r="G387" s="121" t="str">
        <f t="shared" ref="G387:L387" si="54">IF(ISERR(G383/G385),"N/A",G383/G385)</f>
        <v>N/A</v>
      </c>
      <c r="H387" s="121" t="str">
        <f t="shared" si="54"/>
        <v>N/A</v>
      </c>
      <c r="I387" s="121" t="str">
        <f t="shared" si="54"/>
        <v>N/A</v>
      </c>
      <c r="J387" s="121" t="str">
        <f t="shared" si="54"/>
        <v>N/A</v>
      </c>
      <c r="K387" s="121" t="str">
        <f t="shared" si="54"/>
        <v>N/A</v>
      </c>
      <c r="L387" s="121" t="str">
        <f t="shared" si="54"/>
        <v>N/A</v>
      </c>
    </row>
    <row r="388" spans="2:12" ht="12" x14ac:dyDescent="0.2">
      <c r="F388" s="51"/>
      <c r="G388" s="101"/>
    </row>
    <row r="389" spans="2:12" ht="17.399999999999999" x14ac:dyDescent="0.2">
      <c r="F389" s="210" t="str">
        <f>"Funding Gap ("&amp;CURR_INT_ABBR&amp;")"</f>
        <v>Funding Gap (USD)</v>
      </c>
      <c r="G389" s="176">
        <f>G385-G383</f>
        <v>0</v>
      </c>
      <c r="H389" s="175">
        <f>H385-H383</f>
        <v>0</v>
      </c>
      <c r="I389" s="175">
        <f t="shared" ref="I389:L389" si="55">I385-I383</f>
        <v>0</v>
      </c>
      <c r="J389" s="175">
        <f t="shared" si="55"/>
        <v>0</v>
      </c>
      <c r="K389" s="175">
        <f t="shared" si="55"/>
        <v>0</v>
      </c>
      <c r="L389" s="175">
        <f t="shared" si="55"/>
        <v>0</v>
      </c>
    </row>
    <row r="392" spans="2:12" ht="12" x14ac:dyDescent="0.2">
      <c r="B392" s="98" t="str">
        <f>Strategy7&amp;": Summary Dashboard"</f>
        <v>Objetivo estratégico 7: [No está en uso]: Summary Dashboard</v>
      </c>
      <c r="C392" s="1"/>
      <c r="D392" s="1"/>
      <c r="E392" s="1"/>
      <c r="F392" s="1"/>
      <c r="G392" s="1"/>
      <c r="H392" s="1"/>
      <c r="I392" s="1"/>
      <c r="J392" s="1"/>
      <c r="K392" s="1"/>
      <c r="L392" s="1"/>
    </row>
    <row r="395" spans="2:12" ht="12" x14ac:dyDescent="0.2">
      <c r="I395" s="43" t="s">
        <v>142</v>
      </c>
    </row>
    <row r="396" spans="2:12" x14ac:dyDescent="0.2">
      <c r="I396" t="str">
        <f>STRAT7_IND1</f>
        <v>Objetivo estratégico 7 Indicador 1</v>
      </c>
    </row>
    <row r="397" spans="2:12" x14ac:dyDescent="0.2">
      <c r="I397" t="str">
        <f>STRAT7_IND2</f>
        <v>Objetivo estratégico 7 Indicador 2</v>
      </c>
    </row>
    <row r="398" spans="2:12" x14ac:dyDescent="0.2">
      <c r="I398" t="str">
        <f>STRAT7_IND3</f>
        <v>Objetivo estratégico 7 Indicador 3</v>
      </c>
    </row>
    <row r="399" spans="2:12" x14ac:dyDescent="0.2">
      <c r="I399" t="str">
        <f>STRAT7_IND4</f>
        <v>Objetivo estratégico 7 Indicador 4</v>
      </c>
    </row>
    <row r="400" spans="2:12" x14ac:dyDescent="0.2">
      <c r="I400" t="str">
        <f>STRAT7_IND5</f>
        <v>Objetivo estratégico 7 Indicador 5</v>
      </c>
    </row>
    <row r="408" spans="6:12" ht="12" x14ac:dyDescent="0.2">
      <c r="I408" s="229" t="s">
        <v>256</v>
      </c>
    </row>
    <row r="409" spans="6:12" ht="13.8" x14ac:dyDescent="0.2">
      <c r="J409" s="225"/>
      <c r="K409" s="226"/>
      <c r="L409" s="227"/>
    </row>
    <row r="410" spans="6:12" ht="12" x14ac:dyDescent="0.2">
      <c r="I410" s="51" t="s">
        <v>267</v>
      </c>
      <c r="J410" s="228" t="s">
        <v>390</v>
      </c>
      <c r="K410" s="228" t="s">
        <v>391</v>
      </c>
      <c r="L410" s="228" t="s">
        <v>392</v>
      </c>
    </row>
    <row r="411" spans="6:12" ht="12" x14ac:dyDescent="0.2">
      <c r="I411" s="51" t="s">
        <v>166</v>
      </c>
      <c r="J411" s="228" t="s">
        <v>394</v>
      </c>
      <c r="K411" s="228" t="s">
        <v>395</v>
      </c>
      <c r="L411" s="228" t="s">
        <v>396</v>
      </c>
    </row>
    <row r="412" spans="6:12" ht="12" x14ac:dyDescent="0.2">
      <c r="I412" s="51" t="s">
        <v>286</v>
      </c>
      <c r="J412" s="228" t="s">
        <v>397</v>
      </c>
      <c r="L412" s="228" t="s">
        <v>398</v>
      </c>
    </row>
    <row r="415" spans="6:12" ht="17.399999999999999" x14ac:dyDescent="0.2">
      <c r="F415" s="95" t="str">
        <f>CURR_INT_ABBR</f>
        <v>USD</v>
      </c>
    </row>
    <row r="416" spans="6:12" ht="12" x14ac:dyDescent="0.2">
      <c r="F416" s="71" t="str">
        <f>Basic_Setup!$B$104</f>
        <v>Socios que contribuyen a la financiación de los objetivos y resultados estratégicos</v>
      </c>
      <c r="G416" s="137" t="s">
        <v>292</v>
      </c>
      <c r="H416" s="102">
        <f>Ts_First_Fin_Yr</f>
        <v>2019</v>
      </c>
      <c r="I416" s="102">
        <f>Ts_First_Fin_Yr+1</f>
        <v>2020</v>
      </c>
      <c r="J416" s="102">
        <f>Ts_First_Fin_Yr+2</f>
        <v>2021</v>
      </c>
      <c r="K416" s="102">
        <f>Ts_First_Fin_Yr+3</f>
        <v>2022</v>
      </c>
      <c r="L416" s="102">
        <f>Ts_First_Fin_Yr+4</f>
        <v>2023</v>
      </c>
    </row>
    <row r="417" spans="6:12" x14ac:dyDescent="0.2">
      <c r="F417" t="str">
        <f>Partner1</f>
        <v>UNICEF</v>
      </c>
      <c r="G417" s="62">
        <f>Partner1!I$61</f>
        <v>0</v>
      </c>
      <c r="H417" s="114">
        <f>Partner1!J$61</f>
        <v>0</v>
      </c>
      <c r="I417" s="62">
        <f>Partner1!K$61</f>
        <v>0</v>
      </c>
      <c r="J417" s="62">
        <f>Partner1!L$61</f>
        <v>0</v>
      </c>
      <c r="K417" s="62">
        <f>Partner1!M$61</f>
        <v>0</v>
      </c>
      <c r="L417" s="62">
        <f>Partner1!N$61</f>
        <v>0</v>
      </c>
    </row>
    <row r="418" spans="6:12" x14ac:dyDescent="0.2">
      <c r="F418" t="str">
        <f>Partner2</f>
        <v>Organización Mundial de la Salud</v>
      </c>
      <c r="G418" s="62">
        <f>Partner2!I$61</f>
        <v>0</v>
      </c>
      <c r="H418" s="114">
        <f>Partner2!J$61</f>
        <v>0</v>
      </c>
      <c r="I418" s="62">
        <f>Partner2!K$61</f>
        <v>0</v>
      </c>
      <c r="J418" s="62">
        <f>Partner2!L$61</f>
        <v>0</v>
      </c>
      <c r="K418" s="62">
        <f>Partner2!M$61</f>
        <v>0</v>
      </c>
      <c r="L418" s="62">
        <f>Partner2!N$61</f>
        <v>0</v>
      </c>
    </row>
    <row r="419" spans="6:12" x14ac:dyDescent="0.2">
      <c r="F419" t="str">
        <f>Partner3</f>
        <v>Banco Mundial</v>
      </c>
      <c r="G419" s="62">
        <f>Partner3!I$61</f>
        <v>0</v>
      </c>
      <c r="H419" s="114">
        <f>Partner3!J$61</f>
        <v>0</v>
      </c>
      <c r="I419" s="62">
        <f>Partner3!K$61</f>
        <v>0</v>
      </c>
      <c r="J419" s="62">
        <f>Partner3!L$61</f>
        <v>0</v>
      </c>
      <c r="K419" s="62">
        <f>Partner3!M$61</f>
        <v>0</v>
      </c>
      <c r="L419" s="62">
        <f>Partner3!N$61</f>
        <v>0</v>
      </c>
    </row>
    <row r="420" spans="6:12" x14ac:dyDescent="0.2">
      <c r="F420" t="str">
        <f>Partner4</f>
        <v>Organización de las Naciones Unidas para la Alimentación y la Agricultura</v>
      </c>
      <c r="G420" s="62">
        <f>Partner4!I$61</f>
        <v>0</v>
      </c>
      <c r="H420" s="114">
        <f>Partner4!J$61</f>
        <v>0</v>
      </c>
      <c r="I420" s="62">
        <f>Partner4!K$61</f>
        <v>0</v>
      </c>
      <c r="J420" s="62">
        <f>Partner4!L$61</f>
        <v>0</v>
      </c>
      <c r="K420" s="62">
        <f>Partner4!M$61</f>
        <v>0</v>
      </c>
      <c r="L420" s="62">
        <f>Partner4!N$61</f>
        <v>0</v>
      </c>
    </row>
    <row r="421" spans="6:12" x14ac:dyDescent="0.2">
      <c r="F421" t="str">
        <f>Partner5</f>
        <v>Programa Mundial de Alimentos</v>
      </c>
      <c r="G421" s="62">
        <f>Partner5!I$61</f>
        <v>0</v>
      </c>
      <c r="H421" s="114">
        <f>Partner5!J$61</f>
        <v>0</v>
      </c>
      <c r="I421" s="62">
        <f>Partner5!K$61</f>
        <v>0</v>
      </c>
      <c r="J421" s="62">
        <f>Partner5!L$61</f>
        <v>0</v>
      </c>
      <c r="K421" s="62">
        <f>Partner5!M$61</f>
        <v>0</v>
      </c>
      <c r="L421" s="62">
        <f>Partner5!N$61</f>
        <v>0</v>
      </c>
    </row>
    <row r="422" spans="6:12" x14ac:dyDescent="0.2">
      <c r="F422" t="str">
        <f>Partner6</f>
        <v>[No está en uso]</v>
      </c>
      <c r="G422" s="62">
        <f>Partner6!I$61</f>
        <v>0</v>
      </c>
      <c r="H422" s="114">
        <f>Partner6!J$61</f>
        <v>0</v>
      </c>
      <c r="I422" s="62">
        <f>Partner6!K$61</f>
        <v>0</v>
      </c>
      <c r="J422" s="62">
        <f>Partner6!L$61</f>
        <v>0</v>
      </c>
      <c r="K422" s="62">
        <f>Partner6!M$61</f>
        <v>0</v>
      </c>
      <c r="L422" s="62">
        <f>Partner6!N$61</f>
        <v>0</v>
      </c>
    </row>
    <row r="423" spans="6:12" x14ac:dyDescent="0.2">
      <c r="F423" t="str">
        <f>Partner7</f>
        <v>[No está en uso]</v>
      </c>
      <c r="G423" s="62">
        <f>Partner7!I$61</f>
        <v>0</v>
      </c>
      <c r="H423" s="114">
        <f>Partner7!J$61</f>
        <v>0</v>
      </c>
      <c r="I423" s="62">
        <f>Partner7!K$61</f>
        <v>0</v>
      </c>
      <c r="J423" s="62">
        <f>Partner7!L$61</f>
        <v>0</v>
      </c>
      <c r="K423" s="62">
        <f>Partner7!M$61</f>
        <v>0</v>
      </c>
      <c r="L423" s="62">
        <f>Partner7!N$61</f>
        <v>0</v>
      </c>
    </row>
    <row r="424" spans="6:12" x14ac:dyDescent="0.2">
      <c r="F424" t="str">
        <f>Partner8</f>
        <v>[No está en uso]</v>
      </c>
      <c r="G424" s="62">
        <f>Partner8!I$61</f>
        <v>0</v>
      </c>
      <c r="H424" s="114">
        <f>Partner8!J$61</f>
        <v>0</v>
      </c>
      <c r="I424" s="62">
        <f>Partner8!K$61</f>
        <v>0</v>
      </c>
      <c r="J424" s="62">
        <f>Partner8!L$61</f>
        <v>0</v>
      </c>
      <c r="K424" s="62">
        <f>Partner8!M$61</f>
        <v>0</v>
      </c>
      <c r="L424" s="62">
        <f>Partner8!N$61</f>
        <v>0</v>
      </c>
    </row>
    <row r="425" spans="6:12" x14ac:dyDescent="0.2">
      <c r="F425" t="str">
        <f>Partner9</f>
        <v>[No está en uso]</v>
      </c>
      <c r="G425" s="62">
        <f>Partner9!I$61</f>
        <v>0</v>
      </c>
      <c r="H425" s="114">
        <f>Partner9!J$61</f>
        <v>0</v>
      </c>
      <c r="I425" s="62">
        <f>Partner9!K$61</f>
        <v>0</v>
      </c>
      <c r="J425" s="62">
        <f>Partner9!L$61</f>
        <v>0</v>
      </c>
      <c r="K425" s="62">
        <f>Partner9!M$61</f>
        <v>0</v>
      </c>
      <c r="L425" s="62">
        <f>Partner9!N$61</f>
        <v>0</v>
      </c>
    </row>
    <row r="426" spans="6:12" x14ac:dyDescent="0.2">
      <c r="F426" t="str">
        <f>Partner10</f>
        <v>[No está en uso]</v>
      </c>
      <c r="G426" s="62">
        <f>Partner10!I$61</f>
        <v>0</v>
      </c>
      <c r="H426" s="115">
        <f>Partner10!J$61</f>
        <v>0</v>
      </c>
      <c r="I426" s="62">
        <f>Partner10!K$61</f>
        <v>0</v>
      </c>
      <c r="J426" s="62">
        <f>Partner10!L$61</f>
        <v>0</v>
      </c>
      <c r="K426" s="62">
        <f>Partner10!M$61</f>
        <v>0</v>
      </c>
      <c r="L426" s="62">
        <f>Partner10!N$61</f>
        <v>0</v>
      </c>
    </row>
    <row r="427" spans="6:12" ht="12" x14ac:dyDescent="0.2">
      <c r="F427" s="155" t="str">
        <f>"Subtotal - "&amp;F416&amp;" Contribution"</f>
        <v>Subtotal - Socios que contribuyen a la financiación de los objetivos y resultados estratégicos Contribution</v>
      </c>
      <c r="G427" s="116">
        <f>SUM(G417:G426)</f>
        <v>0</v>
      </c>
      <c r="H427" s="117">
        <f>SUM(H417:H426)</f>
        <v>0</v>
      </c>
      <c r="I427" s="117">
        <f t="shared" ref="I427:L427" si="56">SUM(I417:I426)</f>
        <v>0</v>
      </c>
      <c r="J427" s="117">
        <f t="shared" si="56"/>
        <v>0</v>
      </c>
      <c r="K427" s="117">
        <f t="shared" si="56"/>
        <v>0</v>
      </c>
      <c r="L427" s="117">
        <f t="shared" si="56"/>
        <v>0</v>
      </c>
    </row>
    <row r="428" spans="6:12" ht="12" x14ac:dyDescent="0.2">
      <c r="F428" s="138" t="s">
        <v>99</v>
      </c>
      <c r="G428" s="113">
        <f t="shared" ref="G428:L428" si="57">IFERROR(G427/G433,0)</f>
        <v>0</v>
      </c>
      <c r="H428" s="113">
        <f t="shared" si="57"/>
        <v>0</v>
      </c>
      <c r="I428" s="113">
        <f t="shared" si="57"/>
        <v>0</v>
      </c>
      <c r="J428" s="113">
        <f t="shared" si="57"/>
        <v>0</v>
      </c>
      <c r="K428" s="113">
        <f t="shared" si="57"/>
        <v>0</v>
      </c>
      <c r="L428" s="113">
        <f t="shared" si="57"/>
        <v>0</v>
      </c>
    </row>
    <row r="429" spans="6:12" ht="12" x14ac:dyDescent="0.2">
      <c r="F429" s="139" t="s">
        <v>250</v>
      </c>
      <c r="G429" s="118">
        <f>SUM(H429:L429)</f>
        <v>0</v>
      </c>
      <c r="H429" s="119">
        <f>Summary_Govt_Contributions!J71</f>
        <v>0</v>
      </c>
      <c r="I429" s="119">
        <f>Summary_Govt_Contributions!K71</f>
        <v>0</v>
      </c>
      <c r="J429" s="119">
        <f>Summary_Govt_Contributions!L71</f>
        <v>0</v>
      </c>
      <c r="K429" s="119">
        <f>Summary_Govt_Contributions!M71</f>
        <v>0</v>
      </c>
      <c r="L429" s="119">
        <f>Summary_Govt_Contributions!N71</f>
        <v>0</v>
      </c>
    </row>
    <row r="430" spans="6:12" ht="12" x14ac:dyDescent="0.2">
      <c r="F430" s="138" t="s">
        <v>249</v>
      </c>
      <c r="G430" s="113">
        <f t="shared" ref="G430:L430" si="58">IFERROR(G429/G433,0)</f>
        <v>0</v>
      </c>
      <c r="H430" s="113">
        <f t="shared" si="58"/>
        <v>0</v>
      </c>
      <c r="I430" s="113">
        <f t="shared" si="58"/>
        <v>0</v>
      </c>
      <c r="J430" s="113">
        <f t="shared" si="58"/>
        <v>0</v>
      </c>
      <c r="K430" s="113">
        <f t="shared" si="58"/>
        <v>0</v>
      </c>
      <c r="L430" s="113">
        <f t="shared" si="58"/>
        <v>0</v>
      </c>
    </row>
    <row r="431" spans="6:12" ht="12" x14ac:dyDescent="0.2">
      <c r="F431" s="140" t="s">
        <v>288</v>
      </c>
      <c r="G431" s="118">
        <f>SUM(G427,G429)</f>
        <v>0</v>
      </c>
      <c r="H431" s="117">
        <f>SUM(H427,H429)</f>
        <v>0</v>
      </c>
      <c r="I431" s="117">
        <f t="shared" ref="I431:L431" si="59">SUM(I427,I429)</f>
        <v>0</v>
      </c>
      <c r="J431" s="117">
        <f t="shared" si="59"/>
        <v>0</v>
      </c>
      <c r="K431" s="117">
        <f t="shared" si="59"/>
        <v>0</v>
      </c>
      <c r="L431" s="117">
        <f t="shared" si="59"/>
        <v>0</v>
      </c>
    </row>
    <row r="432" spans="6:12" ht="12" x14ac:dyDescent="0.2">
      <c r="F432" s="51"/>
      <c r="G432" s="119"/>
      <c r="H432" s="119"/>
      <c r="I432" s="119"/>
      <c r="J432" s="119"/>
      <c r="K432" s="119"/>
      <c r="L432" s="119"/>
    </row>
    <row r="433" spans="2:12" ht="12" x14ac:dyDescent="0.2">
      <c r="F433" s="140" t="s">
        <v>287</v>
      </c>
      <c r="G433" s="120">
        <f>SUM(H433:L433)</f>
        <v>0</v>
      </c>
      <c r="H433" s="67">
        <f>'Financial Req'!J133</f>
        <v>0</v>
      </c>
      <c r="I433" s="67">
        <f>'Financial Req'!K133</f>
        <v>0</v>
      </c>
      <c r="J433" s="67">
        <f>'Financial Req'!L133</f>
        <v>0</v>
      </c>
      <c r="K433" s="67">
        <f>'Financial Req'!M133</f>
        <v>0</v>
      </c>
      <c r="L433" s="67">
        <f>'Financial Req'!N133</f>
        <v>0</v>
      </c>
    </row>
    <row r="434" spans="2:12" ht="12" x14ac:dyDescent="0.2">
      <c r="F434" s="51"/>
      <c r="G434" s="38"/>
      <c r="H434" s="67"/>
      <c r="I434" s="67"/>
      <c r="J434" s="67"/>
      <c r="K434" s="67"/>
      <c r="L434" s="67"/>
    </row>
    <row r="435" spans="2:12" ht="12" x14ac:dyDescent="0.2">
      <c r="F435" s="141" t="s">
        <v>286</v>
      </c>
      <c r="G435" s="121">
        <f t="shared" ref="G435:L435" si="60">IFERROR(G431/G433,0)</f>
        <v>0</v>
      </c>
      <c r="H435" s="121">
        <f t="shared" si="60"/>
        <v>0</v>
      </c>
      <c r="I435" s="121">
        <f t="shared" si="60"/>
        <v>0</v>
      </c>
      <c r="J435" s="121">
        <f t="shared" si="60"/>
        <v>0</v>
      </c>
      <c r="K435" s="121">
        <f t="shared" si="60"/>
        <v>0</v>
      </c>
      <c r="L435" s="121">
        <f t="shared" si="60"/>
        <v>0</v>
      </c>
    </row>
    <row r="436" spans="2:12" ht="12" x14ac:dyDescent="0.2">
      <c r="F436" s="51"/>
      <c r="G436" s="101"/>
    </row>
    <row r="437" spans="2:12" ht="17.399999999999999" x14ac:dyDescent="0.2">
      <c r="F437" s="210" t="str">
        <f>"Funding Gap ("&amp;CURR_INT_ABBR&amp;")"</f>
        <v>Funding Gap (USD)</v>
      </c>
      <c r="G437" s="176">
        <f>G433-G431</f>
        <v>0</v>
      </c>
      <c r="H437" s="175">
        <f>H433-H431</f>
        <v>0</v>
      </c>
      <c r="I437" s="175">
        <f t="shared" ref="I437:L437" si="61">I433-I431</f>
        <v>0</v>
      </c>
      <c r="J437" s="175">
        <f t="shared" si="61"/>
        <v>0</v>
      </c>
      <c r="K437" s="175">
        <f t="shared" si="61"/>
        <v>0</v>
      </c>
      <c r="L437" s="175">
        <f t="shared" si="61"/>
        <v>0</v>
      </c>
    </row>
    <row r="440" spans="2:12" ht="12" x14ac:dyDescent="0.2">
      <c r="B440" s="98" t="str">
        <f>Strategy8&amp;": Summary Dashboard"</f>
        <v>Objetivo estratégico 8: [No está en uso]: Summary Dashboard</v>
      </c>
      <c r="C440" s="1"/>
      <c r="D440" s="1"/>
      <c r="E440" s="1"/>
      <c r="F440" s="1"/>
      <c r="G440" s="1"/>
      <c r="H440" s="1"/>
      <c r="I440" s="1"/>
      <c r="J440" s="1"/>
      <c r="K440" s="1"/>
      <c r="L440" s="1"/>
    </row>
    <row r="443" spans="2:12" ht="12" x14ac:dyDescent="0.2">
      <c r="I443" s="43" t="s">
        <v>142</v>
      </c>
    </row>
    <row r="444" spans="2:12" x14ac:dyDescent="0.2">
      <c r="I444" t="str">
        <f>STRAT8_IND1</f>
        <v>Objetivo estratégico 8 Indicador 1</v>
      </c>
    </row>
    <row r="445" spans="2:12" x14ac:dyDescent="0.2">
      <c r="I445" t="str">
        <f>STRAT8_IND2</f>
        <v>Objetivo estratégico 8 Indicador 2</v>
      </c>
    </row>
    <row r="446" spans="2:12" x14ac:dyDescent="0.2">
      <c r="I446" t="str">
        <f>STRAT8_IND3</f>
        <v>Objetivo estratégico 8 Indicador 3</v>
      </c>
    </row>
    <row r="447" spans="2:12" x14ac:dyDescent="0.2">
      <c r="I447" t="str">
        <f>STRAT8_IND4</f>
        <v>Objetivo estratégico 8 Indicador 4</v>
      </c>
    </row>
    <row r="448" spans="2:12" x14ac:dyDescent="0.2">
      <c r="I448" t="str">
        <f>STRAT8_IND5</f>
        <v>Objetivo estratégico 8 Indicador 5</v>
      </c>
    </row>
    <row r="456" spans="6:12" ht="12" x14ac:dyDescent="0.2">
      <c r="I456" s="229" t="s">
        <v>256</v>
      </c>
    </row>
    <row r="457" spans="6:12" ht="13.8" x14ac:dyDescent="0.2">
      <c r="J457" s="225"/>
      <c r="K457" s="226"/>
      <c r="L457" s="227"/>
    </row>
    <row r="458" spans="6:12" ht="12" x14ac:dyDescent="0.2">
      <c r="I458" s="51" t="s">
        <v>267</v>
      </c>
      <c r="J458" s="228" t="s">
        <v>390</v>
      </c>
      <c r="K458" s="228" t="s">
        <v>391</v>
      </c>
      <c r="L458" s="228" t="s">
        <v>392</v>
      </c>
    </row>
    <row r="459" spans="6:12" ht="12" x14ac:dyDescent="0.2">
      <c r="I459" s="51" t="s">
        <v>166</v>
      </c>
      <c r="J459" s="228" t="s">
        <v>394</v>
      </c>
      <c r="K459" s="228" t="s">
        <v>395</v>
      </c>
      <c r="L459" s="228" t="s">
        <v>396</v>
      </c>
    </row>
    <row r="460" spans="6:12" ht="12" x14ac:dyDescent="0.2">
      <c r="I460" s="51" t="s">
        <v>286</v>
      </c>
      <c r="J460" s="228" t="s">
        <v>397</v>
      </c>
      <c r="L460" s="228" t="s">
        <v>398</v>
      </c>
    </row>
    <row r="463" spans="6:12" ht="17.399999999999999" x14ac:dyDescent="0.2">
      <c r="F463" s="95" t="str">
        <f>CURR_INT_ABBR</f>
        <v>USD</v>
      </c>
    </row>
    <row r="464" spans="6:12" ht="12" x14ac:dyDescent="0.2">
      <c r="F464" s="71" t="str">
        <f>Basic_Setup!$B$104</f>
        <v>Socios que contribuyen a la financiación de los objetivos y resultados estratégicos</v>
      </c>
      <c r="G464" s="137" t="s">
        <v>292</v>
      </c>
      <c r="H464" s="102">
        <f>Ts_First_Fin_Yr</f>
        <v>2019</v>
      </c>
      <c r="I464" s="102">
        <f>Ts_First_Fin_Yr+1</f>
        <v>2020</v>
      </c>
      <c r="J464" s="102">
        <f>Ts_First_Fin_Yr+2</f>
        <v>2021</v>
      </c>
      <c r="K464" s="102">
        <f>Ts_First_Fin_Yr+3</f>
        <v>2022</v>
      </c>
      <c r="L464" s="102">
        <f>Ts_First_Fin_Yr+4</f>
        <v>2023</v>
      </c>
    </row>
    <row r="465" spans="6:12" x14ac:dyDescent="0.2">
      <c r="F465" t="str">
        <f>Partner1</f>
        <v>UNICEF</v>
      </c>
      <c r="G465" s="62">
        <f>Partner1!I$67</f>
        <v>0</v>
      </c>
      <c r="H465" s="114">
        <f>Partner1!J$67</f>
        <v>0</v>
      </c>
      <c r="I465" s="62">
        <f>Partner1!K$67</f>
        <v>0</v>
      </c>
      <c r="J465" s="62">
        <f>Partner1!L$67</f>
        <v>0</v>
      </c>
      <c r="K465" s="62">
        <f>Partner1!M$67</f>
        <v>0</v>
      </c>
      <c r="L465" s="62">
        <f>Partner1!N$67</f>
        <v>0</v>
      </c>
    </row>
    <row r="466" spans="6:12" x14ac:dyDescent="0.2">
      <c r="F466" t="str">
        <f>Partner2</f>
        <v>Organización Mundial de la Salud</v>
      </c>
      <c r="G466" s="62">
        <f>Partner2!I$67</f>
        <v>0</v>
      </c>
      <c r="H466" s="114">
        <f>Partner2!J$67</f>
        <v>0</v>
      </c>
      <c r="I466" s="62">
        <f>Partner2!K$67</f>
        <v>0</v>
      </c>
      <c r="J466" s="62">
        <f>Partner2!L$67</f>
        <v>0</v>
      </c>
      <c r="K466" s="62">
        <f>Partner2!M$67</f>
        <v>0</v>
      </c>
      <c r="L466" s="62">
        <f>Partner2!N$67</f>
        <v>0</v>
      </c>
    </row>
    <row r="467" spans="6:12" x14ac:dyDescent="0.2">
      <c r="F467" t="str">
        <f>Partner3</f>
        <v>Banco Mundial</v>
      </c>
      <c r="G467" s="62">
        <f>Partner3!I$67</f>
        <v>0</v>
      </c>
      <c r="H467" s="114">
        <f>Partner3!J$67</f>
        <v>0</v>
      </c>
      <c r="I467" s="62">
        <f>Partner3!K$67</f>
        <v>0</v>
      </c>
      <c r="J467" s="62">
        <f>Partner3!L$67</f>
        <v>0</v>
      </c>
      <c r="K467" s="62">
        <f>Partner3!M$67</f>
        <v>0</v>
      </c>
      <c r="L467" s="62">
        <f>Partner3!N$67</f>
        <v>0</v>
      </c>
    </row>
    <row r="468" spans="6:12" x14ac:dyDescent="0.2">
      <c r="F468" t="str">
        <f>Partner4</f>
        <v>Organización de las Naciones Unidas para la Alimentación y la Agricultura</v>
      </c>
      <c r="G468" s="62">
        <f>Partner4!I$67</f>
        <v>0</v>
      </c>
      <c r="H468" s="114">
        <f>Partner4!J$67</f>
        <v>0</v>
      </c>
      <c r="I468" s="62">
        <f>Partner4!K$67</f>
        <v>0</v>
      </c>
      <c r="J468" s="62">
        <f>Partner4!L$67</f>
        <v>0</v>
      </c>
      <c r="K468" s="62">
        <f>Partner4!M$67</f>
        <v>0</v>
      </c>
      <c r="L468" s="62">
        <f>Partner4!N$67</f>
        <v>0</v>
      </c>
    </row>
    <row r="469" spans="6:12" x14ac:dyDescent="0.2">
      <c r="F469" t="str">
        <f>Partner5</f>
        <v>Programa Mundial de Alimentos</v>
      </c>
      <c r="G469" s="62">
        <f>Partner5!I$67</f>
        <v>0</v>
      </c>
      <c r="H469" s="114">
        <f>Partner5!J$67</f>
        <v>0</v>
      </c>
      <c r="I469" s="62">
        <f>Partner5!K$67</f>
        <v>0</v>
      </c>
      <c r="J469" s="62">
        <f>Partner5!L$67</f>
        <v>0</v>
      </c>
      <c r="K469" s="62">
        <f>Partner5!M$67</f>
        <v>0</v>
      </c>
      <c r="L469" s="62">
        <f>Partner5!N$67</f>
        <v>0</v>
      </c>
    </row>
    <row r="470" spans="6:12" x14ac:dyDescent="0.2">
      <c r="F470" t="str">
        <f>Partner6</f>
        <v>[No está en uso]</v>
      </c>
      <c r="G470" s="62">
        <f>Partner6!I$67</f>
        <v>0</v>
      </c>
      <c r="H470" s="114">
        <f>Partner6!J$67</f>
        <v>0</v>
      </c>
      <c r="I470" s="62">
        <f>Partner6!K$67</f>
        <v>0</v>
      </c>
      <c r="J470" s="62">
        <f>Partner6!L$67</f>
        <v>0</v>
      </c>
      <c r="K470" s="62">
        <f>Partner6!M$67</f>
        <v>0</v>
      </c>
      <c r="L470" s="62">
        <f>Partner6!N$67</f>
        <v>0</v>
      </c>
    </row>
    <row r="471" spans="6:12" x14ac:dyDescent="0.2">
      <c r="F471" t="str">
        <f>Partner7</f>
        <v>[No está en uso]</v>
      </c>
      <c r="G471" s="62">
        <f>Partner7!I$67</f>
        <v>0</v>
      </c>
      <c r="H471" s="114">
        <f>Partner7!J$67</f>
        <v>0</v>
      </c>
      <c r="I471" s="62">
        <f>Partner7!K$67</f>
        <v>0</v>
      </c>
      <c r="J471" s="62">
        <f>Partner7!L$67</f>
        <v>0</v>
      </c>
      <c r="K471" s="62">
        <f>Partner7!M$67</f>
        <v>0</v>
      </c>
      <c r="L471" s="62">
        <f>Partner7!N$67</f>
        <v>0</v>
      </c>
    </row>
    <row r="472" spans="6:12" x14ac:dyDescent="0.2">
      <c r="F472" t="str">
        <f>Partner8</f>
        <v>[No está en uso]</v>
      </c>
      <c r="G472" s="62">
        <f>Partner8!I$67</f>
        <v>0</v>
      </c>
      <c r="H472" s="114">
        <f>Partner8!J$67</f>
        <v>0</v>
      </c>
      <c r="I472" s="62">
        <f>Partner8!K$67</f>
        <v>0</v>
      </c>
      <c r="J472" s="62">
        <f>Partner8!L$67</f>
        <v>0</v>
      </c>
      <c r="K472" s="62">
        <f>Partner8!M$67</f>
        <v>0</v>
      </c>
      <c r="L472" s="62">
        <f>Partner8!N$67</f>
        <v>0</v>
      </c>
    </row>
    <row r="473" spans="6:12" x14ac:dyDescent="0.2">
      <c r="F473" t="str">
        <f>Partner9</f>
        <v>[No está en uso]</v>
      </c>
      <c r="G473" s="62">
        <f>Partner9!I$67</f>
        <v>0</v>
      </c>
      <c r="H473" s="114">
        <f>Partner9!J$67</f>
        <v>0</v>
      </c>
      <c r="I473" s="62">
        <f>Partner9!K$67</f>
        <v>0</v>
      </c>
      <c r="J473" s="62">
        <f>Partner9!L$67</f>
        <v>0</v>
      </c>
      <c r="K473" s="62">
        <f>Partner9!M$67</f>
        <v>0</v>
      </c>
      <c r="L473" s="62">
        <f>Partner9!N$67</f>
        <v>0</v>
      </c>
    </row>
    <row r="474" spans="6:12" x14ac:dyDescent="0.2">
      <c r="F474" t="str">
        <f>Partner10</f>
        <v>[No está en uso]</v>
      </c>
      <c r="G474" s="62">
        <f>Partner10!I$67</f>
        <v>0</v>
      </c>
      <c r="H474" s="115">
        <f>Partner10!J$67</f>
        <v>0</v>
      </c>
      <c r="I474" s="62">
        <f>Partner10!K$67</f>
        <v>0</v>
      </c>
      <c r="J474" s="62">
        <f>Partner10!L$67</f>
        <v>0</v>
      </c>
      <c r="K474" s="62">
        <f>Partner10!M$67</f>
        <v>0</v>
      </c>
      <c r="L474" s="62">
        <f>Partner10!N$67</f>
        <v>0</v>
      </c>
    </row>
    <row r="475" spans="6:12" ht="12" x14ac:dyDescent="0.2">
      <c r="F475" s="155" t="str">
        <f>"Subtotal - "&amp;F464&amp;" Contribution"</f>
        <v>Subtotal - Socios que contribuyen a la financiación de los objetivos y resultados estratégicos Contribution</v>
      </c>
      <c r="G475" s="116">
        <f>SUM(G465:G474)</f>
        <v>0</v>
      </c>
      <c r="H475" s="117">
        <f>SUM(H465:H474)</f>
        <v>0</v>
      </c>
      <c r="I475" s="117">
        <f t="shared" ref="I475:L475" si="62">SUM(I465:I474)</f>
        <v>0</v>
      </c>
      <c r="J475" s="117">
        <f t="shared" si="62"/>
        <v>0</v>
      </c>
      <c r="K475" s="117">
        <f t="shared" si="62"/>
        <v>0</v>
      </c>
      <c r="L475" s="117">
        <f t="shared" si="62"/>
        <v>0</v>
      </c>
    </row>
    <row r="476" spans="6:12" ht="12" x14ac:dyDescent="0.2">
      <c r="F476" s="138" t="s">
        <v>99</v>
      </c>
      <c r="G476" s="113" t="str">
        <f t="shared" ref="G476:L476" si="63">IF(ISERR(G475/G481),"N/A",G475/G481)</f>
        <v>N/A</v>
      </c>
      <c r="H476" s="113" t="str">
        <f t="shared" si="63"/>
        <v>N/A</v>
      </c>
      <c r="I476" s="113" t="str">
        <f t="shared" si="63"/>
        <v>N/A</v>
      </c>
      <c r="J476" s="113" t="str">
        <f t="shared" si="63"/>
        <v>N/A</v>
      </c>
      <c r="K476" s="113" t="str">
        <f t="shared" si="63"/>
        <v>N/A</v>
      </c>
      <c r="L476" s="113" t="str">
        <f t="shared" si="63"/>
        <v>N/A</v>
      </c>
    </row>
    <row r="477" spans="6:12" ht="12" x14ac:dyDescent="0.2">
      <c r="F477" s="139" t="s">
        <v>250</v>
      </c>
      <c r="G477" s="118">
        <f>SUM(H477:L477)</f>
        <v>0</v>
      </c>
      <c r="H477" s="119">
        <f>Summary_Govt_Contributions!J72</f>
        <v>0</v>
      </c>
      <c r="I477" s="119">
        <f>Summary_Govt_Contributions!K72</f>
        <v>0</v>
      </c>
      <c r="J477" s="119">
        <f>Summary_Govt_Contributions!L72</f>
        <v>0</v>
      </c>
      <c r="K477" s="119">
        <f>Summary_Govt_Contributions!M72</f>
        <v>0</v>
      </c>
      <c r="L477" s="119">
        <f>Summary_Govt_Contributions!N72</f>
        <v>0</v>
      </c>
    </row>
    <row r="478" spans="6:12" ht="12" x14ac:dyDescent="0.2">
      <c r="F478" s="138" t="s">
        <v>249</v>
      </c>
      <c r="G478" s="113" t="str">
        <f t="shared" ref="G478:L478" si="64">IF(ISERR(G477/G481),"N/A",G477/G481)</f>
        <v>N/A</v>
      </c>
      <c r="H478" s="113" t="str">
        <f t="shared" si="64"/>
        <v>N/A</v>
      </c>
      <c r="I478" s="113" t="str">
        <f t="shared" si="64"/>
        <v>N/A</v>
      </c>
      <c r="J478" s="113" t="str">
        <f t="shared" si="64"/>
        <v>N/A</v>
      </c>
      <c r="K478" s="113" t="str">
        <f t="shared" si="64"/>
        <v>N/A</v>
      </c>
      <c r="L478" s="113" t="str">
        <f t="shared" si="64"/>
        <v>N/A</v>
      </c>
    </row>
    <row r="479" spans="6:12" ht="12" x14ac:dyDescent="0.2">
      <c r="F479" s="140" t="s">
        <v>288</v>
      </c>
      <c r="G479" s="118">
        <f>SUM(G475,G477)</f>
        <v>0</v>
      </c>
      <c r="H479" s="117">
        <f>SUM(H475,H477)</f>
        <v>0</v>
      </c>
      <c r="I479" s="117">
        <f t="shared" ref="I479:L479" si="65">SUM(I475,I477)</f>
        <v>0</v>
      </c>
      <c r="J479" s="117">
        <f t="shared" si="65"/>
        <v>0</v>
      </c>
      <c r="K479" s="117">
        <f t="shared" si="65"/>
        <v>0</v>
      </c>
      <c r="L479" s="117">
        <f t="shared" si="65"/>
        <v>0</v>
      </c>
    </row>
    <row r="480" spans="6:12" ht="12" x14ac:dyDescent="0.2">
      <c r="F480" s="140"/>
      <c r="G480" s="174"/>
      <c r="H480" s="67"/>
      <c r="I480" s="67"/>
      <c r="J480" s="67"/>
      <c r="K480" s="67"/>
      <c r="L480" s="67"/>
    </row>
    <row r="481" spans="2:12" ht="12" x14ac:dyDescent="0.2">
      <c r="F481" s="140" t="s">
        <v>287</v>
      </c>
      <c r="G481" s="120">
        <f>SUM(H481:L481)</f>
        <v>0</v>
      </c>
      <c r="H481" s="67">
        <f>'Financial Req'!J139</f>
        <v>0</v>
      </c>
      <c r="I481" s="67">
        <f>'Financial Req'!K139</f>
        <v>0</v>
      </c>
      <c r="J481" s="67">
        <f>'Financial Req'!L139</f>
        <v>0</v>
      </c>
      <c r="K481" s="67">
        <f>'Financial Req'!M139</f>
        <v>0</v>
      </c>
      <c r="L481" s="67">
        <f>'Financial Req'!N139</f>
        <v>0</v>
      </c>
    </row>
    <row r="482" spans="2:12" ht="12" x14ac:dyDescent="0.2">
      <c r="F482" s="51"/>
      <c r="G482" s="38"/>
      <c r="H482" s="67"/>
      <c r="I482" s="67"/>
      <c r="J482" s="67"/>
      <c r="K482" s="67"/>
      <c r="L482" s="67"/>
    </row>
    <row r="483" spans="2:12" ht="12" x14ac:dyDescent="0.2">
      <c r="F483" s="141" t="s">
        <v>286</v>
      </c>
      <c r="G483" s="121" t="str">
        <f t="shared" ref="G483:L483" si="66">IF(ISERR(G479/G481),"N/A",G479/G481)</f>
        <v>N/A</v>
      </c>
      <c r="H483" s="121" t="str">
        <f t="shared" si="66"/>
        <v>N/A</v>
      </c>
      <c r="I483" s="121" t="str">
        <f t="shared" si="66"/>
        <v>N/A</v>
      </c>
      <c r="J483" s="121" t="str">
        <f t="shared" si="66"/>
        <v>N/A</v>
      </c>
      <c r="K483" s="121" t="str">
        <f t="shared" si="66"/>
        <v>N/A</v>
      </c>
      <c r="L483" s="121" t="str">
        <f t="shared" si="66"/>
        <v>N/A</v>
      </c>
    </row>
    <row r="484" spans="2:12" ht="12" x14ac:dyDescent="0.2">
      <c r="F484" s="51"/>
      <c r="G484" s="101"/>
    </row>
    <row r="485" spans="2:12" ht="17.399999999999999" x14ac:dyDescent="0.2">
      <c r="F485" s="210" t="str">
        <f>"Funding Gap ("&amp;CURR_INT_ABBR&amp;")"</f>
        <v>Funding Gap (USD)</v>
      </c>
      <c r="G485" s="176">
        <f>G481-G479</f>
        <v>0</v>
      </c>
      <c r="H485" s="175">
        <f>H481-H479</f>
        <v>0</v>
      </c>
      <c r="I485" s="175">
        <f t="shared" ref="I485:L485" si="67">I481-I479</f>
        <v>0</v>
      </c>
      <c r="J485" s="175">
        <f t="shared" si="67"/>
        <v>0</v>
      </c>
      <c r="K485" s="175">
        <f t="shared" si="67"/>
        <v>0</v>
      </c>
      <c r="L485" s="175">
        <f t="shared" si="67"/>
        <v>0</v>
      </c>
    </row>
    <row r="488" spans="2:12" ht="12" x14ac:dyDescent="0.2">
      <c r="B488" s="98" t="str">
        <f>Strategy9&amp;": Summary Dashboard"</f>
        <v>Objetivo estratégico 9: [No está en uso]: Summary Dashboard</v>
      </c>
      <c r="C488" s="1"/>
      <c r="D488" s="1"/>
      <c r="E488" s="1"/>
      <c r="F488" s="1"/>
      <c r="G488" s="1"/>
      <c r="H488" s="1"/>
      <c r="I488" s="1"/>
      <c r="J488" s="1"/>
      <c r="K488" s="1"/>
      <c r="L488" s="1"/>
    </row>
    <row r="491" spans="2:12" ht="12" x14ac:dyDescent="0.2">
      <c r="I491" s="43" t="s">
        <v>142</v>
      </c>
    </row>
    <row r="492" spans="2:12" x14ac:dyDescent="0.2">
      <c r="I492" t="str">
        <f>STRAT9_IND1</f>
        <v>Objetivo estratégico 9 Indicador 1</v>
      </c>
    </row>
    <row r="493" spans="2:12" x14ac:dyDescent="0.2">
      <c r="I493" t="str">
        <f>STRAT9_IND2</f>
        <v>Objetivo estratégico 9 Indicador 2</v>
      </c>
    </row>
    <row r="494" spans="2:12" x14ac:dyDescent="0.2">
      <c r="I494" t="str">
        <f>STRAT9_IND3</f>
        <v>Objetivo estratégico 9 Indicador 3</v>
      </c>
    </row>
    <row r="495" spans="2:12" x14ac:dyDescent="0.2">
      <c r="I495" t="str">
        <f>STRAT9_IND4</f>
        <v>Objetivo estratégico 9 Indicador 4</v>
      </c>
    </row>
    <row r="496" spans="2:12" x14ac:dyDescent="0.2">
      <c r="I496" t="str">
        <f>STRAT9_IND5</f>
        <v>Objetivo estratégico 9 Indicador 5</v>
      </c>
    </row>
    <row r="504" spans="6:12" ht="12" x14ac:dyDescent="0.2">
      <c r="I504" s="229" t="s">
        <v>256</v>
      </c>
    </row>
    <row r="505" spans="6:12" ht="13.8" x14ac:dyDescent="0.2">
      <c r="J505" s="225"/>
      <c r="K505" s="226"/>
      <c r="L505" s="227"/>
    </row>
    <row r="506" spans="6:12" ht="12" x14ac:dyDescent="0.2">
      <c r="I506" s="51" t="s">
        <v>267</v>
      </c>
      <c r="J506" s="228" t="s">
        <v>390</v>
      </c>
      <c r="K506" s="228" t="s">
        <v>391</v>
      </c>
      <c r="L506" s="228" t="s">
        <v>392</v>
      </c>
    </row>
    <row r="507" spans="6:12" ht="12" x14ac:dyDescent="0.2">
      <c r="I507" s="51" t="s">
        <v>166</v>
      </c>
      <c r="J507" s="228" t="s">
        <v>394</v>
      </c>
      <c r="K507" s="228" t="s">
        <v>395</v>
      </c>
      <c r="L507" s="228" t="s">
        <v>396</v>
      </c>
    </row>
    <row r="508" spans="6:12" ht="12" x14ac:dyDescent="0.2">
      <c r="I508" s="51" t="s">
        <v>286</v>
      </c>
      <c r="J508" s="228" t="s">
        <v>397</v>
      </c>
      <c r="L508" s="228" t="s">
        <v>398</v>
      </c>
    </row>
    <row r="511" spans="6:12" ht="17.399999999999999" x14ac:dyDescent="0.2">
      <c r="F511" s="95" t="str">
        <f>CURR_INT_ABBR</f>
        <v>USD</v>
      </c>
    </row>
    <row r="512" spans="6:12" ht="12" x14ac:dyDescent="0.2">
      <c r="F512" s="71" t="str">
        <f>Basic_Setup!$B$104</f>
        <v>Socios que contribuyen a la financiación de los objetivos y resultados estratégicos</v>
      </c>
      <c r="G512" s="137" t="s">
        <v>292</v>
      </c>
      <c r="H512" s="102">
        <f>Ts_First_Fin_Yr</f>
        <v>2019</v>
      </c>
      <c r="I512" s="102">
        <f>Ts_First_Fin_Yr+1</f>
        <v>2020</v>
      </c>
      <c r="J512" s="102">
        <f>Ts_First_Fin_Yr+2</f>
        <v>2021</v>
      </c>
      <c r="K512" s="102">
        <f>Ts_First_Fin_Yr+3</f>
        <v>2022</v>
      </c>
      <c r="L512" s="102">
        <f>Ts_First_Fin_Yr+4</f>
        <v>2023</v>
      </c>
    </row>
    <row r="513" spans="6:12" x14ac:dyDescent="0.2">
      <c r="F513" t="str">
        <f>Partner1</f>
        <v>UNICEF</v>
      </c>
      <c r="G513" s="62">
        <f>Partner1!I$73</f>
        <v>0</v>
      </c>
      <c r="H513" s="114">
        <f>Partner1!J$73</f>
        <v>0</v>
      </c>
      <c r="I513" s="62">
        <f>Partner1!K$73</f>
        <v>0</v>
      </c>
      <c r="J513" s="62">
        <f>Partner1!L$73</f>
        <v>0</v>
      </c>
      <c r="K513" s="62">
        <f>Partner1!M$73</f>
        <v>0</v>
      </c>
      <c r="L513" s="62">
        <f>Partner1!N$73</f>
        <v>0</v>
      </c>
    </row>
    <row r="514" spans="6:12" x14ac:dyDescent="0.2">
      <c r="F514" t="str">
        <f>Partner2</f>
        <v>Organización Mundial de la Salud</v>
      </c>
      <c r="G514" s="62">
        <f>Partner2!I$73</f>
        <v>0</v>
      </c>
      <c r="H514" s="114">
        <f>Partner2!J$73</f>
        <v>0</v>
      </c>
      <c r="I514" s="62">
        <f>Partner2!K$73</f>
        <v>0</v>
      </c>
      <c r="J514" s="62">
        <f>Partner2!L$73</f>
        <v>0</v>
      </c>
      <c r="K514" s="62">
        <f>Partner2!M$73</f>
        <v>0</v>
      </c>
      <c r="L514" s="62">
        <f>Partner2!N$73</f>
        <v>0</v>
      </c>
    </row>
    <row r="515" spans="6:12" x14ac:dyDescent="0.2">
      <c r="F515" t="str">
        <f>Partner3</f>
        <v>Banco Mundial</v>
      </c>
      <c r="G515" s="62">
        <f>Partner3!I$73</f>
        <v>0</v>
      </c>
      <c r="H515" s="114">
        <f>Partner3!J$73</f>
        <v>0</v>
      </c>
      <c r="I515" s="62">
        <f>Partner3!K$73</f>
        <v>0</v>
      </c>
      <c r="J515" s="62">
        <f>Partner3!L$73</f>
        <v>0</v>
      </c>
      <c r="K515" s="62">
        <f>Partner3!M$73</f>
        <v>0</v>
      </c>
      <c r="L515" s="62">
        <f>Partner3!N$73</f>
        <v>0</v>
      </c>
    </row>
    <row r="516" spans="6:12" x14ac:dyDescent="0.2">
      <c r="F516" t="str">
        <f>Partner4</f>
        <v>Organización de las Naciones Unidas para la Alimentación y la Agricultura</v>
      </c>
      <c r="G516" s="62">
        <f>Partner4!I$73</f>
        <v>0</v>
      </c>
      <c r="H516" s="114">
        <f>Partner4!J$73</f>
        <v>0</v>
      </c>
      <c r="I516" s="62">
        <f>Partner4!K$73</f>
        <v>0</v>
      </c>
      <c r="J516" s="62">
        <f>Partner4!L$73</f>
        <v>0</v>
      </c>
      <c r="K516" s="62">
        <f>Partner4!M$73</f>
        <v>0</v>
      </c>
      <c r="L516" s="62">
        <f>Partner4!N$73</f>
        <v>0</v>
      </c>
    </row>
    <row r="517" spans="6:12" x14ac:dyDescent="0.2">
      <c r="F517" t="str">
        <f>Partner5</f>
        <v>Programa Mundial de Alimentos</v>
      </c>
      <c r="G517" s="62">
        <f>Partner5!I$73</f>
        <v>0</v>
      </c>
      <c r="H517" s="114">
        <f>Partner5!J$73</f>
        <v>0</v>
      </c>
      <c r="I517" s="62">
        <f>Partner5!K$73</f>
        <v>0</v>
      </c>
      <c r="J517" s="62">
        <f>Partner5!L$73</f>
        <v>0</v>
      </c>
      <c r="K517" s="62">
        <f>Partner5!M$73</f>
        <v>0</v>
      </c>
      <c r="L517" s="62">
        <f>Partner5!N$73</f>
        <v>0</v>
      </c>
    </row>
    <row r="518" spans="6:12" x14ac:dyDescent="0.2">
      <c r="F518" t="str">
        <f>Partner6</f>
        <v>[No está en uso]</v>
      </c>
      <c r="G518" s="62">
        <f>Partner6!I$73</f>
        <v>0</v>
      </c>
      <c r="H518" s="114">
        <f>Partner6!J$73</f>
        <v>0</v>
      </c>
      <c r="I518" s="62">
        <f>Partner6!K$73</f>
        <v>0</v>
      </c>
      <c r="J518" s="62">
        <f>Partner6!L$73</f>
        <v>0</v>
      </c>
      <c r="K518" s="62">
        <f>Partner6!M$73</f>
        <v>0</v>
      </c>
      <c r="L518" s="62">
        <f>Partner6!N$73</f>
        <v>0</v>
      </c>
    </row>
    <row r="519" spans="6:12" x14ac:dyDescent="0.2">
      <c r="F519" t="str">
        <f>Partner7</f>
        <v>[No está en uso]</v>
      </c>
      <c r="G519" s="62">
        <f>Partner7!I$73</f>
        <v>0</v>
      </c>
      <c r="H519" s="114">
        <f>Partner7!J$73</f>
        <v>0</v>
      </c>
      <c r="I519" s="62">
        <f>Partner7!K$73</f>
        <v>0</v>
      </c>
      <c r="J519" s="62">
        <f>Partner7!L$73</f>
        <v>0</v>
      </c>
      <c r="K519" s="62">
        <f>Partner7!M$73</f>
        <v>0</v>
      </c>
      <c r="L519" s="62">
        <f>Partner7!N$73</f>
        <v>0</v>
      </c>
    </row>
    <row r="520" spans="6:12" x14ac:dyDescent="0.2">
      <c r="F520" t="str">
        <f>Partner8</f>
        <v>[No está en uso]</v>
      </c>
      <c r="G520" s="62">
        <f>Partner8!I$73</f>
        <v>0</v>
      </c>
      <c r="H520" s="114">
        <f>Partner8!J$73</f>
        <v>0</v>
      </c>
      <c r="I520" s="62">
        <f>Partner8!K$73</f>
        <v>0</v>
      </c>
      <c r="J520" s="62">
        <f>Partner8!L$73</f>
        <v>0</v>
      </c>
      <c r="K520" s="62">
        <f>Partner8!M$73</f>
        <v>0</v>
      </c>
      <c r="L520" s="62">
        <f>Partner8!N$73</f>
        <v>0</v>
      </c>
    </row>
    <row r="521" spans="6:12" x14ac:dyDescent="0.2">
      <c r="F521" t="str">
        <f>Partner9</f>
        <v>[No está en uso]</v>
      </c>
      <c r="G521" s="62">
        <f>Partner9!I$73</f>
        <v>0</v>
      </c>
      <c r="H521" s="114">
        <f>Partner9!J$73</f>
        <v>0</v>
      </c>
      <c r="I521" s="62">
        <f>Partner9!K$73</f>
        <v>0</v>
      </c>
      <c r="J521" s="62">
        <f>Partner9!L$73</f>
        <v>0</v>
      </c>
      <c r="K521" s="62">
        <f>Partner9!M$73</f>
        <v>0</v>
      </c>
      <c r="L521" s="62">
        <f>Partner9!N$73</f>
        <v>0</v>
      </c>
    </row>
    <row r="522" spans="6:12" x14ac:dyDescent="0.2">
      <c r="F522" t="str">
        <f>Partner10</f>
        <v>[No está en uso]</v>
      </c>
      <c r="G522" s="62">
        <f>Partner10!I$73</f>
        <v>0</v>
      </c>
      <c r="H522" s="115">
        <f>Partner10!J$73</f>
        <v>0</v>
      </c>
      <c r="I522" s="62">
        <f>Partner10!K$73</f>
        <v>0</v>
      </c>
      <c r="J522" s="62">
        <f>Partner10!L$73</f>
        <v>0</v>
      </c>
      <c r="K522" s="62">
        <f>Partner10!M$73</f>
        <v>0</v>
      </c>
      <c r="L522" s="62">
        <f>Partner10!N$73</f>
        <v>0</v>
      </c>
    </row>
    <row r="523" spans="6:12" ht="12" x14ac:dyDescent="0.2">
      <c r="F523" s="155" t="str">
        <f>"Subtotal - "&amp;F512&amp;" Contribution"</f>
        <v>Subtotal - Socios que contribuyen a la financiación de los objetivos y resultados estratégicos Contribution</v>
      </c>
      <c r="G523" s="116">
        <f>SUM(G513:G522)</f>
        <v>0</v>
      </c>
      <c r="H523" s="117">
        <f>SUM(H513:H522)</f>
        <v>0</v>
      </c>
      <c r="I523" s="117">
        <f t="shared" ref="I523:L523" si="68">SUM(I513:I522)</f>
        <v>0</v>
      </c>
      <c r="J523" s="117">
        <f t="shared" si="68"/>
        <v>0</v>
      </c>
      <c r="K523" s="117">
        <f t="shared" si="68"/>
        <v>0</v>
      </c>
      <c r="L523" s="117">
        <f t="shared" si="68"/>
        <v>0</v>
      </c>
    </row>
    <row r="524" spans="6:12" ht="12" x14ac:dyDescent="0.2">
      <c r="F524" s="138" t="s">
        <v>99</v>
      </c>
      <c r="G524" s="113" t="str">
        <f t="shared" ref="G524:L524" si="69">IF(ISERR(G523/G529),"N/A",G523/G529)</f>
        <v>N/A</v>
      </c>
      <c r="H524" s="113" t="str">
        <f t="shared" si="69"/>
        <v>N/A</v>
      </c>
      <c r="I524" s="113" t="str">
        <f t="shared" si="69"/>
        <v>N/A</v>
      </c>
      <c r="J524" s="113" t="str">
        <f t="shared" si="69"/>
        <v>N/A</v>
      </c>
      <c r="K524" s="113" t="str">
        <f t="shared" si="69"/>
        <v>N/A</v>
      </c>
      <c r="L524" s="113" t="str">
        <f t="shared" si="69"/>
        <v>N/A</v>
      </c>
    </row>
    <row r="525" spans="6:12" ht="12" x14ac:dyDescent="0.2">
      <c r="F525" s="139" t="s">
        <v>250</v>
      </c>
      <c r="G525" s="118">
        <f>SUM(H525:L525)</f>
        <v>0</v>
      </c>
      <c r="H525" s="119">
        <f>Summary_Govt_Contributions!J73</f>
        <v>0</v>
      </c>
      <c r="I525" s="119">
        <f>Summary_Govt_Contributions!K73</f>
        <v>0</v>
      </c>
      <c r="J525" s="119">
        <f>Summary_Govt_Contributions!L73</f>
        <v>0</v>
      </c>
      <c r="K525" s="119">
        <f>Summary_Govt_Contributions!M73</f>
        <v>0</v>
      </c>
      <c r="L525" s="119">
        <f>Summary_Govt_Contributions!N73</f>
        <v>0</v>
      </c>
    </row>
    <row r="526" spans="6:12" ht="12" x14ac:dyDescent="0.2">
      <c r="F526" s="138" t="s">
        <v>249</v>
      </c>
      <c r="G526" s="113" t="str">
        <f t="shared" ref="G526:L526" si="70">IF(ISERR(G525/G529),"N/A",G525/G529)</f>
        <v>N/A</v>
      </c>
      <c r="H526" s="113" t="str">
        <f t="shared" si="70"/>
        <v>N/A</v>
      </c>
      <c r="I526" s="113" t="str">
        <f t="shared" si="70"/>
        <v>N/A</v>
      </c>
      <c r="J526" s="113" t="str">
        <f t="shared" si="70"/>
        <v>N/A</v>
      </c>
      <c r="K526" s="113" t="str">
        <f t="shared" si="70"/>
        <v>N/A</v>
      </c>
      <c r="L526" s="113" t="str">
        <f t="shared" si="70"/>
        <v>N/A</v>
      </c>
    </row>
    <row r="527" spans="6:12" ht="12" x14ac:dyDescent="0.2">
      <c r="F527" s="140" t="s">
        <v>288</v>
      </c>
      <c r="G527" s="118">
        <f>SUM(G523,G525)</f>
        <v>0</v>
      </c>
      <c r="H527" s="117">
        <f>SUM(H523,H525)</f>
        <v>0</v>
      </c>
      <c r="I527" s="117">
        <f t="shared" ref="I527:L527" si="71">SUM(I523,I525)</f>
        <v>0</v>
      </c>
      <c r="J527" s="117">
        <f t="shared" si="71"/>
        <v>0</v>
      </c>
      <c r="K527" s="117">
        <f t="shared" si="71"/>
        <v>0</v>
      </c>
      <c r="L527" s="117">
        <f t="shared" si="71"/>
        <v>0</v>
      </c>
    </row>
    <row r="528" spans="6:12" ht="12" x14ac:dyDescent="0.2">
      <c r="F528" s="51"/>
      <c r="G528" s="119"/>
      <c r="H528" s="119"/>
      <c r="I528" s="119"/>
      <c r="J528" s="119"/>
      <c r="K528" s="119"/>
      <c r="L528" s="119"/>
    </row>
    <row r="529" spans="2:12" ht="12" x14ac:dyDescent="0.2">
      <c r="F529" s="140" t="s">
        <v>287</v>
      </c>
      <c r="G529" s="120">
        <f>SUM(H529:L529)</f>
        <v>0</v>
      </c>
      <c r="H529" s="67">
        <f>'Financial Req'!J145</f>
        <v>0</v>
      </c>
      <c r="I529" s="67">
        <f>'Financial Req'!K145</f>
        <v>0</v>
      </c>
      <c r="J529" s="67">
        <f>'Financial Req'!L145</f>
        <v>0</v>
      </c>
      <c r="K529" s="67">
        <f>'Financial Req'!M145</f>
        <v>0</v>
      </c>
      <c r="L529" s="67">
        <f>'Financial Req'!N145</f>
        <v>0</v>
      </c>
    </row>
    <row r="530" spans="2:12" ht="12" x14ac:dyDescent="0.2">
      <c r="F530" s="51"/>
      <c r="G530" s="38"/>
      <c r="H530" s="67"/>
      <c r="I530" s="67"/>
      <c r="J530" s="67"/>
      <c r="K530" s="67"/>
      <c r="L530" s="67"/>
    </row>
    <row r="531" spans="2:12" ht="12" x14ac:dyDescent="0.2">
      <c r="F531" s="141" t="s">
        <v>286</v>
      </c>
      <c r="G531" s="121" t="str">
        <f t="shared" ref="G531:L531" si="72">IF(ISERR(G527/G529),"N/A",G527/G529)</f>
        <v>N/A</v>
      </c>
      <c r="H531" s="121" t="str">
        <f t="shared" si="72"/>
        <v>N/A</v>
      </c>
      <c r="I531" s="121" t="str">
        <f t="shared" si="72"/>
        <v>N/A</v>
      </c>
      <c r="J531" s="121" t="str">
        <f t="shared" si="72"/>
        <v>N/A</v>
      </c>
      <c r="K531" s="121" t="str">
        <f t="shared" si="72"/>
        <v>N/A</v>
      </c>
      <c r="L531" s="121" t="str">
        <f t="shared" si="72"/>
        <v>N/A</v>
      </c>
    </row>
    <row r="532" spans="2:12" ht="12" x14ac:dyDescent="0.2">
      <c r="F532" s="51"/>
      <c r="G532" s="101"/>
    </row>
    <row r="533" spans="2:12" ht="17.399999999999999" x14ac:dyDescent="0.2">
      <c r="F533" s="210" t="str">
        <f>"Funding Gap ("&amp;CURR_INT_ABBR&amp;")"</f>
        <v>Funding Gap (USD)</v>
      </c>
      <c r="G533" s="176">
        <f>G529-G527</f>
        <v>0</v>
      </c>
      <c r="H533" s="175">
        <f>H529-H527</f>
        <v>0</v>
      </c>
      <c r="I533" s="175">
        <f t="shared" ref="I533:L533" si="73">I529-I527</f>
        <v>0</v>
      </c>
      <c r="J533" s="175">
        <f t="shared" si="73"/>
        <v>0</v>
      </c>
      <c r="K533" s="175">
        <f t="shared" si="73"/>
        <v>0</v>
      </c>
      <c r="L533" s="175">
        <f t="shared" si="73"/>
        <v>0</v>
      </c>
    </row>
    <row r="536" spans="2:12" ht="12" x14ac:dyDescent="0.2">
      <c r="B536" s="98" t="str">
        <f>Strategy10&amp;": Summary Dashboard"</f>
        <v>Objetivo estratégico 10: [No está en uso]: Summary Dashboard</v>
      </c>
      <c r="C536" s="1"/>
      <c r="D536" s="1"/>
      <c r="E536" s="1"/>
      <c r="F536" s="1"/>
      <c r="G536" s="1"/>
      <c r="H536" s="1"/>
      <c r="I536" s="1"/>
      <c r="J536" s="1"/>
      <c r="K536" s="1"/>
      <c r="L536" s="1"/>
    </row>
    <row r="539" spans="2:12" ht="12" x14ac:dyDescent="0.2">
      <c r="I539" s="43" t="s">
        <v>142</v>
      </c>
    </row>
    <row r="540" spans="2:12" x14ac:dyDescent="0.2">
      <c r="I540" t="str">
        <f>STRAT10_IND1</f>
        <v>Objetivo estratégico 10 Indicador 1</v>
      </c>
    </row>
    <row r="541" spans="2:12" x14ac:dyDescent="0.2">
      <c r="I541" t="str">
        <f>STRAT10_IND2</f>
        <v>Objetivo estratégico 10 Indicador 2</v>
      </c>
    </row>
    <row r="542" spans="2:12" x14ac:dyDescent="0.2">
      <c r="I542" t="str">
        <f>STRAT10_IND3</f>
        <v>Objetivo estratégico 10 Indicador 3</v>
      </c>
    </row>
    <row r="543" spans="2:12" x14ac:dyDescent="0.2">
      <c r="I543" t="str">
        <f>STRAT10_IND4</f>
        <v>Objetivo estratégico 10 Indicador 4</v>
      </c>
    </row>
    <row r="544" spans="2:12" x14ac:dyDescent="0.2">
      <c r="I544" t="str">
        <f>STRAT10_IND5</f>
        <v>Objetivo estratégico 10 Indicador 5</v>
      </c>
    </row>
    <row r="552" spans="6:12" ht="12" x14ac:dyDescent="0.2">
      <c r="I552" s="229" t="s">
        <v>256</v>
      </c>
    </row>
    <row r="553" spans="6:12" ht="13.8" x14ac:dyDescent="0.2">
      <c r="J553" s="225"/>
      <c r="K553" s="226"/>
      <c r="L553" s="227"/>
    </row>
    <row r="554" spans="6:12" ht="12" x14ac:dyDescent="0.2">
      <c r="I554" s="51" t="s">
        <v>267</v>
      </c>
      <c r="J554" s="228" t="s">
        <v>390</v>
      </c>
      <c r="K554" s="228" t="s">
        <v>391</v>
      </c>
      <c r="L554" s="228" t="s">
        <v>392</v>
      </c>
    </row>
    <row r="555" spans="6:12" ht="12" x14ac:dyDescent="0.2">
      <c r="I555" s="51" t="s">
        <v>166</v>
      </c>
      <c r="J555" s="228" t="s">
        <v>394</v>
      </c>
      <c r="K555" s="228" t="s">
        <v>395</v>
      </c>
      <c r="L555" s="228" t="s">
        <v>396</v>
      </c>
    </row>
    <row r="556" spans="6:12" ht="12" x14ac:dyDescent="0.2">
      <c r="I556" s="51" t="s">
        <v>286</v>
      </c>
      <c r="J556" s="228" t="s">
        <v>397</v>
      </c>
      <c r="L556" s="228" t="s">
        <v>398</v>
      </c>
    </row>
    <row r="559" spans="6:12" ht="17.399999999999999" x14ac:dyDescent="0.2">
      <c r="F559" s="95" t="str">
        <f>CURR_INT_ABBR</f>
        <v>USD</v>
      </c>
    </row>
    <row r="560" spans="6:12" ht="12" x14ac:dyDescent="0.2">
      <c r="F560" s="71" t="str">
        <f>Basic_Setup!$B$104</f>
        <v>Socios que contribuyen a la financiación de los objetivos y resultados estratégicos</v>
      </c>
      <c r="G560" s="137" t="s">
        <v>292</v>
      </c>
      <c r="H560" s="102">
        <f>Ts_First_Fin_Yr</f>
        <v>2019</v>
      </c>
      <c r="I560" s="102">
        <f>Ts_First_Fin_Yr+1</f>
        <v>2020</v>
      </c>
      <c r="J560" s="102">
        <f>Ts_First_Fin_Yr+2</f>
        <v>2021</v>
      </c>
      <c r="K560" s="102">
        <f>Ts_First_Fin_Yr+3</f>
        <v>2022</v>
      </c>
      <c r="L560" s="102">
        <f>Ts_First_Fin_Yr+4</f>
        <v>2023</v>
      </c>
    </row>
    <row r="561" spans="6:12" x14ac:dyDescent="0.2">
      <c r="F561" t="str">
        <f>Partner1</f>
        <v>UNICEF</v>
      </c>
      <c r="G561" s="62">
        <f>Partner1!I$79</f>
        <v>0</v>
      </c>
      <c r="H561" s="114">
        <f>Partner1!J$79</f>
        <v>0</v>
      </c>
      <c r="I561" s="62">
        <f>Partner1!K$79</f>
        <v>0</v>
      </c>
      <c r="J561" s="62">
        <f>Partner1!L$79</f>
        <v>0</v>
      </c>
      <c r="K561" s="62">
        <f>Partner1!M$79</f>
        <v>0</v>
      </c>
      <c r="L561" s="62">
        <f>Partner1!N$79</f>
        <v>0</v>
      </c>
    </row>
    <row r="562" spans="6:12" x14ac:dyDescent="0.2">
      <c r="F562" t="str">
        <f>Partner2</f>
        <v>Organización Mundial de la Salud</v>
      </c>
      <c r="G562" s="62">
        <f>Partner2!I$79</f>
        <v>0</v>
      </c>
      <c r="H562" s="114">
        <f>Partner2!J$79</f>
        <v>0</v>
      </c>
      <c r="I562" s="62">
        <f>Partner2!K$79</f>
        <v>0</v>
      </c>
      <c r="J562" s="62">
        <f>Partner2!L$79</f>
        <v>0</v>
      </c>
      <c r="K562" s="62">
        <f>Partner2!M$79</f>
        <v>0</v>
      </c>
      <c r="L562" s="62">
        <f>Partner2!N$79</f>
        <v>0</v>
      </c>
    </row>
    <row r="563" spans="6:12" x14ac:dyDescent="0.2">
      <c r="F563" t="str">
        <f>Partner3</f>
        <v>Banco Mundial</v>
      </c>
      <c r="G563" s="62">
        <f>Partner3!I$79</f>
        <v>0</v>
      </c>
      <c r="H563" s="114">
        <f>Partner3!J$79</f>
        <v>0</v>
      </c>
      <c r="I563" s="62">
        <f>Partner3!K$79</f>
        <v>0</v>
      </c>
      <c r="J563" s="62">
        <f>Partner3!L$79</f>
        <v>0</v>
      </c>
      <c r="K563" s="62">
        <f>Partner3!M$79</f>
        <v>0</v>
      </c>
      <c r="L563" s="62">
        <f>Partner3!N$79</f>
        <v>0</v>
      </c>
    </row>
    <row r="564" spans="6:12" x14ac:dyDescent="0.2">
      <c r="F564" t="str">
        <f>Partner4</f>
        <v>Organización de las Naciones Unidas para la Alimentación y la Agricultura</v>
      </c>
      <c r="G564" s="62">
        <f>Partner4!I$79</f>
        <v>0</v>
      </c>
      <c r="H564" s="114">
        <f>Partner4!J$79</f>
        <v>0</v>
      </c>
      <c r="I564" s="62">
        <f>Partner4!K$79</f>
        <v>0</v>
      </c>
      <c r="J564" s="62">
        <f>Partner4!L$79</f>
        <v>0</v>
      </c>
      <c r="K564" s="62">
        <f>Partner4!M$79</f>
        <v>0</v>
      </c>
      <c r="L564" s="62">
        <f>Partner4!N$79</f>
        <v>0</v>
      </c>
    </row>
    <row r="565" spans="6:12" x14ac:dyDescent="0.2">
      <c r="F565" t="str">
        <f>Partner5</f>
        <v>Programa Mundial de Alimentos</v>
      </c>
      <c r="G565" s="62">
        <f>Partner5!I$79</f>
        <v>0</v>
      </c>
      <c r="H565" s="114">
        <f>Partner5!J$79</f>
        <v>0</v>
      </c>
      <c r="I565" s="62">
        <f>Partner5!K$79</f>
        <v>0</v>
      </c>
      <c r="J565" s="62">
        <f>Partner5!L$79</f>
        <v>0</v>
      </c>
      <c r="K565" s="62">
        <f>Partner5!M$79</f>
        <v>0</v>
      </c>
      <c r="L565" s="62">
        <f>Partner5!N$79</f>
        <v>0</v>
      </c>
    </row>
    <row r="566" spans="6:12" x14ac:dyDescent="0.2">
      <c r="F566" t="str">
        <f>Partner6</f>
        <v>[No está en uso]</v>
      </c>
      <c r="G566" s="62">
        <f>Partner6!I$79</f>
        <v>0</v>
      </c>
      <c r="H566" s="114">
        <f>Partner6!J$79</f>
        <v>0</v>
      </c>
      <c r="I566" s="62">
        <f>Partner6!K$79</f>
        <v>0</v>
      </c>
      <c r="J566" s="62">
        <f>Partner6!L$79</f>
        <v>0</v>
      </c>
      <c r="K566" s="62">
        <f>Partner6!M$79</f>
        <v>0</v>
      </c>
      <c r="L566" s="62">
        <f>Partner6!N$79</f>
        <v>0</v>
      </c>
    </row>
    <row r="567" spans="6:12" x14ac:dyDescent="0.2">
      <c r="F567" t="str">
        <f>Partner7</f>
        <v>[No está en uso]</v>
      </c>
      <c r="G567" s="62">
        <f>Partner7!I$79</f>
        <v>0</v>
      </c>
      <c r="H567" s="114">
        <f>Partner7!J$79</f>
        <v>0</v>
      </c>
      <c r="I567" s="62">
        <f>Partner7!K$79</f>
        <v>0</v>
      </c>
      <c r="J567" s="62">
        <f>Partner7!L$79</f>
        <v>0</v>
      </c>
      <c r="K567" s="62">
        <f>Partner7!M$79</f>
        <v>0</v>
      </c>
      <c r="L567" s="62">
        <f>Partner7!N$79</f>
        <v>0</v>
      </c>
    </row>
    <row r="568" spans="6:12" x14ac:dyDescent="0.2">
      <c r="F568" t="str">
        <f>Partner8</f>
        <v>[No está en uso]</v>
      </c>
      <c r="G568" s="62">
        <f>Partner8!I$79</f>
        <v>0</v>
      </c>
      <c r="H568" s="114">
        <f>Partner8!J$79</f>
        <v>0</v>
      </c>
      <c r="I568" s="62">
        <f>Partner8!K$79</f>
        <v>0</v>
      </c>
      <c r="J568" s="62">
        <f>Partner8!L$79</f>
        <v>0</v>
      </c>
      <c r="K568" s="62">
        <f>Partner8!M$79</f>
        <v>0</v>
      </c>
      <c r="L568" s="62">
        <f>Partner8!N$79</f>
        <v>0</v>
      </c>
    </row>
    <row r="569" spans="6:12" x14ac:dyDescent="0.2">
      <c r="F569" t="str">
        <f>Partner9</f>
        <v>[No está en uso]</v>
      </c>
      <c r="G569" s="62">
        <f>Partner9!I$79</f>
        <v>0</v>
      </c>
      <c r="H569" s="114">
        <f>Partner9!J$79</f>
        <v>0</v>
      </c>
      <c r="I569" s="62">
        <f>Partner9!K$79</f>
        <v>0</v>
      </c>
      <c r="J569" s="62">
        <f>Partner9!L$79</f>
        <v>0</v>
      </c>
      <c r="K569" s="62">
        <f>Partner9!M$79</f>
        <v>0</v>
      </c>
      <c r="L569" s="62">
        <f>Partner9!N$79</f>
        <v>0</v>
      </c>
    </row>
    <row r="570" spans="6:12" x14ac:dyDescent="0.2">
      <c r="F570" t="str">
        <f>Partner10</f>
        <v>[No está en uso]</v>
      </c>
      <c r="G570" s="62">
        <f>Partner10!I$79</f>
        <v>0</v>
      </c>
      <c r="H570" s="115">
        <f>Partner10!J$79</f>
        <v>0</v>
      </c>
      <c r="I570" s="62">
        <f>Partner10!K$79</f>
        <v>0</v>
      </c>
      <c r="J570" s="62">
        <f>Partner10!L$79</f>
        <v>0</v>
      </c>
      <c r="K570" s="62">
        <f>Partner10!M$79</f>
        <v>0</v>
      </c>
      <c r="L570" s="62">
        <f>Partner10!N$79</f>
        <v>0</v>
      </c>
    </row>
    <row r="571" spans="6:12" ht="12" x14ac:dyDescent="0.2">
      <c r="F571" s="155" t="str">
        <f>"Subtotal - "&amp;F560&amp;" Contribution"</f>
        <v>Subtotal - Socios que contribuyen a la financiación de los objetivos y resultados estratégicos Contribution</v>
      </c>
      <c r="G571" s="116">
        <f>SUM(G561:G570)</f>
        <v>0</v>
      </c>
      <c r="H571" s="117">
        <f>SUM(H561:H570)</f>
        <v>0</v>
      </c>
      <c r="I571" s="117">
        <f t="shared" ref="I571:L571" si="74">SUM(I561:I570)</f>
        <v>0</v>
      </c>
      <c r="J571" s="117">
        <f t="shared" si="74"/>
        <v>0</v>
      </c>
      <c r="K571" s="117">
        <f t="shared" si="74"/>
        <v>0</v>
      </c>
      <c r="L571" s="117">
        <f t="shared" si="74"/>
        <v>0</v>
      </c>
    </row>
    <row r="572" spans="6:12" ht="12" x14ac:dyDescent="0.2">
      <c r="F572" s="138" t="s">
        <v>99</v>
      </c>
      <c r="G572" s="113" t="str">
        <f t="shared" ref="G572:L572" si="75">IF(ISERR(G571/G577),"N/A",G571/G577)</f>
        <v>N/A</v>
      </c>
      <c r="H572" s="113" t="str">
        <f t="shared" si="75"/>
        <v>N/A</v>
      </c>
      <c r="I572" s="113" t="str">
        <f t="shared" si="75"/>
        <v>N/A</v>
      </c>
      <c r="J572" s="113" t="str">
        <f t="shared" si="75"/>
        <v>N/A</v>
      </c>
      <c r="K572" s="113" t="str">
        <f t="shared" si="75"/>
        <v>N/A</v>
      </c>
      <c r="L572" s="113" t="str">
        <f t="shared" si="75"/>
        <v>N/A</v>
      </c>
    </row>
    <row r="573" spans="6:12" ht="12" x14ac:dyDescent="0.2">
      <c r="F573" s="139" t="s">
        <v>250</v>
      </c>
      <c r="G573" s="118">
        <f>SUM(H573:L573)</f>
        <v>0</v>
      </c>
      <c r="H573" s="119">
        <f>Summary_Govt_Contributions!J74</f>
        <v>0</v>
      </c>
      <c r="I573" s="119">
        <f>Summary_Govt_Contributions!K74</f>
        <v>0</v>
      </c>
      <c r="J573" s="119">
        <f>Summary_Govt_Contributions!L74</f>
        <v>0</v>
      </c>
      <c r="K573" s="119">
        <f>Summary_Govt_Contributions!M74</f>
        <v>0</v>
      </c>
      <c r="L573" s="119">
        <f>Summary_Govt_Contributions!N74</f>
        <v>0</v>
      </c>
    </row>
    <row r="574" spans="6:12" ht="12" x14ac:dyDescent="0.2">
      <c r="F574" s="138" t="s">
        <v>249</v>
      </c>
      <c r="G574" s="113" t="str">
        <f t="shared" ref="G574:L574" si="76">IF(ISERR(G573/G577),"N/A",G573/G577)</f>
        <v>N/A</v>
      </c>
      <c r="H574" s="113" t="str">
        <f t="shared" si="76"/>
        <v>N/A</v>
      </c>
      <c r="I574" s="113" t="str">
        <f t="shared" si="76"/>
        <v>N/A</v>
      </c>
      <c r="J574" s="113" t="str">
        <f t="shared" si="76"/>
        <v>N/A</v>
      </c>
      <c r="K574" s="113" t="str">
        <f t="shared" si="76"/>
        <v>N/A</v>
      </c>
      <c r="L574" s="113" t="str">
        <f t="shared" si="76"/>
        <v>N/A</v>
      </c>
    </row>
    <row r="575" spans="6:12" ht="12" x14ac:dyDescent="0.2">
      <c r="F575" s="140" t="s">
        <v>288</v>
      </c>
      <c r="G575" s="118">
        <f>SUM(G571,G573)</f>
        <v>0</v>
      </c>
      <c r="H575" s="117">
        <f>SUM(H571,H573)</f>
        <v>0</v>
      </c>
      <c r="I575" s="117">
        <f t="shared" ref="I575:L575" si="77">SUM(I571,I573)</f>
        <v>0</v>
      </c>
      <c r="J575" s="117">
        <f t="shared" si="77"/>
        <v>0</v>
      </c>
      <c r="K575" s="117">
        <f t="shared" si="77"/>
        <v>0</v>
      </c>
      <c r="L575" s="117">
        <f t="shared" si="77"/>
        <v>0</v>
      </c>
    </row>
    <row r="576" spans="6:12" ht="12" x14ac:dyDescent="0.2">
      <c r="F576" s="140"/>
      <c r="G576" s="174"/>
      <c r="H576" s="67"/>
      <c r="I576" s="67"/>
      <c r="J576" s="67"/>
      <c r="K576" s="67"/>
      <c r="L576" s="67"/>
    </row>
    <row r="577" spans="6:12" ht="12" x14ac:dyDescent="0.2">
      <c r="F577" s="140" t="s">
        <v>287</v>
      </c>
      <c r="G577" s="120">
        <f>SUM(H577:L577)</f>
        <v>0</v>
      </c>
      <c r="H577" s="67">
        <f>'Financial Req'!J151</f>
        <v>0</v>
      </c>
      <c r="I577" s="67">
        <f>'Financial Req'!K151</f>
        <v>0</v>
      </c>
      <c r="J577" s="67">
        <f>'Financial Req'!L151</f>
        <v>0</v>
      </c>
      <c r="K577" s="67">
        <f>'Financial Req'!M151</f>
        <v>0</v>
      </c>
      <c r="L577" s="67">
        <f>'Financial Req'!N151</f>
        <v>0</v>
      </c>
    </row>
    <row r="578" spans="6:12" ht="12" x14ac:dyDescent="0.2">
      <c r="F578" s="51"/>
      <c r="G578" s="38"/>
      <c r="H578" s="67"/>
      <c r="I578" s="67"/>
      <c r="J578" s="67"/>
      <c r="K578" s="67"/>
      <c r="L578" s="67"/>
    </row>
    <row r="579" spans="6:12" ht="12" x14ac:dyDescent="0.2">
      <c r="F579" s="141" t="s">
        <v>286</v>
      </c>
      <c r="G579" s="121" t="str">
        <f t="shared" ref="G579:L579" si="78">IF(ISERR(G575/G577),"N/A",G575/G577)</f>
        <v>N/A</v>
      </c>
      <c r="H579" s="397" t="str">
        <f t="shared" si="78"/>
        <v>N/A</v>
      </c>
      <c r="I579" s="397" t="str">
        <f t="shared" si="78"/>
        <v>N/A</v>
      </c>
      <c r="J579" s="397" t="str">
        <f t="shared" si="78"/>
        <v>N/A</v>
      </c>
      <c r="K579" s="397" t="str">
        <f t="shared" si="78"/>
        <v>N/A</v>
      </c>
      <c r="L579" s="397" t="str">
        <f t="shared" si="78"/>
        <v>N/A</v>
      </c>
    </row>
    <row r="580" spans="6:12" ht="12" x14ac:dyDescent="0.2">
      <c r="F580" s="51"/>
      <c r="G580" s="101"/>
    </row>
    <row r="581" spans="6:12" ht="17.399999999999999" x14ac:dyDescent="0.2">
      <c r="F581" s="210" t="str">
        <f>"Funding Gap ("&amp;CURR_INT_ABBR&amp;")"</f>
        <v>Funding Gap (USD)</v>
      </c>
      <c r="G581" s="176">
        <f>G577-G575</f>
        <v>0</v>
      </c>
      <c r="H581" s="175">
        <f>H577-H575</f>
        <v>0</v>
      </c>
      <c r="I581" s="175">
        <f t="shared" ref="I581:L581" si="79">I577-I575</f>
        <v>0</v>
      </c>
      <c r="J581" s="175">
        <f t="shared" si="79"/>
        <v>0</v>
      </c>
      <c r="K581" s="175">
        <f t="shared" si="79"/>
        <v>0</v>
      </c>
      <c r="L581" s="175">
        <f t="shared" si="79"/>
        <v>0</v>
      </c>
    </row>
  </sheetData>
  <mergeCells count="2">
    <mergeCell ref="B3:F3"/>
    <mergeCell ref="G41:L41"/>
  </mergeCells>
  <conditionalFormatting sqref="G149:L149">
    <cfRule type="cellIs" dxfId="95" priority="477" operator="lessThan">
      <formula>1</formula>
    </cfRule>
  </conditionalFormatting>
  <conditionalFormatting sqref="G142:L142">
    <cfRule type="cellIs" dxfId="94" priority="410" operator="between">
      <formula>0.3</formula>
      <formula>0.49</formula>
    </cfRule>
    <cfRule type="cellIs" dxfId="93" priority="411" operator="greaterThanOrEqual">
      <formula>0.5</formula>
    </cfRule>
  </conditionalFormatting>
  <conditionalFormatting sqref="G142:L142">
    <cfRule type="cellIs" dxfId="92" priority="409" operator="lessThan">
      <formula>0.3</formula>
    </cfRule>
  </conditionalFormatting>
  <conditionalFormatting sqref="G144:L144">
    <cfRule type="cellIs" dxfId="91" priority="406" operator="greaterThanOrEqual">
      <formula>0.75</formula>
    </cfRule>
    <cfRule type="cellIs" dxfId="90" priority="407" operator="between">
      <formula>0.2</formula>
      <formula>0.75</formula>
    </cfRule>
    <cfRule type="cellIs" dxfId="89" priority="408" operator="lessThan">
      <formula>0.2</formula>
    </cfRule>
  </conditionalFormatting>
  <conditionalFormatting sqref="G149:L149">
    <cfRule type="cellIs" dxfId="88" priority="405" operator="greaterThanOrEqual">
      <formula>1</formula>
    </cfRule>
  </conditionalFormatting>
  <conditionalFormatting sqref="G59:H59 I49:I58">
    <cfRule type="cellIs" dxfId="87" priority="392" operator="lessThan">
      <formula>0</formula>
    </cfRule>
  </conditionalFormatting>
  <conditionalFormatting sqref="G75:I75">
    <cfRule type="cellIs" dxfId="86" priority="391" operator="lessThan">
      <formula>0</formula>
    </cfRule>
  </conditionalFormatting>
  <conditionalFormatting sqref="I65:I74">
    <cfRule type="cellIs" dxfId="85" priority="390" operator="lessThan">
      <formula>0</formula>
    </cfRule>
  </conditionalFormatting>
  <conditionalFormatting sqref="G189:L189">
    <cfRule type="cellIs" dxfId="84" priority="191" operator="between">
      <formula>0.3</formula>
      <formula>0.49</formula>
    </cfRule>
    <cfRule type="cellIs" dxfId="83" priority="192" operator="greaterThan">
      <formula>0.5</formula>
    </cfRule>
  </conditionalFormatting>
  <conditionalFormatting sqref="G189:L189">
    <cfRule type="cellIs" dxfId="82" priority="190" operator="lessThan">
      <formula>0.3</formula>
    </cfRule>
  </conditionalFormatting>
  <conditionalFormatting sqref="G191:L191">
    <cfRule type="cellIs" dxfId="81" priority="187" operator="greaterThan">
      <formula>0.75</formula>
    </cfRule>
    <cfRule type="cellIs" dxfId="80" priority="188" operator="between">
      <formula>0.2</formula>
      <formula>0.75</formula>
    </cfRule>
    <cfRule type="cellIs" dxfId="79" priority="189" operator="lessThan">
      <formula>0.2</formula>
    </cfRule>
  </conditionalFormatting>
  <conditionalFormatting sqref="G236:L236">
    <cfRule type="cellIs" dxfId="78" priority="180" operator="between">
      <formula>0.3</formula>
      <formula>0.49</formula>
    </cfRule>
    <cfRule type="cellIs" dxfId="77" priority="181" operator="greaterThan">
      <formula>0.5</formula>
    </cfRule>
  </conditionalFormatting>
  <conditionalFormatting sqref="G236:L236">
    <cfRule type="cellIs" dxfId="76" priority="179" operator="lessThan">
      <formula>0.3</formula>
    </cfRule>
  </conditionalFormatting>
  <conditionalFormatting sqref="G238:L238">
    <cfRule type="cellIs" dxfId="75" priority="176" operator="greaterThan">
      <formula>0.75</formula>
    </cfRule>
    <cfRule type="cellIs" dxfId="74" priority="177" operator="between">
      <formula>0.2</formula>
      <formula>0.75</formula>
    </cfRule>
    <cfRule type="cellIs" dxfId="73" priority="178" operator="lessThan">
      <formula>0.2</formula>
    </cfRule>
  </conditionalFormatting>
  <conditionalFormatting sqref="G332:L332">
    <cfRule type="cellIs" dxfId="72" priority="158" operator="between">
      <formula>0.3</formula>
      <formula>0.5</formula>
    </cfRule>
    <cfRule type="cellIs" dxfId="71" priority="159" operator="greaterThanOrEqual">
      <formula>0.5</formula>
    </cfRule>
  </conditionalFormatting>
  <conditionalFormatting sqref="G332:L332">
    <cfRule type="cellIs" dxfId="70" priority="157" operator="lessThan">
      <formula>0.3</formula>
    </cfRule>
  </conditionalFormatting>
  <conditionalFormatting sqref="G334:L334">
    <cfRule type="cellIs" dxfId="69" priority="154" operator="greaterThan">
      <formula>0.75</formula>
    </cfRule>
    <cfRule type="cellIs" dxfId="68" priority="155" operator="between">
      <formula>0.2</formula>
      <formula>0.75</formula>
    </cfRule>
    <cfRule type="cellIs" dxfId="67" priority="156" operator="lessThan">
      <formula>0.2</formula>
    </cfRule>
  </conditionalFormatting>
  <conditionalFormatting sqref="G380:L380">
    <cfRule type="cellIs" dxfId="66" priority="147" operator="between">
      <formula>0.3</formula>
      <formula>0.49</formula>
    </cfRule>
    <cfRule type="cellIs" dxfId="65" priority="148" operator="greaterThan">
      <formula>0.5</formula>
    </cfRule>
  </conditionalFormatting>
  <conditionalFormatting sqref="G380:L380">
    <cfRule type="cellIs" dxfId="64" priority="146" operator="lessThan">
      <formula>0.3</formula>
    </cfRule>
  </conditionalFormatting>
  <conditionalFormatting sqref="G382:L382">
    <cfRule type="cellIs" dxfId="63" priority="143" operator="greaterThan">
      <formula>0.75</formula>
    </cfRule>
    <cfRule type="cellIs" dxfId="62" priority="144" operator="between">
      <formula>0.2</formula>
      <formula>0.75</formula>
    </cfRule>
    <cfRule type="cellIs" dxfId="61" priority="145" operator="lessThan">
      <formula>0.2</formula>
    </cfRule>
  </conditionalFormatting>
  <conditionalFormatting sqref="G196:L196">
    <cfRule type="cellIs" dxfId="60" priority="93" operator="lessThan">
      <formula>1</formula>
    </cfRule>
  </conditionalFormatting>
  <conditionalFormatting sqref="G428:L428">
    <cfRule type="cellIs" dxfId="59" priority="136" operator="between">
      <formula>0.3</formula>
      <formula>0.49</formula>
    </cfRule>
    <cfRule type="cellIs" dxfId="58" priority="137" operator="greaterThan">
      <formula>0.5</formula>
    </cfRule>
  </conditionalFormatting>
  <conditionalFormatting sqref="G428:L428">
    <cfRule type="cellIs" dxfId="57" priority="135" operator="lessThan">
      <formula>0.3</formula>
    </cfRule>
  </conditionalFormatting>
  <conditionalFormatting sqref="G430:L430">
    <cfRule type="cellIs" dxfId="56" priority="132" operator="greaterThan">
      <formula>0.75</formula>
    </cfRule>
    <cfRule type="cellIs" dxfId="55" priority="133" operator="between">
      <formula>0.2</formula>
      <formula>0.75</formula>
    </cfRule>
    <cfRule type="cellIs" dxfId="54" priority="134" operator="lessThan">
      <formula>0.2</formula>
    </cfRule>
  </conditionalFormatting>
  <conditionalFormatting sqref="H339:L339">
    <cfRule type="cellIs" dxfId="53" priority="85" operator="lessThan">
      <formula>1</formula>
    </cfRule>
  </conditionalFormatting>
  <conditionalFormatting sqref="G339:L339">
    <cfRule type="cellIs" dxfId="52" priority="84" operator="lessThan">
      <formula>1</formula>
    </cfRule>
  </conditionalFormatting>
  <conditionalFormatting sqref="G476:L476">
    <cfRule type="cellIs" dxfId="51" priority="125" operator="between">
      <formula>0.3</formula>
      <formula>0.49</formula>
    </cfRule>
    <cfRule type="cellIs" dxfId="50" priority="126" operator="greaterThan">
      <formula>0.5</formula>
    </cfRule>
  </conditionalFormatting>
  <conditionalFormatting sqref="G476:L476">
    <cfRule type="cellIs" dxfId="49" priority="124" operator="lessThan">
      <formula>0.3</formula>
    </cfRule>
  </conditionalFormatting>
  <conditionalFormatting sqref="G478:L478">
    <cfRule type="cellIs" dxfId="48" priority="121" operator="greaterThan">
      <formula>0.75</formula>
    </cfRule>
    <cfRule type="cellIs" dxfId="47" priority="122" operator="between">
      <formula>0.2</formula>
      <formula>0.75</formula>
    </cfRule>
    <cfRule type="cellIs" dxfId="46" priority="123" operator="lessThan">
      <formula>0.2</formula>
    </cfRule>
  </conditionalFormatting>
  <conditionalFormatting sqref="G435:L435">
    <cfRule type="cellIs" dxfId="45" priority="77" operator="greaterThanOrEqual">
      <formula>1</formula>
    </cfRule>
  </conditionalFormatting>
  <conditionalFormatting sqref="H483:L483">
    <cfRule type="cellIs" dxfId="44" priority="76" operator="lessThan">
      <formula>1</formula>
    </cfRule>
  </conditionalFormatting>
  <conditionalFormatting sqref="G524:L524">
    <cfRule type="cellIs" dxfId="43" priority="114" operator="between">
      <formula>0.3</formula>
      <formula>0.49</formula>
    </cfRule>
    <cfRule type="cellIs" dxfId="42" priority="115" operator="greaterThan">
      <formula>0.5</formula>
    </cfRule>
  </conditionalFormatting>
  <conditionalFormatting sqref="G524:L524">
    <cfRule type="cellIs" dxfId="41" priority="113" operator="lessThan">
      <formula>0.3</formula>
    </cfRule>
  </conditionalFormatting>
  <conditionalFormatting sqref="G526:L526">
    <cfRule type="cellIs" dxfId="40" priority="110" operator="greaterThan">
      <formula>0.75</formula>
    </cfRule>
    <cfRule type="cellIs" dxfId="39" priority="111" operator="between">
      <formula>0.2</formula>
      <formula>0.75</formula>
    </cfRule>
    <cfRule type="cellIs" dxfId="38" priority="112" operator="lessThan">
      <formula>0.2</formula>
    </cfRule>
  </conditionalFormatting>
  <conditionalFormatting sqref="G579:L579">
    <cfRule type="cellIs" dxfId="37" priority="69" operator="lessThan">
      <formula>1</formula>
    </cfRule>
  </conditionalFormatting>
  <conditionalFormatting sqref="G572:L572">
    <cfRule type="cellIs" dxfId="36" priority="103" operator="between">
      <formula>0.3</formula>
      <formula>0.49</formula>
    </cfRule>
    <cfRule type="cellIs" dxfId="35" priority="104" operator="greaterThan">
      <formula>0.5</formula>
    </cfRule>
  </conditionalFormatting>
  <conditionalFormatting sqref="G572:L572">
    <cfRule type="cellIs" dxfId="34" priority="102" operator="lessThan">
      <formula>0.3</formula>
    </cfRule>
  </conditionalFormatting>
  <conditionalFormatting sqref="G574:L574">
    <cfRule type="cellIs" dxfId="33" priority="99" operator="greaterThan">
      <formula>0.75</formula>
    </cfRule>
    <cfRule type="cellIs" dxfId="32" priority="100" operator="between">
      <formula>0.2</formula>
      <formula>0.75</formula>
    </cfRule>
    <cfRule type="cellIs" dxfId="31" priority="101" operator="lessThan">
      <formula>0.2</formula>
    </cfRule>
  </conditionalFormatting>
  <conditionalFormatting sqref="H196:L196">
    <cfRule type="cellIs" dxfId="30" priority="94" operator="lessThan">
      <formula>1</formula>
    </cfRule>
  </conditionalFormatting>
  <conditionalFormatting sqref="G243:L243">
    <cfRule type="cellIs" dxfId="29" priority="90" operator="lessThan">
      <formula>1</formula>
    </cfRule>
  </conditionalFormatting>
  <conditionalFormatting sqref="G196:L196">
    <cfRule type="cellIs" dxfId="28" priority="92" operator="greaterThanOrEqual">
      <formula>1</formula>
    </cfRule>
  </conditionalFormatting>
  <conditionalFormatting sqref="H243:L243">
    <cfRule type="cellIs" dxfId="27" priority="91" operator="lessThan">
      <formula>1</formula>
    </cfRule>
  </conditionalFormatting>
  <conditionalFormatting sqref="G243:L243">
    <cfRule type="cellIs" dxfId="26" priority="89" operator="greaterThanOrEqual">
      <formula>1</formula>
    </cfRule>
  </conditionalFormatting>
  <conditionalFormatting sqref="H291:L291">
    <cfRule type="cellIs" dxfId="25" priority="88" operator="lessThan">
      <formula>1</formula>
    </cfRule>
  </conditionalFormatting>
  <conditionalFormatting sqref="G291:L291">
    <cfRule type="cellIs" dxfId="24" priority="87" operator="lessThan">
      <formula>1</formula>
    </cfRule>
  </conditionalFormatting>
  <conditionalFormatting sqref="G291:L291">
    <cfRule type="cellIs" dxfId="23" priority="86" operator="greaterThanOrEqual">
      <formula>1</formula>
    </cfRule>
  </conditionalFormatting>
  <conditionalFormatting sqref="H387:L387">
    <cfRule type="cellIs" dxfId="22" priority="82" operator="lessThan">
      <formula>1</formula>
    </cfRule>
  </conditionalFormatting>
  <conditionalFormatting sqref="G387:L387">
    <cfRule type="cellIs" dxfId="21" priority="81" operator="lessThan">
      <formula>1</formula>
    </cfRule>
  </conditionalFormatting>
  <conditionalFormatting sqref="G339:L339">
    <cfRule type="cellIs" dxfId="20" priority="83" operator="greaterThanOrEqual">
      <formula>1</formula>
    </cfRule>
  </conditionalFormatting>
  <conditionalFormatting sqref="G387:L387">
    <cfRule type="cellIs" dxfId="19" priority="80" operator="greaterThanOrEqual">
      <formula>1</formula>
    </cfRule>
  </conditionalFormatting>
  <conditionalFormatting sqref="H435:L435">
    <cfRule type="cellIs" dxfId="18" priority="79" operator="lessThan">
      <formula>1</formula>
    </cfRule>
  </conditionalFormatting>
  <conditionalFormatting sqref="G435:L435">
    <cfRule type="cellIs" dxfId="17" priority="78" operator="lessThan">
      <formula>1</formula>
    </cfRule>
  </conditionalFormatting>
  <conditionalFormatting sqref="G483:L483">
    <cfRule type="cellIs" dxfId="16" priority="74" operator="greaterThanOrEqual">
      <formula>1</formula>
    </cfRule>
  </conditionalFormatting>
  <conditionalFormatting sqref="H531:L531">
    <cfRule type="cellIs" dxfId="15" priority="73" operator="lessThan">
      <formula>1</formula>
    </cfRule>
  </conditionalFormatting>
  <conditionalFormatting sqref="G483:L483">
    <cfRule type="cellIs" dxfId="14" priority="75" operator="lessThan">
      <formula>1</formula>
    </cfRule>
  </conditionalFormatting>
  <conditionalFormatting sqref="G531:L531">
    <cfRule type="cellIs" dxfId="13" priority="72" operator="lessThan">
      <formula>1</formula>
    </cfRule>
  </conditionalFormatting>
  <conditionalFormatting sqref="G531:L531">
    <cfRule type="cellIs" dxfId="12" priority="71" operator="greaterThanOrEqual">
      <formula>1</formula>
    </cfRule>
  </conditionalFormatting>
  <conditionalFormatting sqref="H579:L579">
    <cfRule type="cellIs" dxfId="11" priority="70" operator="lessThan">
      <formula>1</formula>
    </cfRule>
  </conditionalFormatting>
  <conditionalFormatting sqref="G579:L579">
    <cfRule type="cellIs" dxfId="10" priority="68" operator="greaterThanOrEqual">
      <formula>1</formula>
    </cfRule>
  </conditionalFormatting>
  <conditionalFormatting sqref="G286:L286">
    <cfRule type="cellIs" dxfId="9" priority="65" operator="greaterThan">
      <formula>0.75</formula>
    </cfRule>
    <cfRule type="cellIs" dxfId="8" priority="66" operator="between">
      <formula>0.2</formula>
      <formula>0.75</formula>
    </cfRule>
    <cfRule type="cellIs" dxfId="7" priority="67" operator="lessThan">
      <formula>0.2</formula>
    </cfRule>
  </conditionalFormatting>
  <conditionalFormatting sqref="G284:L284">
    <cfRule type="cellIs" dxfId="6" priority="32" operator="between">
      <formula>0.3</formula>
      <formula>0.49</formula>
    </cfRule>
    <cfRule type="cellIs" dxfId="5" priority="33" operator="greaterThan">
      <formula>0.5</formula>
    </cfRule>
  </conditionalFormatting>
  <conditionalFormatting sqref="G284:L284">
    <cfRule type="cellIs" dxfId="4" priority="31" operator="lessThan">
      <formula>0.3</formula>
    </cfRule>
  </conditionalFormatting>
  <conditionalFormatting sqref="I121">
    <cfRule type="duplicateValues" dxfId="3" priority="481"/>
  </conditionalFormatting>
  <hyperlinks>
    <hyperlink ref="B4" location="HL_Sheet_Main_21" tooltip="Go to Previous Sheet" display="ç" xr:uid="{00000000-0004-0000-0400-000000000000}"/>
    <hyperlink ref="C4" location="HL_Sheet_Main_2" tooltip="Go to Next Sheet" display="è" xr:uid="{00000000-0004-0000-0400-000001000000}"/>
    <hyperlink ref="A4" r:id="rId1" tooltip="Go to Top of Sheet" xr:uid="{00000000-0004-0000-0400-000002000000}"/>
    <hyperlink ref="B3" location="HL_Home" tooltip="Go to Table of Contents" display="Ir al índice" xr:uid="{00000000-0004-0000-0400-000003000000}"/>
  </hyperlinks>
  <pageMargins left="0.4" right="0.4" top="0.6" bottom="1" header="0" footer="0.3"/>
  <pageSetup orientation="landscape" r:id="rId2"/>
  <headerFooter>
    <oddFooter>&amp;L&amp;F
&amp;A
Impreso: &amp;T en &amp;D&amp;C&amp;",Bold"Sheet 1.b.
Página &amp;P de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121" r:id="rId5" name="Scroll Bar 1">
              <controlPr defaultSize="0" autoLine="0" autoPict="0">
                <anchor moveWithCells="1">
                  <from>
                    <xdr:col>5</xdr:col>
                    <xdr:colOff>3528060</xdr:colOff>
                    <xdr:row>36</xdr:row>
                    <xdr:rowOff>144780</xdr:rowOff>
                  </from>
                  <to>
                    <xdr:col>11</xdr:col>
                    <xdr:colOff>556260</xdr:colOff>
                    <xdr:row>38</xdr:row>
                    <xdr:rowOff>121920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6:Q19"/>
  <sheetViews>
    <sheetView workbookViewId="0">
      <selection activeCell="D7" sqref="D7"/>
    </sheetView>
  </sheetViews>
  <sheetFormatPr defaultColWidth="9.125" defaultRowHeight="11.4" x14ac:dyDescent="0.2"/>
  <cols>
    <col min="2" max="2" width="16.625" customWidth="1"/>
    <col min="3" max="3" width="16.875" customWidth="1"/>
    <col min="4" max="5" width="19.625" customWidth="1"/>
    <col min="6" max="6" width="17.75" customWidth="1"/>
    <col min="7" max="7" width="24.75" customWidth="1"/>
    <col min="8" max="8" width="14.625" customWidth="1"/>
    <col min="9" max="9" width="17.125" customWidth="1"/>
    <col min="12" max="12" width="22.625" customWidth="1"/>
    <col min="13" max="13" width="20.125" customWidth="1"/>
  </cols>
  <sheetData>
    <row r="6" spans="2:17" ht="41.4" x14ac:dyDescent="0.25">
      <c r="B6" s="209" t="s">
        <v>333</v>
      </c>
      <c r="C6" s="209" t="s">
        <v>332</v>
      </c>
      <c r="D6" s="209" t="s">
        <v>500</v>
      </c>
      <c r="E6" s="209" t="s">
        <v>339</v>
      </c>
      <c r="F6" s="209" t="s">
        <v>335</v>
      </c>
      <c r="G6" s="209" t="s">
        <v>336</v>
      </c>
      <c r="H6" s="209" t="s">
        <v>290</v>
      </c>
      <c r="I6" s="209" t="s">
        <v>337</v>
      </c>
      <c r="K6" s="188"/>
      <c r="L6" s="208" t="s">
        <v>326</v>
      </c>
      <c r="M6" s="207">
        <v>2</v>
      </c>
      <c r="N6" s="188"/>
      <c r="O6" s="188"/>
      <c r="P6" s="202" t="str">
        <f>"I am chart "&amp;M6</f>
        <v>I am chart 2</v>
      </c>
      <c r="Q6" s="188"/>
    </row>
    <row r="7" spans="2:17" ht="13.8" x14ac:dyDescent="0.25">
      <c r="B7" s="195">
        <f>TS_Model_Start_Year</f>
        <v>2019</v>
      </c>
      <c r="C7" s="196">
        <f>'Financial Req'!J154</f>
        <v>85463226.160927922</v>
      </c>
      <c r="D7" s="196">
        <f>Summary_Govt_Contributions!J44</f>
        <v>16555827.468331249</v>
      </c>
      <c r="E7" s="196">
        <f>Summary_Partner_Contributions!J29</f>
        <v>38149564</v>
      </c>
      <c r="F7" s="196">
        <f>SUM(D7:E7)</f>
        <v>54705391.468331248</v>
      </c>
      <c r="G7" s="190">
        <f>F7/C7</f>
        <v>0.64010445106905478</v>
      </c>
      <c r="H7" s="203">
        <f>((C7-F7)/1000000)</f>
        <v>30.757834692596674</v>
      </c>
      <c r="I7" s="190">
        <f>E7/F7</f>
        <v>0.69736387906271802</v>
      </c>
      <c r="K7" s="188"/>
      <c r="L7" s="208" t="s">
        <v>327</v>
      </c>
      <c r="M7" s="208" t="s">
        <v>328</v>
      </c>
      <c r="N7" s="208" t="s">
        <v>329</v>
      </c>
      <c r="O7" s="188"/>
      <c r="P7" s="188"/>
      <c r="Q7" s="188"/>
    </row>
    <row r="8" spans="2:17" x14ac:dyDescent="0.2">
      <c r="B8" s="195">
        <f>B7+1</f>
        <v>2020</v>
      </c>
      <c r="C8" s="196">
        <f>'Financial Req'!K154</f>
        <v>93607859.740840167</v>
      </c>
      <c r="D8" s="196">
        <f>Summary_Govt_Contributions!K44</f>
        <v>16555827.468331249</v>
      </c>
      <c r="E8" s="196">
        <f>Summary_Partner_Contributions!K29</f>
        <v>62623516</v>
      </c>
      <c r="F8" s="196">
        <f t="shared" ref="F8:F11" si="0">SUM(D8:E8)</f>
        <v>79179343.468331248</v>
      </c>
      <c r="G8" s="190">
        <f t="shared" ref="G8:G11" si="1">F8/C8</f>
        <v>0.84586212832495833</v>
      </c>
      <c r="H8" s="203">
        <f t="shared" ref="H8:H11" si="2">((C8-F8)/1000000)</f>
        <v>14.428516272508919</v>
      </c>
      <c r="I8" s="190">
        <f>E8/F8</f>
        <v>0.79090723990464817</v>
      </c>
      <c r="K8" s="188"/>
      <c r="L8" s="207">
        <v>1</v>
      </c>
      <c r="M8" s="201">
        <f>IF($M$6-$L8=0,6,MOD($M$6-$L8,6))</f>
        <v>1</v>
      </c>
      <c r="N8" s="201">
        <f>IF($M$6+$L8=6,6,MOD($M$6+$L8,6))</f>
        <v>3</v>
      </c>
      <c r="O8" s="188"/>
      <c r="P8" s="202" t="str">
        <f>"This is "&amp;M8</f>
        <v>This is 1</v>
      </c>
      <c r="Q8" s="202" t="str">
        <f>"This is "&amp;N8</f>
        <v>This is 3</v>
      </c>
    </row>
    <row r="9" spans="2:17" x14ac:dyDescent="0.2">
      <c r="B9" s="195">
        <f t="shared" ref="B9:B11" si="3">B8+1</f>
        <v>2021</v>
      </c>
      <c r="C9" s="196">
        <f>'Financial Req'!L154</f>
        <v>90753364.771992177</v>
      </c>
      <c r="D9" s="196">
        <f>Summary_Govt_Contributions!L44</f>
        <v>16555827.468331249</v>
      </c>
      <c r="E9" s="196">
        <f>Summary_Partner_Contributions!L29</f>
        <v>36731828</v>
      </c>
      <c r="F9" s="196">
        <f t="shared" si="0"/>
        <v>53287655.468331248</v>
      </c>
      <c r="G9" s="190">
        <f t="shared" si="1"/>
        <v>0.58717002506971072</v>
      </c>
      <c r="H9" s="203">
        <f t="shared" si="2"/>
        <v>37.46570930366093</v>
      </c>
      <c r="I9" s="190">
        <f>E9/F9</f>
        <v>0.68931214325669954</v>
      </c>
      <c r="K9" s="188"/>
      <c r="L9" s="207">
        <v>2</v>
      </c>
      <c r="M9" s="201">
        <f>IF($M$6-$L9=0,6,MOD($M$6-$L9,6))</f>
        <v>6</v>
      </c>
      <c r="N9" s="201">
        <f>IF($M$6+$L9=6,6,MOD($M$6+$L9,6))</f>
        <v>4</v>
      </c>
      <c r="O9" s="188"/>
      <c r="P9" s="202" t="str">
        <f>"and "&amp;M9</f>
        <v>and 6</v>
      </c>
      <c r="Q9" s="202" t="str">
        <f>"and "&amp;N9</f>
        <v>and 4</v>
      </c>
    </row>
    <row r="10" spans="2:17" x14ac:dyDescent="0.2">
      <c r="B10" s="195">
        <f t="shared" si="3"/>
        <v>2022</v>
      </c>
      <c r="C10" s="196">
        <f>'Financial Req'!M154</f>
        <v>89724690.317691013</v>
      </c>
      <c r="D10" s="196">
        <f>Summary_Govt_Contributions!M44</f>
        <v>16555827.468331249</v>
      </c>
      <c r="E10" s="196">
        <f>Summary_Partner_Contributions!M29</f>
        <v>11443000</v>
      </c>
      <c r="F10" s="196">
        <f t="shared" si="0"/>
        <v>27998827.468331248</v>
      </c>
      <c r="G10" s="190">
        <f t="shared" si="1"/>
        <v>0.31205265093916651</v>
      </c>
      <c r="H10" s="203">
        <f t="shared" si="2"/>
        <v>61.725862849359764</v>
      </c>
      <c r="I10" s="190">
        <f>E10/F10</f>
        <v>0.40869568602266942</v>
      </c>
      <c r="K10" s="188"/>
      <c r="L10" s="207">
        <v>3</v>
      </c>
      <c r="M10" s="201">
        <f>IF($M$6-$L10=0,6,MOD($M$6-$L10,6))</f>
        <v>5</v>
      </c>
      <c r="N10" s="201">
        <f>IF($M$6+$L10=6,6,MOD($M$6+$L10,6))</f>
        <v>5</v>
      </c>
      <c r="O10" s="188"/>
      <c r="P10" s="202" t="str">
        <f>"and "&amp;M10</f>
        <v>and 5</v>
      </c>
      <c r="Q10" s="202" t="str">
        <f>"and "&amp;N10</f>
        <v>and 5</v>
      </c>
    </row>
    <row r="11" spans="2:17" x14ac:dyDescent="0.2">
      <c r="B11" s="195">
        <f t="shared" si="3"/>
        <v>2023</v>
      </c>
      <c r="C11" s="196">
        <f>'Financial Req'!N154</f>
        <v>90975015.904191896</v>
      </c>
      <c r="D11" s="196">
        <f>Summary_Govt_Contributions!N44</f>
        <v>16555827.468331249</v>
      </c>
      <c r="E11" s="196">
        <f>Summary_Partner_Contributions!N29</f>
        <v>11433000</v>
      </c>
      <c r="F11" s="196">
        <f t="shared" si="0"/>
        <v>27988827.468331248</v>
      </c>
      <c r="G11" s="190">
        <f t="shared" si="1"/>
        <v>0.30765399917936803</v>
      </c>
      <c r="H11" s="203">
        <f t="shared" si="2"/>
        <v>62.986188435860647</v>
      </c>
      <c r="I11" s="190">
        <f>E11/F11</f>
        <v>0.40848442161202331</v>
      </c>
      <c r="K11" s="188"/>
      <c r="L11" s="188"/>
      <c r="M11" s="188"/>
      <c r="N11" s="188"/>
      <c r="O11" s="188"/>
      <c r="P11" s="188"/>
      <c r="Q11" s="188"/>
    </row>
    <row r="12" spans="2:17" x14ac:dyDescent="0.2">
      <c r="J12" s="191"/>
      <c r="K12" s="188"/>
      <c r="L12" s="188"/>
      <c r="M12" s="188"/>
      <c r="N12" s="188"/>
      <c r="O12" s="188"/>
      <c r="P12" s="188"/>
      <c r="Q12" s="188"/>
    </row>
    <row r="13" spans="2:17" ht="13.8" x14ac:dyDescent="0.25">
      <c r="J13" s="191"/>
      <c r="K13" s="188"/>
      <c r="L13" s="205" t="s">
        <v>330</v>
      </c>
      <c r="M13" s="188"/>
      <c r="N13" s="188"/>
      <c r="O13" s="188"/>
      <c r="P13" s="188"/>
      <c r="Q13" s="188"/>
    </row>
    <row r="14" spans="2:17" ht="13.8" x14ac:dyDescent="0.25">
      <c r="J14" s="191"/>
      <c r="K14" s="188"/>
      <c r="L14" s="206" t="s">
        <v>246</v>
      </c>
      <c r="M14" s="189" t="str">
        <f t="array" ref="M14">INDEX(C6:H6,M6)</f>
        <v>Total Government Contribution</v>
      </c>
      <c r="N14" s="188"/>
      <c r="O14" s="188"/>
      <c r="P14" s="188"/>
      <c r="Q14" s="188"/>
    </row>
    <row r="15" spans="2:17" ht="13.8" x14ac:dyDescent="0.25">
      <c r="J15" s="191"/>
      <c r="K15" s="188"/>
      <c r="L15" s="206" t="s">
        <v>338</v>
      </c>
      <c r="M15" s="189">
        <f>INDEX($C$7:$H$11,1,$M$6)</f>
        <v>16555827.468331249</v>
      </c>
      <c r="N15" s="188"/>
      <c r="O15" s="188"/>
      <c r="P15" s="188"/>
      <c r="Q15" s="188"/>
    </row>
    <row r="16" spans="2:17" ht="13.8" x14ac:dyDescent="0.25">
      <c r="J16" s="191"/>
      <c r="K16" s="188"/>
      <c r="L16" s="206" t="s">
        <v>334</v>
      </c>
      <c r="M16" s="201">
        <f>INDEX($C$7:$H$11,5,$M$6)</f>
        <v>16555827.468331249</v>
      </c>
      <c r="N16" s="188"/>
      <c r="O16" s="188"/>
      <c r="P16" s="188"/>
      <c r="Q16" s="188"/>
    </row>
    <row r="17" spans="10:17" ht="13.8" x14ac:dyDescent="0.25">
      <c r="J17" s="191"/>
      <c r="K17" s="188"/>
      <c r="L17" s="206" t="s">
        <v>331</v>
      </c>
      <c r="M17" s="189">
        <f>M16/M15-1</f>
        <v>0</v>
      </c>
      <c r="N17" s="188"/>
      <c r="O17" s="188"/>
      <c r="P17" s="188"/>
      <c r="Q17" s="188"/>
    </row>
    <row r="18" spans="10:17" x14ac:dyDescent="0.2">
      <c r="J18" s="191"/>
      <c r="K18" s="188"/>
      <c r="L18" s="188"/>
      <c r="M18" s="188"/>
      <c r="N18" s="188"/>
      <c r="O18" s="188"/>
      <c r="P18" s="188"/>
      <c r="Q18" s="188"/>
    </row>
    <row r="19" spans="10:17" x14ac:dyDescent="0.2">
      <c r="J19" s="191"/>
      <c r="K19" s="188"/>
      <c r="L19" s="204" t="s">
        <v>330</v>
      </c>
      <c r="M19" s="200" t="str">
        <f>M14&amp;" "&amp;IF(M16&gt;M15,"increased","was reduced")&amp;" by "&amp;TEXT(ABS(M17),"0%")&amp;" compared to "&amp;$B$7</f>
        <v>Total Government Contribution was reduced by 0% compared to 2019</v>
      </c>
      <c r="N19" s="188"/>
      <c r="O19" s="188"/>
      <c r="P19" s="188"/>
      <c r="Q19" s="188"/>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workbookViewId="0">
      <selection activeCell="F7" sqref="F7"/>
    </sheetView>
  </sheetViews>
  <sheetFormatPr defaultColWidth="9.125" defaultRowHeight="13.8" x14ac:dyDescent="0.25"/>
  <cols>
    <col min="1" max="1" width="9.125" style="193"/>
    <col min="2" max="2" width="85.75" style="193" customWidth="1"/>
    <col min="3" max="16384" width="9.125" style="193"/>
  </cols>
  <sheetData>
    <row r="2" spans="2:9" ht="276.75" customHeight="1" x14ac:dyDescent="0.25">
      <c r="B2" s="192"/>
      <c r="I2" s="194"/>
    </row>
    <row r="3" spans="2:9" ht="267.89999999999998" customHeight="1" x14ac:dyDescent="0.25">
      <c r="B3" s="192"/>
    </row>
    <row r="4" spans="2:9" ht="267.89999999999998" customHeight="1" x14ac:dyDescent="0.25">
      <c r="B4" s="192"/>
    </row>
    <row r="5" spans="2:9" ht="267.89999999999998" customHeight="1" x14ac:dyDescent="0.25">
      <c r="B5" s="192"/>
    </row>
    <row r="6" spans="2:9" ht="267.89999999999998" customHeight="1" x14ac:dyDescent="0.25">
      <c r="B6" s="192"/>
    </row>
    <row r="7" spans="2:9" ht="267.89999999999998" customHeight="1" x14ac:dyDescent="0.25">
      <c r="B7" s="192"/>
    </row>
    <row r="8" spans="2:9" ht="267.89999999999998" customHeight="1" x14ac:dyDescent="0.25">
      <c r="B8" s="192"/>
    </row>
    <row r="9" spans="2:9" ht="267.89999999999998" customHeight="1" x14ac:dyDescent="0.25"/>
    <row r="10" spans="2:9" ht="267.89999999999998" customHeight="1" x14ac:dyDescent="0.25"/>
    <row r="11" spans="2:9" ht="267.89999999999998" customHeight="1" x14ac:dyDescent="0.25"/>
    <row r="12" spans="2:9" ht="189" customHeight="1" x14ac:dyDescent="0.25"/>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00000"/>
    <pageSetUpPr fitToPage="1"/>
  </sheetPr>
  <dimension ref="C9:L54"/>
  <sheetViews>
    <sheetView showGridLines="0" showRowColHeaders="0" workbookViewId="0">
      <pane ySplit="55" topLeftCell="A110" activePane="bottomLeft" state="frozen"/>
      <selection pane="bottomLeft" activeCell="A16" sqref="A16"/>
    </sheetView>
  </sheetViews>
  <sheetFormatPr defaultColWidth="11.75" defaultRowHeight="11.4" x14ac:dyDescent="0.2"/>
  <cols>
    <col min="3" max="6" width="3.75" customWidth="1"/>
  </cols>
  <sheetData>
    <row r="9" spans="3:7" ht="13.8" x14ac:dyDescent="0.2">
      <c r="C9" s="2" t="s">
        <v>170</v>
      </c>
    </row>
    <row r="10" spans="3:7" ht="13.2" x14ac:dyDescent="0.2">
      <c r="C10" s="9" t="s">
        <v>23</v>
      </c>
    </row>
    <row r="11" spans="3:7" ht="13.2" x14ac:dyDescent="0.2">
      <c r="C11" s="5" t="str">
        <f>Model_Name</f>
        <v>Financial Gap Analysis Tool - País X (Datos de la muestra)</v>
      </c>
    </row>
    <row r="12" spans="3:7" x14ac:dyDescent="0.2">
      <c r="C12" s="425" t="s">
        <v>524</v>
      </c>
      <c r="D12" s="425"/>
      <c r="E12" s="425"/>
      <c r="F12" s="425"/>
      <c r="G12" s="425"/>
    </row>
    <row r="13" spans="3:7" x14ac:dyDescent="0.2">
      <c r="C13" s="7" t="s">
        <v>2</v>
      </c>
      <c r="D13" s="8" t="s">
        <v>3</v>
      </c>
    </row>
    <row r="17" spans="3:11" ht="12" x14ac:dyDescent="0.2">
      <c r="C17" s="3" t="s">
        <v>525</v>
      </c>
    </row>
    <row r="19" spans="3:11" ht="12" x14ac:dyDescent="0.2">
      <c r="D19" s="230" t="s">
        <v>403</v>
      </c>
    </row>
    <row r="20" spans="3:11" x14ac:dyDescent="0.2">
      <c r="E20" s="199" t="str">
        <f>Basic_Setup!B6</f>
        <v>Nombre del país donde se realiza el análisis</v>
      </c>
      <c r="F20" s="199"/>
      <c r="G20" s="199"/>
      <c r="H20" s="199"/>
      <c r="I20" s="199"/>
      <c r="J20" s="199"/>
    </row>
    <row r="21" spans="3:11" x14ac:dyDescent="0.2">
      <c r="E21" s="199" t="str">
        <f>Basic_Setup!B10</f>
        <v>Año de inicio de este análisis</v>
      </c>
      <c r="F21" s="199"/>
      <c r="G21" s="199"/>
      <c r="H21" s="199"/>
      <c r="I21" s="199"/>
      <c r="J21" s="199"/>
    </row>
    <row r="22" spans="3:11" x14ac:dyDescent="0.2">
      <c r="E22" s="199" t="str">
        <f>Basic_Setup!B14</f>
        <v>Monedas utilizadas para este análisis y tipo de cambio aplicado</v>
      </c>
      <c r="F22" s="199"/>
      <c r="G22" s="199"/>
      <c r="H22" s="199"/>
      <c r="I22" s="199"/>
      <c r="J22" s="199"/>
    </row>
    <row r="23" spans="3:11" x14ac:dyDescent="0.2">
      <c r="E23" s="199" t="str">
        <f>HL_Mod_Ass</f>
        <v>Objetivos estratégicos (hasta 10) y Resultados/Indicadores (hasta 5 por objetivo estratégico) que requieren financiación</v>
      </c>
      <c r="F23" s="199"/>
      <c r="G23" s="199"/>
      <c r="H23" s="199"/>
      <c r="I23" s="199"/>
      <c r="J23" s="199"/>
    </row>
    <row r="24" spans="3:11" x14ac:dyDescent="0.2">
      <c r="E24" s="199" t="str">
        <f>Basic_Setup!B104</f>
        <v>Socios que contribuyen a la financiación de los objetivos y resultados estratégicos</v>
      </c>
      <c r="F24" s="199"/>
      <c r="G24" s="199"/>
      <c r="H24" s="199"/>
      <c r="I24" s="199"/>
      <c r="J24" s="199"/>
    </row>
    <row r="25" spans="3:11" x14ac:dyDescent="0.2">
      <c r="E25" s="199" t="str">
        <f>Basic_Setup!B126</f>
        <v xml:space="preserve">Organismos de gobierno local que contribuyen a la financiación de los objetivos estratégicos y resultados </v>
      </c>
      <c r="F25" s="199"/>
      <c r="G25" s="199"/>
      <c r="H25" s="199"/>
      <c r="I25" s="199"/>
      <c r="J25" s="199"/>
    </row>
    <row r="28" spans="3:11" ht="12" x14ac:dyDescent="0.2">
      <c r="D28" s="230" t="s">
        <v>404</v>
      </c>
    </row>
    <row r="29" spans="3:11" x14ac:dyDescent="0.2">
      <c r="D29" s="199"/>
      <c r="E29" s="100" t="str">
        <f>'Financial Req'!B14&amp;" "&amp;CURR_LCU_ABBR</f>
        <v>Annual Necesidades financieras - by Strategic Objective and Result/Indicator GOZ</v>
      </c>
      <c r="F29" s="199"/>
      <c r="G29" s="199"/>
    </row>
    <row r="31" spans="3:11" ht="12" x14ac:dyDescent="0.2">
      <c r="D31" s="230" t="s">
        <v>410</v>
      </c>
    </row>
    <row r="32" spans="3:11" x14ac:dyDescent="0.2">
      <c r="E32" s="199" t="str">
        <f>Government1!B14</f>
        <v>Planned Annual Contributions by Ministerio de Agricultura y Ganadería - by Strategic Objective and Result/Indicator</v>
      </c>
      <c r="F32" s="199"/>
      <c r="G32" s="199"/>
      <c r="H32" s="199"/>
      <c r="I32" s="199"/>
      <c r="J32" s="199"/>
      <c r="K32" s="199"/>
    </row>
    <row r="33" spans="4:12" x14ac:dyDescent="0.2">
      <c r="E33" s="199" t="str">
        <f>Government2!B14</f>
        <v>Planned Annual Contributions by Ministerio de Energía y Minas - by Strategic Objective and Result/Indicator</v>
      </c>
      <c r="F33" s="199"/>
      <c r="G33" s="199"/>
      <c r="H33" s="199"/>
      <c r="I33" s="199"/>
      <c r="J33" s="199"/>
      <c r="K33" s="199"/>
    </row>
    <row r="34" spans="4:12" x14ac:dyDescent="0.2">
      <c r="E34" s="100" t="str">
        <f>Government3!B14</f>
        <v>Planned Annual Contributions by Ministerio de Educación Nacional, de Educación Superior e Investigación Científica - by Strategic Objective and Result/Indicator</v>
      </c>
      <c r="F34" s="401"/>
      <c r="G34" s="401"/>
      <c r="H34" s="401"/>
      <c r="I34" s="401"/>
      <c r="J34" s="401"/>
      <c r="K34" s="401"/>
    </row>
    <row r="35" spans="4:12" x14ac:dyDescent="0.2">
      <c r="E35" s="100" t="str">
        <f>Government4!B14</f>
        <v>Planned Annual Contributions by Ministerio de Medioambiente - by Strategic Objective and Result/Indicator</v>
      </c>
      <c r="F35" s="401"/>
      <c r="G35" s="401"/>
      <c r="H35" s="401"/>
      <c r="I35" s="401"/>
      <c r="J35" s="401"/>
      <c r="K35" s="401"/>
    </row>
    <row r="36" spans="4:12" x14ac:dyDescent="0.2">
      <c r="E36" s="100" t="str">
        <f>Government5!B14</f>
        <v>Planned Annual Contributions by Ministerio de Servicio Público - by Strategic Objective and Result/Indicator</v>
      </c>
      <c r="F36" s="401"/>
      <c r="G36" s="401"/>
      <c r="H36" s="401"/>
      <c r="I36" s="401"/>
      <c r="J36" s="401"/>
      <c r="K36" s="401"/>
    </row>
    <row r="37" spans="4:12" x14ac:dyDescent="0.2">
      <c r="E37" s="100" t="str">
        <f>Government6!B14</f>
        <v>Planned Annual Contributions by Ministerio de Salud Pública y Lucha contra el SIDA - by Strategic Objective and Result/Indicator</v>
      </c>
      <c r="F37" s="401"/>
      <c r="G37" s="401"/>
      <c r="H37" s="401"/>
      <c r="I37" s="401"/>
      <c r="J37" s="401"/>
      <c r="K37" s="401"/>
    </row>
    <row r="38" spans="4:12" x14ac:dyDescent="0.2">
      <c r="E38" s="100" t="str">
        <f>Government7!B14</f>
        <v>Planned Annual Contributions by Ministerio de Derechos Humanos, Asuntos Sociales y Género  - by Strategic Objective and Result/Indicator</v>
      </c>
      <c r="F38" s="401"/>
      <c r="G38" s="401"/>
      <c r="H38" s="401"/>
      <c r="I38" s="401"/>
      <c r="J38" s="401"/>
      <c r="K38" s="401"/>
    </row>
    <row r="39" spans="4:12" x14ac:dyDescent="0.2">
      <c r="E39" s="100" t="str">
        <f>Government8!B14</f>
        <v>Planned Annual Contributions by Ministerio de Desarrollo Municipal - by Strategic Objective and Result/Indicator</v>
      </c>
      <c r="F39" s="401"/>
      <c r="G39" s="401"/>
      <c r="H39" s="401"/>
      <c r="I39" s="401"/>
      <c r="J39" s="401"/>
      <c r="K39" s="401"/>
    </row>
    <row r="40" spans="4:12" x14ac:dyDescent="0.2">
      <c r="E40" s="100" t="str">
        <f>Government9!B14</f>
        <v>Planned Annual Contributions by [No está en uso] - by Strategic Objective and Result/Indicator</v>
      </c>
      <c r="F40" s="401"/>
      <c r="G40" s="401"/>
      <c r="H40" s="401"/>
      <c r="I40" s="401"/>
      <c r="J40" s="401"/>
      <c r="K40" s="401"/>
    </row>
    <row r="41" spans="4:12" x14ac:dyDescent="0.2">
      <c r="E41" s="100" t="str">
        <f>Government10!B14</f>
        <v>Planned Annual Contributions by [No está en uso] - by Strategic Objective and Result/Indicator</v>
      </c>
      <c r="F41" s="401"/>
      <c r="G41" s="401"/>
      <c r="H41" s="401"/>
      <c r="I41" s="401"/>
      <c r="J41" s="401"/>
      <c r="K41" s="401"/>
    </row>
    <row r="43" spans="4:12" ht="12" x14ac:dyDescent="0.2">
      <c r="D43" s="230" t="s">
        <v>413</v>
      </c>
    </row>
    <row r="44" spans="4:12" x14ac:dyDescent="0.2">
      <c r="E44" s="100" t="str">
        <f>HL_TOC_10</f>
        <v>Planned Annual Contributions by UNICEF - by Strategic Objective and Result/Indicator</v>
      </c>
      <c r="F44" s="199"/>
      <c r="G44" s="199"/>
      <c r="H44" s="199"/>
      <c r="I44" s="199"/>
      <c r="J44" s="199"/>
      <c r="K44" s="199"/>
      <c r="L44" s="199"/>
    </row>
    <row r="45" spans="4:12" x14ac:dyDescent="0.2">
      <c r="E45" s="199" t="str">
        <f>Partner2!B14</f>
        <v>Planned Annual Contributions by Organización Mundial de la Salud - by Strategic Objective and Result/Indicator</v>
      </c>
      <c r="F45" s="199"/>
      <c r="G45" s="199"/>
      <c r="H45" s="199"/>
      <c r="I45" s="199"/>
      <c r="J45" s="199"/>
      <c r="K45" s="199"/>
      <c r="L45" s="199"/>
    </row>
    <row r="46" spans="4:12" x14ac:dyDescent="0.2">
      <c r="E46" s="199" t="str">
        <f>Partner3!B14</f>
        <v>Planned Annual Contributions by Banco Mundial - by Strategic Objective and Result/Indicator</v>
      </c>
      <c r="F46" s="199"/>
      <c r="G46" s="199"/>
      <c r="H46" s="199"/>
      <c r="I46" s="199"/>
      <c r="J46" s="199"/>
      <c r="K46" s="199"/>
      <c r="L46" s="199"/>
    </row>
    <row r="47" spans="4:12" x14ac:dyDescent="0.2">
      <c r="E47" s="199" t="str">
        <f>Partner4!B14</f>
        <v>Planned Annual Contributions by Organización de las Naciones Unidas para la Alimentación y la Agricultura - by Strategic Objective and Result/Indicator</v>
      </c>
      <c r="F47" s="199"/>
      <c r="G47" s="199"/>
      <c r="H47" s="199"/>
      <c r="I47" s="199"/>
      <c r="J47" s="199"/>
      <c r="K47" s="199"/>
      <c r="L47" s="199"/>
    </row>
    <row r="48" spans="4:12" x14ac:dyDescent="0.2">
      <c r="E48" s="199" t="str">
        <f>Partner5!B14</f>
        <v>Planned Annual Contributions by Programa Mundial de Alimentos - by Strategic Objective and Result/Indicator</v>
      </c>
      <c r="F48" s="199"/>
      <c r="G48" s="199"/>
      <c r="H48" s="199"/>
      <c r="I48" s="199"/>
      <c r="J48" s="199"/>
      <c r="K48" s="199"/>
      <c r="L48" s="199"/>
    </row>
    <row r="49" spans="5:12" x14ac:dyDescent="0.2">
      <c r="E49" s="199" t="str">
        <f>Partner6!B14</f>
        <v>Planned Annual Contributions by [No está en uso] - by Strategic Objective and Result/Indicator</v>
      </c>
      <c r="F49" s="199"/>
      <c r="G49" s="199"/>
      <c r="H49" s="199"/>
      <c r="I49" s="199"/>
      <c r="J49" s="199"/>
      <c r="K49" s="199"/>
      <c r="L49" s="199"/>
    </row>
    <row r="50" spans="5:12" x14ac:dyDescent="0.2">
      <c r="E50" s="199" t="str">
        <f>Partner7!B14</f>
        <v>Planned Annual Contributions by [No está en uso] - by Strategic Objective and Result/Indicator</v>
      </c>
      <c r="F50" s="199"/>
      <c r="G50" s="199"/>
      <c r="H50" s="199"/>
      <c r="I50" s="199"/>
      <c r="J50" s="199"/>
      <c r="K50" s="199"/>
      <c r="L50" s="199"/>
    </row>
    <row r="51" spans="5:12" x14ac:dyDescent="0.2">
      <c r="E51" s="199" t="str">
        <f>Partner8!B14</f>
        <v>Planned Annual Contributions by [No está en uso] - by Strategic Objective and Result/Indicator</v>
      </c>
      <c r="F51" s="199"/>
      <c r="G51" s="199"/>
      <c r="H51" s="199"/>
      <c r="I51" s="199"/>
      <c r="J51" s="199"/>
      <c r="K51" s="199"/>
      <c r="L51" s="199"/>
    </row>
    <row r="52" spans="5:12" x14ac:dyDescent="0.2">
      <c r="E52" s="199" t="str">
        <f>Partner9!B14</f>
        <v>Planned Annual Contributions by [No está en uso] - by Strategic Objective and Result/Indicator</v>
      </c>
      <c r="F52" s="199"/>
      <c r="G52" s="199"/>
      <c r="H52" s="199"/>
      <c r="I52" s="199"/>
      <c r="J52" s="199"/>
      <c r="K52" s="199"/>
      <c r="L52" s="199"/>
    </row>
    <row r="53" spans="5:12" x14ac:dyDescent="0.2">
      <c r="E53" s="199" t="str">
        <f>Partner10!B14</f>
        <v>Planned Annual Contributions by [No está en uso] - by Strategic Objective and Result/Indicator</v>
      </c>
      <c r="F53" s="199"/>
      <c r="G53" s="199"/>
      <c r="H53" s="199"/>
      <c r="I53" s="199"/>
      <c r="J53" s="199"/>
      <c r="K53" s="199"/>
      <c r="L53" s="199"/>
    </row>
    <row r="54" spans="5:12" x14ac:dyDescent="0.2">
      <c r="E54" s="199"/>
      <c r="F54" s="199"/>
      <c r="G54" s="199"/>
      <c r="H54" s="199"/>
      <c r="I54" s="199"/>
      <c r="J54" s="199"/>
      <c r="K54" s="199"/>
      <c r="L54" s="199"/>
    </row>
  </sheetData>
  <mergeCells count="1">
    <mergeCell ref="C12:G12"/>
  </mergeCells>
  <hyperlinks>
    <hyperlink ref="C13" location="Dashboard!HL_Sheet_Main_12" tooltip="Go to Previous Sheet" display="ç" xr:uid="{00000000-0004-0000-0700-000000000000}"/>
    <hyperlink ref="D13" location="HL_Sheet_Main_12" tooltip="Go to Next Sheet" display="è" xr:uid="{00000000-0004-0000-0700-000001000000}"/>
    <hyperlink ref="E25" location="Basic_Setup!B126" display="Local Government agencies contributing to the financing of the strategic objectives and results" xr:uid="{00000000-0004-0000-0700-000002000000}"/>
    <hyperlink ref="E24" location="Basic_Setup!B104" display="Partners contributing to the financing of the strategic objectives and results" xr:uid="{00000000-0004-0000-0700-000003000000}"/>
    <hyperlink ref="E23" location="Basic_Setup!B29" display="Strategic objectives (up to 10) and Results/Indicators (up to 5 per strategic objective) requiring financing" xr:uid="{00000000-0004-0000-0700-000004000000}"/>
    <hyperlink ref="E22" location="Basic_Setup!B14" display="Currencies used for this analsysis and exchange rate applied" xr:uid="{00000000-0004-0000-0700-000005000000}"/>
    <hyperlink ref="E21" location="Basic_Setup!B10" display="Start Year for this analysis" xr:uid="{00000000-0004-0000-0700-000006000000}"/>
    <hyperlink ref="E20" location="Basic_Setup!B6" display="Name of Country where analysis is being conducted" xr:uid="{00000000-0004-0000-0700-000007000000}"/>
    <hyperlink ref="E32" location="Government!B14" display="Planned Government Contributions, by Strategy" xr:uid="{00000000-0004-0000-0700-000008000000}"/>
    <hyperlink ref="E33" location="Government!B55" display="Planned Government Contributions, by Government Body" xr:uid="{00000000-0004-0000-0700-000009000000}"/>
    <hyperlink ref="E53" location="Partner1!B14" display="Partner1!B14" xr:uid="{00000000-0004-0000-0700-00000A000000}"/>
    <hyperlink ref="E52" location="Partner9!B14" display="Partner9!B14" xr:uid="{00000000-0004-0000-0700-00000B000000}"/>
    <hyperlink ref="E51" location="Partner8!B14" display="Partner8!B14" xr:uid="{00000000-0004-0000-0700-00000C000000}"/>
    <hyperlink ref="E50" location="Partner7!B14" display="Partner7!B14" xr:uid="{00000000-0004-0000-0700-00000D000000}"/>
    <hyperlink ref="E49" location="Partner6!B14" display="Partner6!B14" xr:uid="{00000000-0004-0000-0700-00000E000000}"/>
    <hyperlink ref="E48" location="Partner5!B14" display="Partner5!B14" xr:uid="{00000000-0004-0000-0700-00000F000000}"/>
    <hyperlink ref="E47" location="Partner4!B14" display="Partner4!B14" xr:uid="{00000000-0004-0000-0700-000010000000}"/>
    <hyperlink ref="E46" location="Partner3!B14" display="Partner3!B14" xr:uid="{00000000-0004-0000-0700-000011000000}"/>
    <hyperlink ref="E45" location="Partner2!B14" display="Partner2!B14" xr:uid="{00000000-0004-0000-0700-000012000000}"/>
    <hyperlink ref="C12" location="HL_Home" tooltip="Go to Table of Contents" display="Ir al índice" xr:uid="{00000000-0004-0000-0700-000013000000}"/>
    <hyperlink ref="E29" location="'Financial Req'!B15" display="'Financial Req'!B15" xr:uid="{00000000-0004-0000-0700-000014000000}"/>
    <hyperlink ref="E34" location="Government3!B14" display="Government3!B14" xr:uid="{00000000-0004-0000-0700-000015000000}"/>
    <hyperlink ref="E35" location="Government4!B14" display="Government4!B14" xr:uid="{00000000-0004-0000-0700-000016000000}"/>
    <hyperlink ref="E36" location="Government5!B14" display="Government5!B14" xr:uid="{00000000-0004-0000-0700-000017000000}"/>
    <hyperlink ref="E37" location="Government6!B14" display="Government6!B14" xr:uid="{00000000-0004-0000-0700-000018000000}"/>
    <hyperlink ref="E38" location="Government7!B14" display="Government7!B14" xr:uid="{00000000-0004-0000-0700-000019000000}"/>
    <hyperlink ref="E39" location="Government8!B14" display="Government8!B14" xr:uid="{00000000-0004-0000-0700-00001A000000}"/>
    <hyperlink ref="E40" location="Government9!A1" display="Government9!A1" xr:uid="{00000000-0004-0000-0700-00001B000000}"/>
    <hyperlink ref="E41" location="Government10!A1" display="Government10!A1" xr:uid="{00000000-0004-0000-0700-00001C000000}"/>
    <hyperlink ref="E44" location="HL_TOC_10" display="HL_TOC_10" xr:uid="{00000000-0004-0000-0700-00001D000000}"/>
  </hyperlinks>
  <pageMargins left="0.4" right="0.4" top="0.6" bottom="1" header="0" footer="0.3"/>
  <pageSetup orientation="landscape" r:id="rId1"/>
  <headerFooter>
    <oddFooter>&amp;L&amp;F
&amp;A
Impreso: &amp;T en &amp;D&amp;C&amp;",Bold"Section 2.
Página &amp;P de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5"/>
  </sheetPr>
  <dimension ref="A1:I16"/>
  <sheetViews>
    <sheetView workbookViewId="0"/>
  </sheetViews>
  <sheetFormatPr defaultColWidth="11.75" defaultRowHeight="11.4" outlineLevelRow="2" x14ac:dyDescent="0.2"/>
  <cols>
    <col min="1" max="5" width="3.75" customWidth="1"/>
  </cols>
  <sheetData>
    <row r="1" spans="1:9" ht="13.8" x14ac:dyDescent="0.2">
      <c r="B1" s="143" t="str">
        <f ca="1">IF(ISERROR(RIGHT(CELL("filename",$A$1),LEN(CELL("filename",$A$1))-FIND("]",CELL("filename",$A$1)))),"This workbook never saved",RIGHT(CELL("filename",$A$1),LEN(CELL("filename",$A$1))-FIND("]",CELL("filename",$A$1))))</f>
        <v>Time_Series</v>
      </c>
    </row>
    <row r="2" spans="1:9" ht="13.2" x14ac:dyDescent="0.2">
      <c r="B2" s="5" t="str">
        <f>Model_Name</f>
        <v>Financial Gap Analysis Tool - País X (Datos de la muestra)</v>
      </c>
    </row>
    <row r="3" spans="1:9" x14ac:dyDescent="0.2">
      <c r="B3" s="425" t="s">
        <v>1</v>
      </c>
      <c r="C3" s="425"/>
      <c r="D3" s="425"/>
      <c r="E3" s="425"/>
      <c r="F3" s="425"/>
    </row>
    <row r="4" spans="1:9" x14ac:dyDescent="0.2">
      <c r="A4" s="6" t="s">
        <v>10</v>
      </c>
      <c r="B4" s="7" t="s">
        <v>2</v>
      </c>
      <c r="C4" s="8" t="s">
        <v>3</v>
      </c>
      <c r="D4" s="15" t="s">
        <v>26</v>
      </c>
      <c r="E4" s="16" t="s">
        <v>27</v>
      </c>
      <c r="F4" s="17" t="s">
        <v>28</v>
      </c>
    </row>
    <row r="6" spans="1:9" s="1" customFormat="1" x14ac:dyDescent="0.2">
      <c r="A6"/>
      <c r="B6" s="1" t="s">
        <v>32</v>
      </c>
    </row>
    <row r="8" spans="1:9" x14ac:dyDescent="0.2">
      <c r="B8" s="19" t="s">
        <v>33</v>
      </c>
      <c r="H8" s="438" t="s">
        <v>34</v>
      </c>
      <c r="I8" s="438"/>
    </row>
    <row r="9" spans="1:9" x14ac:dyDescent="0.2">
      <c r="B9" s="19" t="s">
        <v>35</v>
      </c>
      <c r="H9" s="20">
        <v>12</v>
      </c>
    </row>
    <row r="10" spans="1:9" x14ac:dyDescent="0.2">
      <c r="B10" s="19" t="s">
        <v>36</v>
      </c>
      <c r="H10" s="439">
        <f>TS_Model_Start_Year</f>
        <v>2019</v>
      </c>
      <c r="I10" s="439"/>
    </row>
    <row r="11" spans="1:9" hidden="1" outlineLevel="1" x14ac:dyDescent="0.2">
      <c r="B11" s="19" t="s">
        <v>37</v>
      </c>
      <c r="H11" s="434">
        <v>5</v>
      </c>
      <c r="I11" s="434"/>
    </row>
    <row r="12" spans="1:9" hidden="1" outlineLevel="2" x14ac:dyDescent="0.2">
      <c r="B12" s="19" t="s">
        <v>38</v>
      </c>
      <c r="H12" s="435">
        <f>EDATE(DATE(Ts_First_Fin_Yr,DD_Ts_Fin_Yr_End_Mth,1),-Ts_Mths_In_Yr+1)</f>
        <v>43466</v>
      </c>
      <c r="I12" s="435"/>
    </row>
    <row r="13" spans="1:9" hidden="1" outlineLevel="2" x14ac:dyDescent="0.2">
      <c r="B13" s="19" t="s">
        <v>39</v>
      </c>
      <c r="H13" s="436">
        <f>EDATE(Ts_Start_Date,Ts_Term*Ts_Mths_In_Yr)-1</f>
        <v>45291</v>
      </c>
      <c r="I13" s="436"/>
    </row>
    <row r="14" spans="1:9" hidden="1" outlineLevel="1" collapsed="1" x14ac:dyDescent="0.2">
      <c r="B14" s="19" t="s">
        <v>40</v>
      </c>
      <c r="H14" s="22" t="s">
        <v>41</v>
      </c>
      <c r="I14" s="20">
        <v>1</v>
      </c>
    </row>
    <row r="15" spans="1:9" hidden="1" outlineLevel="2" x14ac:dyDescent="0.2">
      <c r="B15" s="19" t="s">
        <v>42</v>
      </c>
      <c r="H15" s="437">
        <f>INDEX(LU_Ts_Denom_Conv,DD_Ts_Denom)</f>
        <v>1</v>
      </c>
      <c r="I15" s="437"/>
    </row>
    <row r="16" spans="1:9" collapsed="1" x14ac:dyDescent="0.2"/>
  </sheetData>
  <mergeCells count="7">
    <mergeCell ref="H11:I11"/>
    <mergeCell ref="H12:I12"/>
    <mergeCell ref="H13:I13"/>
    <mergeCell ref="H15:I15"/>
    <mergeCell ref="B3:F3"/>
    <mergeCell ref="H8:I8"/>
    <mergeCell ref="H10:I10"/>
  </mergeCells>
  <dataValidations count="4">
    <dataValidation type="whole" showErrorMessage="1" errorTitle="Drop Down Box Cell Link" error="The value in a drop down box cell link must be a whole number within the control's lookup range rows." sqref="H9" xr:uid="{00000000-0002-0000-0800-000000000000}">
      <formula1>1</formula1>
      <formula2>ROWS(LU_Ts_Mth_Names)</formula2>
    </dataValidation>
    <dataValidation type="whole" operator="greaterThanOrEqual" showErrorMessage="1" errorTitle="First Financial Year" error="The first financial year must be a whole number greater than or equal to 1904." sqref="H10:I10" xr:uid="{00000000-0002-0000-0800-000001000000}">
      <formula1>1904</formula1>
    </dataValidation>
    <dataValidation type="whole" operator="greaterThan" showErrorMessage="1" errorTitle="Term (Years)" error="The term must be a whole number of years greater than zero." sqref="H11:I11" xr:uid="{00000000-0002-0000-0800-000002000000}">
      <formula1>0</formula1>
    </dataValidation>
    <dataValidation type="whole" showErrorMessage="1" errorTitle="Drop Down Box Cell Link" error="The value in a drop down box cell link must be a whole number within the control's lookup range rows." sqref="I14" xr:uid="{00000000-0002-0000-0800-000003000000}">
      <formula1>1</formula1>
      <formula2>ROWS(LU_Ts_Denom)</formula2>
    </dataValidation>
  </dataValidations>
  <hyperlinks>
    <hyperlink ref="A4" r:id="rId1" tooltip="Go to Top of Sheet" xr:uid="{00000000-0004-0000-0800-000000000000}"/>
    <hyperlink ref="C4" location="HL_Sheet_Main_12" tooltip="Go to Next Sheet" display="è" xr:uid="{00000000-0004-0000-0800-000001000000}"/>
    <hyperlink ref="B4" location="HL_Sheet_Main_2" tooltip="Go to Previous Sheet" display="ç" xr:uid="{00000000-0004-0000-0800-000002000000}"/>
    <hyperlink ref="B3" location="HL_Home" tooltip="Go to Table of Contents" display="Go to Table of Contents" xr:uid="{00000000-0004-0000-0800-000003000000}"/>
    <hyperlink ref="D4" location="HL_Err_Chk" tooltip="Go to Error Checks" display="x" xr:uid="{00000000-0004-0000-0800-000004000000}"/>
    <hyperlink ref="E4" r:id="rId2" tooltip="Go to Sensitivity Checks" xr:uid="{00000000-0004-0000-0800-000005000000}"/>
    <hyperlink ref="F4" r:id="rId3" tooltip="Go to Alert Checks" xr:uid="{00000000-0004-0000-0800-000006000000}"/>
  </hyperlinks>
  <pageMargins left="0.4" right="0.4" top="0.6" bottom="1" header="0" footer="0.3"/>
  <pageSetup orientation="landscape" r:id="rId4"/>
  <headerFooter>
    <oddFooter>&amp;L&amp;F
&amp;A
Printed: &amp;T on &amp;D&amp;C&amp;",Bold"Sheet 1.a.
Page &amp;P of &amp;N</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049" r:id="rId7" name="bpmDropDownTs1">
              <controlPr defaultSize="0" autoLine="0" autoPict="0">
                <anchor moveWithCells="1" sizeWithCells="1">
                  <from>
                    <xdr:col>7</xdr:col>
                    <xdr:colOff>0</xdr:colOff>
                    <xdr:row>8</xdr:row>
                    <xdr:rowOff>0</xdr:rowOff>
                  </from>
                  <to>
                    <xdr:col>9</xdr:col>
                    <xdr:colOff>0</xdr:colOff>
                    <xdr:row>9</xdr:row>
                    <xdr:rowOff>0</xdr:rowOff>
                  </to>
                </anchor>
              </controlPr>
            </control>
          </mc:Choice>
        </mc:AlternateContent>
        <mc:AlternateContent xmlns:mc="http://schemas.openxmlformats.org/markup-compatibility/2006">
          <mc:Choice Requires="x14">
            <control shapeId="2050" r:id="rId8" name="bpmDropDownTs2">
              <controlPr defaultSize="0" autoLine="0" autoPict="0">
                <anchor moveWithCells="1" sizeWithCells="1">
                  <from>
                    <xdr:col>8</xdr:col>
                    <xdr:colOff>0</xdr:colOff>
                    <xdr:row>13</xdr:row>
                    <xdr:rowOff>0</xdr:rowOff>
                  </from>
                  <to>
                    <xdr:col>9</xdr:col>
                    <xdr:colOff>0</xdr:colOff>
                    <xdr:row>13</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e t t i n g s   x m l n s : x s d = " h t t p : / / w w w . w 3 . o r g / 2 0 0 1 / X M L S c h e m a "   x m l n s : x s i = " h t t p : / / w w w . w 3 . o r g / 2 0 0 1 / X M L S c h e m a - i n s t a n c e " >  
     < O p t i o n >  
         < O p t i o n T y p e > T o c I n c l u d e P r i n t e d P a g e N u m b e r s < / O p t i o n T y p e >  
         < U s e A p p l i c a t i o n S e t t i n g > t r u e < / U s e A p p l i c a t i o n S e t t i n g >  
         < V a l u e > t r u e < / V a l u e >  
     < / O p t i o n >  
     < O p t i o n >  
         < O p t i o n T y p e > T o c P r o m p t F o r P a g e N u m b e r s < / O p t i o n T y p e >  
         < U s e A p p l i c a t i o n S e t t i n g > t r u e < / U s e A p p l i c a t i o n S e t t i n g >  
         < V a l u e > t r u e < / V a l u e >  
     < / O p t i o n >  
     < O p t i o n >  
         < O p t i o n T y p e > T o c S h o w C u s t o m T o c E n t r i e s < / O p t i o n T y p e >  
         < U s e A p p l i c a t i o n S e t t i n g > t r u e < / U s e A p p l i c a t i o n S e t t i n g >  
         < V a l u e > f a l s e < / V a l u e >  
     < / O p t i o n >  
     < O p t i o n >  
         < O p t i o n T y p e > A u t o I n s e r t P r o j e c t S e c t i o n C o v e r s < / O p t i o n T y p e >  
         < U s e A p p l i c a t i o n S e t t i n g > t r u e < / U s e A p p l i c a t i o n S e t t i n g >  
         < V a l u e > t r u e < / V a l u e >  
     < / O p t i o n >  
     < O p t i o n >  
         < O p t i o n T y p e > A u t o I n s e r t P r o j e c t S u b S e c t i o n C o v e r s < / O p t i o n T y p e >  
         < U s e A p p l i c a t i o n S e t t i n g > t r u e < / U s e A p p l i c a t i o n S e t t i n g >  
         < V a l u e > t r u e < / V a l u e >  
     < / O p t i o n >  
     < O p t i o n >  
         < O p t i o n T y p e > A u t o I n s e r t M o d u l e S e c t i o n C o v e r s < / O p t i o n T y p e >  
         < U s e A p p l i c a t i o n S e t t i n g > t r u e < / U s e A p p l i c a t i o n S e t t i n g >  
         < V a l u e > t r u e < / V a l u e >  
     < / O p t i o n >  
     < O p t i o n >  
         < O p t i o n T y p e > A u t o I n s e r t M o d u l e S u b S e c t i o n C o v e r s < / O p t i o n T y p e >  
         < U s e A p p l i c a t i o n S e t t i n g > t r u e < / U s e A p p l i c a t i o n S e t t i n g >  
         < V a l u e > t r u e < / V a l u e >  
     < / O p t i o n >  
     < O p t i o n >  
         < O p t i o n T y p e > G r o u p L o o k u p s C o m p o n e n t s < / O p t i o n T y p e >  
         < U s e A p p l i c a t i o n S e t t i n g > t r u e < / U s e A p p l i c a t i o n S e t t i n g >  
         < V a l u e > t r u e < / V a l u e >  
     < / O p t i o n >  
     < O p t i o n >  
         < O p t i o n T y p e > S h e e t N a m e s B e s t P r a c t i c e S y n t a x < / O p t i o n T y p e >  
         < U s e A p p l i c a t i o n S e t t i n g > t r u e < / U s e A p p l i c a t i o n S e t t i n g >  
         < V a l u e > t r u e < / V a l u e >  
     < / O p t i o n >  
     < O p t i o n >  
         < O p t i o n T y p e > S h e e t N a m e s A u t o U n d e r s c o r e < / O p t i o n T y p e >  
         < U s e A p p l i c a t i o n S e t t i n g > f a l s e < / U s e A p p l i c a t i o n S e t t i n g >  
         < V a l u e > f a l s e < / V a l u e >  
     < / O p t i o n >  
     < O p t i o n >  
         < O p t i o n T y p e > G r o u p C o m p o n e n t R o w s < / O p t i o n T y p e >  
         < U s e A p p l i c a t i o n S e t t i n g > t r u e < / U s e A p p l i c a t i o n S e t t i n g >  
         < V a l u e > t r u e < / V a l u e >  
     < / O p t i o n >  
     < O p t i o n >  
         < O p t i o n T y p e > A d d C o m p o n e n t H y p e r l i n k s < / O p t i o n T y p e >  
         < U s e A p p l i c a t i o n S e t t i n g > t r u e < / U s e A p p l i c a t i o n S e t t i n g >  
         < V a l u e > t r u e < / V a l u e >  
     < / O p t i o n >  
     < O p t i o n >  
         < O p t i o n T y p e > D i s a b l e T h e m e C h a n g e P r o m p t < / O p t i o n T y p e >  
         < U s e A p p l i c a t i o n S e t t i n g > t r u e < / U s e A p p l i c a t i o n S e t t i n g >  
         < V a l u e > f a l s e < / V a l u e >  
     < / O p t i o n >  
     < I g n o r e C e l l C o n t e n t > f a l s e < / I g n o r e C e l l C o n t e n t >  
     < A u t o F o n t C o l o r S t y l e T y p e s > 0 , 1 , 2 , 5 , 6 , 7 , 8 , 9 , 1 0 , 1 1 , 1 2 , 1 3 , 1 4 , 1 5 , 1 6 , 1 7 , 1 8 , 1 9 , 2 0 , 2 1 , 2 3 , 2 4 , 2 5 , 3 3 < / A u t o F o n t C o l o r S t y l e T y p e s >  
     < B a s e S h e e t T y p e C o l o r >  
         < B a s e S h e e t T y p e > C o v e r < / B a s e S h e e t T y p e >  
         < I n t e r i o r C o l o r T y p e > N o n e O r A u t o m a t i c < / I n t e r i o r C o l o r T y p e >  
         < I n t e r i o r C o l o r N u m b e r > 0 < / I n t e r i o r C o l o r N u m b e r >  
         < I n t e r i o r C o l o r P a t c h R g b > 0 < / I n t e r i o r C o l o r P a t c h R g b >  
         < I n t e r i o r T i n t A n d S h a d e > 0 < / I n t e r i o r T i n t A n d S h a d e >  
         < T a b C o l o r T y p e > C u s t o m < / T a b C o l o r T y p e >  
         < T a b C o l o r N u m b e r > 1 9 2 < / T a b C o l o r N u m b e r >  
         < T a b C o l o r P a t c h R g b > 0 < / T a b C o l o r P a t c h R g b >  
         < T a b T i n t A n d S h a d e > 0 < / T a b T i n t A n d S h a d e >  
     < / B a s e S h e e t T y p e C o l o r >  
     < B a s e S h e e t T y p e C o l o r >  
         < B a s e S h e e t T y p e > C o n t e n t s < / B a s e S h e e t T y p e >  
         < I n t e r i o r C o l o r T y p e > N o n e O r A u t o m a t i c < / I n t e r i o r C o l o r T y p e >  
         < I n t e r i o r C o l o r N u m b e r > 0 < / I n t e r i o r C o l o r N u m b e r >  
         < I n t e r i o r C o l o r P a t c h R g b > 0 < / I n t e r i o r C o l o r P a t c h R g b >  
         < I n t e r i o r T i n t A n d S h a d e > 0 < / I n t e r i o r T i n t A n d S h a d e >  
         < T a b C o l o r T y p e > C u s t o m < / T a b C o l o r T y p e >  
         < T a b C o l o r N u m b e r > 1 9 2 < / T a b C o l o r N u m b e r >  
         < T a b C o l o r P a t c h R g b > 0 < / T a b C o l o r P a t c h R g b >  
         < T a b T i n t A n d S h a d e > 0 < / T a b T i n t A n d S h a d e >  
     < / B a s e S h e e t T y p e C o l o r >  
     < B a s e S h e e t T y p e C o l o r >  
         < B a s e S h e e t T y p e > S e c t i o n C o v e r < / B a s e S h e e t T y p e >  
         < I n t e r i o r C o l o r T y p e > N o n e O r A u t o m a t i c < / I n t e r i o r C o l o r T y p e >  
         < I n t e r i o r C o l o r N u m b e r > 0 < / I n t e r i o r C o l o r N u m b e r >  
         < I n t e r i o r C o l o r P a t c h R g b > 0 < / I n t e r i o r C o l o r P a t c h R g b >  
         < I n t e r i o r T i n t A n d S h a d e > 0 < / I n t e r i o r T i n t A n d S h a d e >  
         < T a b C o l o r T y p e > C u s t o m < / T a b C o l o r T y p e >  
         < T a b C o l o r N u m b e r > 1 9 2 < / T a b C o l o r N u m b e r >  
         < T a b C o l o r P a t c h R g b > 0 < / T a b C o l o r P a t c h R g b >  
         < T a b T i n t A n d S h a d e > 0 < / T a b T i n t A n d S h a d e >  
     < / B a s e S h e e t T y p e C o l o r >  
     < B a s e S h e e t T y p e C o l o r >  
         < B a s e S h e e t T y p e > S u b S e c t i o n C o v e r < / B a s e S h e e t T y p e >  
         < I n t e r i o r C o l o r T y p e > N o n e O r A u t o m a t i c < / I n t e r i o r C o l o r T y p e >  
         < I n t e r i o r C o l o r N u m b e r > 0 < / I n t e r i o r C o l o r N u m b e r >  
         < I n t e r i o r C o l o r P a t c h R g b > 0 < / I n t e r i o r C o l o r P a t c h R g b >  
         < I n t e r i o r T i n t A n d S h a d e > 0 < / I n t e r i o r T i n t A n d S h a d e >  
         < T a b C o l o r T y p e > C u s t o m < / T a b C o l o r T y p e >  
         < T a b C o l o r N u m b e r > 1 9 2 < / T a b C o l o r N u m b e r >  
         < T a b C o l o r P a t c h R g b > 0 < / T a b C o l o r P a t c h R g b >  
         < T a b T i n t A n d S h a d e > 0 < / T a b T i n t A n d S h a d e >  
     < / B a s e S h e e t T y p e C o l o r >  
     < B a s e S h e e t T y p e C o l o r >  
         < B a s e S h e e t T y p e > B l a n k A s s u m p t i o n s < / B a s e S h e e t T y p e >  
         < I n t e r i o r C o l o r T y p e > N o n e O r A u t o m a t i c < / I n t e r i o r C o l o r T y p e >  
         < I n t e r i o r C o l o r N u m b e r > 0 < / I n t e r i o r C o l o r N u m b e r >  
         < I n t e r i o r C o l o r P a t c h R g b > 0 < / I n t e r i o r C o l o r P a t c h R g b >  
         < I n t e r i o r T i n t A n d S h a d e > 0 < / I n t e r i o r T i n t A n d S h a d e >  
         < T a b C o l o r T y p e > T h e m e C o l o r < / T a b C o l o r T y p e >  
         < T a b C o l o r N u m b e r > 6 < / T a b C o l o r N u m b e r >  
         < T a b C o l o r P a t c h R g b > 0 < / T a b C o l o r P a t c h R g b >  
         < T a b T i n t A n d S h a d e > 0 < / T a b T i n t A n d S h a d e >  
     < / B a s e S h e e t T y p e C o l o r >  
     < B a s e S h e e t T y p e C o l o r >  
         < B a s e S h e e t T y p e > T i m e S e r i e s A s s u m p t i o n s < / B a s e S h e e t T y p e >  
         < I n t e r i o r C o l o r T y p e > N o n e O r A u t o m a t i c < / I n t e r i o r C o l o r T y p e >  
         < I n t e r i o r C o l o r N u m b e r > 0 < / I n t e r i o r C o l o r N u m b e r >  
         < I n t e r i o r C o l o r P a t c h R g b > 0 < / I n t e r i o r C o l o r P a t c h R g b >  
         < I n t e r i o r T i n t A n d S h a d e > 0 < / I n t e r i o r T i n t A n d S h a d e >  
         < T a b C o l o r T y p e > T h e m e C o l o r < / T a b C o l o r T y p e >  
         < T a b C o l o r N u m b e r > 6 < / T a b C o l o r N u m b e r >  
         < T a b C o l o r P a t c h R g b > 0 < / T a b C o l o r P a t c h R g b >  
         < T a b T i n t A n d S h a d e > 0 < / T a b T i n t A n d S h a d e >  
     < / B a s e S h e e t T y p e C o l o r >  
     < B a s e S h e e t T y p e C o l o r >  
         < B a s e S h e e t T y p e > B l a n k O u t p u t s < / B a s e S h e e t T y p e >  
         < I n t e r i o r C o l o r T y p e > N o n e O r A u t o m a t i c < / I n t e r i o r C o l o r T y p e >  
         < I n t e r i o r C o l o r N u m b e r > 0 < / I n t e r i o r C o l o r N u m b e r >  
         < I n t e r i o r C o l o r P a t c h R g b > 0 < / I n t e r i o r C o l o r P a t c h R g b >  
         < I n t e r i o r T i n t A n d S h a d e > 0 < / I n t e r i o r T i n t A n d S h a d e >  
         < T a b C o l o r T y p e > T h e m e C o l o r < / T a b C o l o r T y p e >  
         < T a b C o l o r N u m b e r > 5 < / T a b C o l o r N u m b e r >  
         < T a b C o l o r P a t c h R g b > 0 < / T a b C o l o r P a t c h R g b >  
         < T a b T i n t A n d S h a d e > 0 < / T a b T i n t A n d S h a d e >  
     < / B a s e S h e e t T y p e C o l o r >  
     < B a s e S h e e t T y p e C o l o r >  
         < B a s e S h e e t T y p e > T i m e S e r i e s O u t p u t s < / B a s e S h e e t T y p e >  
         < I n t e r i o r C o l o r T y p e > N o n e O r A u t o m a t i c < / I n t e r i o r C o l o r T y p e >  
         < I n t e r i o r C o l o r N u m b e r > 0 < / I n t e r i o r C o l o r N u m b e r >  
         < I n t e r i o r C o l o r P a t c h R g b > 0 < / I n t e r i o r C o l o r P a t c h R g b >  
         < I n t e r i o r T i n t A n d S h a d e > 0 < / I n t e r i o r T i n t A n d S h a d e >  
         < T a b C o l o r T y p e > T h e m e C o l o r < / T a b C o l o r T y p e >  
         < T a b C o l o r N u m b e r > 5 < / T a b C o l o r N u m b e r >  
         < T a b C o l o r P a t c h R g b > 0 < / T a b C o l o r P a t c h R g b >  
         < T a b T i n t A n d S h a d e > 0 < / T a b T i n t A n d S h a d e >  
     < / B a s e S h e e t T y p e C o l o r >  
     < B a s e S h e e t T y p e C o l o r >  
         < B a s e S h e e t T y p e > L o o k u p s < / B a s e S h e e t T y p e >  
         < I n t e r i o r C o l o r T y p e > N o n e O r A u t o m a t i c < / I n t e r i o r C o l o r T y p e >  
         < I n t e r i o r C o l o r N u m b e r > 0 < / I n t e r i o r C o l o r N u m b e r >  
         < I n t e r i o r C o l o r P a t c h R g b > 0 < / I n t e r i o r C o l o r P a t c h R g b >  
         < I n t e r i o r T i n t A n d S h a d e > 0 < / I n t e r i o r T i n t A n d S h a d e >  
         < T a b C o l o r T y p e > C u s t o m < / T a b C o l o r T y p e >  
         < T a b C o l o r N u m b e r > 1 0 4 9 8 1 6 0 < / T a b C o l o r N u m b e r >  
         < T a b C o l o r P a t c h R g b > 0 < / T a b C o l o r P a t c h R g b >  
         < T a b T i n t A n d S h a d e > 0 < / T a b T i n t A n d S h a d e >  
     < / B a s e S h e e t T y p e C o l o r >  
     < B a s e S h e e t T y p e C o l o r >  
         < B a s e S h e e t T y p e > S c h e m a t i c s < / B a s e S h e e t T y p e >  
         < I n t e r i o r C o l o r T y p e > N o n e O r A u t o m a t i c < / I n t e r i o r C o l o r T y p e >  
         < I n t e r i o r C o l o r N u m b e r > 0 < / I n t e r i o r C o l o r N u m b e r >  
         < I n t e r i o r C o l o r P a t c h R g b > 0 < / I n t e r i o r C o l o r P a t c h R g b >  
         < I n t e r i o r T i n t A n d S h a d e > 0 < / I n t e r i o r T i n t A n d S h a d e >  
         < T a b C o l o r T y p e > T h e m e C o l o r < / T a b C o l o r T y p e >  
         < T a b C o l o r N u m b e r > 5 < / T a b C o l o r N u m b e r >  
         < T a b C o l o r P a t c h R g b > 0 < / T a b C o l o r P a t c h R g b >  
         < T a b T i n t A n d S h a d e > 0 < / T a b T i n t A n d S h a d e >  
     < / B a s e S h e e t T y p e C o l o r >  
     < B a s e S h e e t T y p e C o l o r >  
         < B a s e S h e e t T y p e > C h a r t < / B a s e S h e e t T y p e >  
         < I n t e r i o r C o l o r T y p e > N o n e O r A u t o m a t i c < / I n t e r i o r C o l o r T y p e >  
         < I n t e r i o r C o l o r N u m b e r > 0 < / I n t e r i o r C o l o r N u m b e r >  
         < I n t e r i o r C o l o r P a t c h R g b > 0 < / I n t e r i o r C o l o r P a t c h R g b >  
         < I n t e r i o r T i n t A n d S h a d e > 0 < / I n t e r i o r T i n t A n d S h a d e >  
         < T a b C o l o r T y p e > T h e m e C o l o r < / T a b C o l o r T y p e >  
         < T a b C o l o r N u m b e r > 5 < / T a b C o l o r N u m b e r >  
         < T a b C o l o r P a t c h R g b > 0 < / T a b C o l o r P a t c h R g b >  
         < T a b T i n t A n d S h a d e > 0 < / T a b T i n t A n d S h a d e >  
     < / B a s e S h e e t T y p e C o l o r >  
     < B a s e S h e e t T y p e C o l o r >  
         < B a s e S h e e t T y p e > O v e r v i e w < / B a s e S h e e t T y p e >  
         < I n t e r i o r C o l o r T y p e > N o n e O r A u t o m a t i c < / I n t e r i o r C o l o r T y p e >  
         < I n t e r i o r C o l o r N u m b e r > 0 < / I n t e r i o r C o l o r N u m b e r >  
         < I n t e r i o r C o l o r P a t c h R g b > 0 < / I n t e r i o r C o l o r P a t c h R g b >  
         < I n t e r i o r T i n t A n d S h a d e > 0 < / I n t e r i o r T i n t A n d S h a d e >  
         < T a b C o l o r T y p e > C u s t o m < / T a b C o l o r T y p e >  
         < T a b C o l o r N u m b e r > 1 9 2 < / T a b C o l o r N u m b e r >  
         < T a b C o l o r P a t c h R g b > 0 < / T a b C o l o r P a t c h R g b >  
         < T a b T i n t A n d S h a d e > 0 < / T a b T i n t A n d S h a d e >  
     < / B a s e S h e e t T y p e C o l o r >  
     < R e q u i r e d C o l o r >  
         < R e q u i r e d C o l o r T y p e > C o n s t a n t < / R e q u i r e d C o l o r T y p e >  
         < C o l o r T y p e > T h e m e C o l o r P a t c h < / C o l o r T y p e >  
         < C o l o r N u m b e r > 5 < / C o l o r N u m b e r >  
         < C o l o r P a t c h R g b > 6 5 6 7 7 1 2 < / C o l o r P a t c h R g b >  
         < T i n t A n d S h a d e > - 0 . 4 9 9 9 8 4 7 < / T i n t A n d S h a d e >  
     < / R e q u i r e d C o l o r >  
     < R e q u i r e d C o l o r >  
         < R e q u i r e d C o l o r T y p e > F o r m u l a < / R e q u i r e d C o l o r T y p e >  
         < C o l o r T y p e > T h e m e C o l o r P a t c h < / C o l o r T y p e >  
         < C o l o r N u m b e r > 2 < / C o l o r N u m b e r >  
         < C o l o r P a t c h R g b > 4 2 1 0 7 5 2 < / C o l o r P a t c h R g b >  
         < T i n t A n d S h a d e > 0 . 2 4 9 9 7 7 1 < / T i n t A n d S h a d e >  
     < / R e q u i r e d C o l o r >  
     < R e q u i r e d C o l o r >  
         < R e q u i r e d C o l o r T y p e > M i x e d C e l l < / R e q u i r e d C o l o r T y p e >  
         < C o l o r T y p e > T h e m e C o l o r P a t c h < / C o l o r T y p e >  
         < C o l o r N u m b e r > 1 0 < / C o l o r N u m b e r >  
         < C o l o r P a t c h R g b > 2 3 1 5 8 3 1 < / C o l o r P a t c h R g b >  
         < T i n t A n d S h a d e > - 0 . 4 9 9 9 8 4 7 < / T i n t A n d S h a d e >  
     < / R e q u i r e d C o l o r >  
     < R e q u i r e d C o l o r >  
         < R e q u i r e d C o l o r T y p e > C h e c k < / R e q u i r e d C o l o r T y p e >  
         < C o l o r T y p e > C o l o r I n d e x < / C o l o r T y p e >  
         < C o l o r N u m b e r > 5 1 < / C o l o r N u m b e r >  
         < C o l o r P a t c h R g b > 4 2 0 4 7 4 7 < / C o l o r P a t c h R g b >  
         < T i n t A n d S h a d e > 0 < / T i n t A n d S h a d e >  
     < / R e q u i r e d C o l o r >  
     < R e q u i r e d C o l o r >  
         < R e q u i r e d C o l o r T y p e > H y p e r l i n k < / R e q u i r e d C o l o r T y p e >  
         < C o l o r T y p e > T h e m e C o l o r P a t c h < / C o l o r T y p e >  
         < C o l o r N u m b e r > 1 2 < / C o l o r N u m b e r >  
         < C o l o r P a t c h R g b > 7 4 9 1 4 7 7 < / C o l o r P a t c h R g b >  
         < T i n t A n d S h a d e > 0 < / T i n t A n d S h a d e >  
     < / R e q u i r e d C o l o r >  
     < R e q u i r e d C o l o r >  
         < R e q u i r e d C o l o r T y p e > W o r k I n P r o g r e s s < / R e q u i r e d C o l o r T y p e >  
         < C o l o r T y p e > C o l o r I n d e x < / C o l o r T y p e >  
         < C o l o r N u m b e r > 5 5 < / C o l o r N u m b e r >  
         < C o l o r P a t c h R g b > 7 9 2 9 8 5 5 < / C o l o r P a t c h R g b >  
         < T i n t A n d S h a d e > 0 < / T i n t A n d S h a d e >  
     < / R e q u i r e d C o l o r >  
     < R e q u i r e d C o l o r >  
         < R e q u i r e d C o l o r T y p e > C o l o r A < / R e q u i r e d C o l o r T y p e >  
         < C o l o r T y p e > C o l o r I n d e x < / C o l o r T y p e >  
         < C o l o r N u m b e r > 1 1 < / C o l o r N u m b e r >  
         < C o l o r P a t c h R g b > 1 5 1 3 2 3 9 0 < / C o l o r P a t c h R g b >  
         < T i n t A n d S h a d e > 0 < / T i n t A n d S h a d e >  
     < / R e q u i r e d C o l o r >  
     < R e q u i r e d C o l o r >  
         < R e q u i r e d C o l o r T y p e > C o l o r B < / R e q u i r e d C o l o r T y p e >  
         < C o l o r T y p e > C o l o r I n d e x < / C o l o r T y p e >  
         < C o l o r N u m b e r > 5 6 < / C o l o r N u m b e r >  
         < C o l o r P a t c h R g b > 1 6 7 7 7 2 1 5 < / C o l o r P a t c h R g b >  
         < T i n t A n d S h a d e > 0 < / T i n t A n d S h a d e >  
     < / R e q u i r e d C o l o r >  
     < S h e e t T i t l e R o w >  
         < T y p e > S h e e t T i t l e < / T y p e >  
         < I n c l u d e > t r u e < / I n c l u d e >  
         < S e t t i n g > V i s i b l e < / S e t t i n g >  
         < C o l u m n N u m b e r > 2 < / C o l u m n N u m b e r >  
     < / S h e e t T i t l e R o w >  
     < S h e e t T i t l e R o w >  
         < T y p e > M o d e l N a m e < / T y p e >  
         < I n c l u d e > t r u e < / I n c l u d e >  
         < S e t t i n g > V i s i b l e < / S e t t i n g >  
         < C o l u m n N u m b e r > 2 < / C o l u m n N u m b e r >  
     < / S h e e t T i t l e R o w >  
     < S h e e t T i t l e R o w >  
         < T y p e > T o c H y p e r l i n k < / T y p e >  
         < I n c l u d e > t r u e < / I n c l u d e >  
         < S e t t i n g > V i s i b l e < / S e t t i n g >  
         < C o l u m n N u m b e r > 2 < / C o l u m n N u m b e r >  
     < / S h e e t T i t l e R o w >  
     < S h e e t T i t l e R o w >  
         < T y p e > N a v i g a t i o n H y p e r l i n k s < / T y p e >  
         < I n c l u d e > t r u e < / I n c l u d e >  
         < S e t t i n g > V i s i b l e < / S e t t i n g >  
         < C o l u m n N u m b e r > 1 < / C o l u m n N u m b e r >  
     < / S h e e t T i t l e R o w >  
     < I s s u e s R e g i s t e r S o r t B y > + N o n e < / I s s u e s R e g i s t e r S o r t B y >  
     < I s s u e s R e g i s t e r C o l o r >  
         < T y p e > H e a d e r F o n t < / T y p e >  
         < C o l o r T y p e > C u s t o m < / C o l o r T y p e >  
         < C o l o r N u m b e r > 1 6 7 7 7 2 1 5 < / C o l o r N u m b e r >  
         < C o l o r P a t c h R g b > 0 < / C o l o r P a t c h R g b >  
         < T i n t A n d S h a d e > 0 < / T i n t A n d S h a d e >  
     < / I s s u e s R e g i s t e r C o l o r >  
     < I s s u e s R e g i s t e r C o l o r >  
         < T y p e > H e a d e r F i l l < / T y p e >  
         < C o l o r T y p e > T h e m e C o l o r < / C o l o r T y p e >  
         < C o l o r N u m b e r > 5 < / C o l o r N u m b e r >  
         < C o l o r P a t c h R g b > 0 < / C o l o r P a t c h R g b >  
         < T i n t A n d S h a d e > 0 < / T i n t A n d S h a d e >  
     < / I s s u e s R e g i s t e r C o l o r >  
     < I s s u e s R e g i s t e r C o l o r >  
         < T y p e > O p e n I s s u e s F o n t < / T y p e >  
         < C o l o r T y p e > N o n e O r A u t o m a t i c < / C o l o r T y p e >  
         < C o l o r N u m b e r > 0 < / C o l o r N u m b e r >  
         < C o l o r P a t c h R g b > 0 < / C o l o r P a t c h R g b >  
         < T i n t A n d S h a d e > 0 < / T i n t A n d S h a d e >  
     < / I s s u e s R e g i s t e r C o l o r >  
     < I s s u e s R e g i s t e r C o l o r >  
         < T y p e > O p e n I s s u e s F i l l < / T y p e >  
         < C o l o r T y p e > N o n e O r A u t o m a t i c < / C o l o r T y p e >  
         < C o l o r N u m b e r > 0 < / C o l o r N u m b e r >  
         < C o l o r P a t c h R g b > 0 < / C o l o r P a t c h R g b >  
         < T i n t A n d S h a d e > 0 < / T i n t A n d S h a d e >  
     < / I s s u e s R e g i s t e r C o l o r >  
     < I s s u e s R e g i s t e r C o l o r >  
         < T y p e > C l o s e d I s s u e s F o n t < / T y p e >  
         < C o l o r T y p e > C u s t o m < / C o l o r T y p e >  
         < C o l o r N u m b e r > 6 7 1 0 8 8 6 < / C o l o r N u m b e r >  
         < C o l o r P a t c h R g b > 0 < / C o l o r P a t c h R g b >  
         < T i n t A n d S h a d e > 0 < / T i n t A n d S h a d e >  
     < / I s s u e s R e g i s t e r C o l o r >  
     < I s s u e s R e g i s t e r C o l o r >  
         < T y p e > C l o s e d I s s u e s F i l l < / T y p e >  
         < C o l o r T y p e > C u s t o m < / C o l o r T y p e >  
         < C o l o r N u m b e r > 1 5 5 9 2 9 4 1 < / C o l o r N u m b e r >  
         < C o l o r P a t c h R g b > 0 < / C o l o r P a t c h R g b >  
         < T i n t A n d S h a d e > 0 < / T i n t A n d S h a d e >  
     < / I s s u e s R e g i s t e r C o l o r >  
     < I s s u e s R e g i s t e r C o l o r >  
         < T y p e > R e d u n d a n t I s s u e s F o n t < / T y p e >  
         < C o l o r T y p e > C u s t o m < / C o l o r T y p e >  
         < C o l o r N u m b e r > 1 6 7 7 7 2 1 5 < / C o l o r N u m b e r >  
         < C o l o r P a t c h R g b > 0 < / C o l o r P a t c h R g b >  
         < T i n t A n d S h a d e > 0 < / T i n t A n d S h a d e >  
     < / I s s u e s R e g i s t e r C o l o r >  
     < I s s u e s R e g i s t e r C o l o r >  
         < T y p e > R e d u n d a n t I s s u e s F i l l < / T y p e >  
         < C o l o r T y p e > C u s t o m < / C o l o r T y p e >  
         < C o l o r N u m b e r > 4 2 0 4 7 4 7 < / C o l o r N u m b e r >  
         < C o l o r P a t c h R g b > 0 < / C o l o r P a t c h R g b >  
         < T i n t A n d S h a d e > 0 < / T i n t A n d S h a d e >  
     < / I s s u e s R e g i s t e r C o l o r >  
     < I s s u e s R e g i s t e r C o l o r >  
         < T y p e > I s s u e s B o r d e r < / T y p e >  
         < C o l o r T y p e > C u s t o m < / C o l o r T y p e >  
         < C o l o r N u m b e r > 1 3 2 2 4 3 9 3 < / C o l o r N u m b e r >  
         < C o l o r P a t c h R g b > 0 < / C o l o r P a t c h R g b >  
         < T i n t A n d S h a d e > 0 < / T i n t A n d S h a d e >  
     < / I s s u e s R e g i s t e r C o l o r >  
 < / W o r k b o o k S e t t i n g s > 
</file>

<file path=customXml/item2.xml><?xml version="1.0" encoding="utf-8"?>
<ct:contentTypeSchema xmlns:ct="http://schemas.microsoft.com/office/2006/metadata/contentType" xmlns:ma="http://schemas.microsoft.com/office/2006/metadata/properties/metaAttributes" ct:_="" ma:_="" ma:contentTypeName="Document" ma:contentTypeID="0x010100C80120BB52425E49A195B2D3C3742326" ma:contentTypeVersion="13" ma:contentTypeDescription="Create a new document." ma:contentTypeScope="" ma:versionID="fa3a7c4da97c8d9f68a669a6c00a70f1">
  <xsd:schema xmlns:xsd="http://www.w3.org/2001/XMLSchema" xmlns:xs="http://www.w3.org/2001/XMLSchema" xmlns:p="http://schemas.microsoft.com/office/2006/metadata/properties" xmlns:ns3="ddbf8a86-7c21-423a-a8d9-83e0f4224b47" xmlns:ns4="7bc50a49-d060-405e-a5af-66fde9efbc65" targetNamespace="http://schemas.microsoft.com/office/2006/metadata/properties" ma:root="true" ma:fieldsID="902892c8578a63062d35260d035b2411" ns3:_="" ns4:_="">
    <xsd:import namespace="ddbf8a86-7c21-423a-a8d9-83e0f4224b47"/>
    <xsd:import namespace="7bc50a49-d060-405e-a5af-66fde9efbc6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Location"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bf8a86-7c21-423a-a8d9-83e0f4224b47"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bc50a49-d060-405e-a5af-66fde9efbc65"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FE4ED08-BC3F-46B2-8910-B99DAFD06C1E}">
  <ds:schemaRefs>
    <ds:schemaRef ds:uri="http://www.w3.org/2001/XMLSchema"/>
  </ds:schemaRefs>
</ds:datastoreItem>
</file>

<file path=customXml/itemProps2.xml><?xml version="1.0" encoding="utf-8"?>
<ds:datastoreItem xmlns:ds="http://schemas.openxmlformats.org/officeDocument/2006/customXml" ds:itemID="{37471578-9E5A-48D2-9D24-B7A3E3C286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bf8a86-7c21-423a-a8d9-83e0f4224b47"/>
    <ds:schemaRef ds:uri="7bc50a49-d060-405e-a5af-66fde9efbc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6B0FD-7507-45C8-9D48-320738A47F7F}">
  <ds:schemaRefs>
    <ds:schemaRef ds:uri="http://schemas.microsoft.com/sharepoint/v3/contenttype/forms"/>
  </ds:schemaRefs>
</ds:datastoreItem>
</file>

<file path=customXml/itemProps4.xml><?xml version="1.0" encoding="utf-8"?>
<ds:datastoreItem xmlns:ds="http://schemas.openxmlformats.org/officeDocument/2006/customXml" ds:itemID="{F2CF67CC-336D-4ED4-90C5-8A9738C74CCC}">
  <ds:schemaRefs>
    <ds:schemaRef ds:uri="7bc50a49-d060-405e-a5af-66fde9efbc6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dbf8a86-7c21-423a-a8d9-83e0f4224b47"/>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41</vt:i4>
      </vt:variant>
      <vt:variant>
        <vt:lpstr>Named Ranges</vt:lpstr>
      </vt:variant>
      <vt:variant>
        <vt:i4>210</vt:i4>
      </vt:variant>
    </vt:vector>
  </HeadingPairs>
  <TitlesOfParts>
    <vt:vector size="251" baseType="lpstr">
      <vt:lpstr>Portada</vt:lpstr>
      <vt:lpstr>Índice</vt:lpstr>
      <vt:lpstr>Presentaciones</vt:lpstr>
      <vt:lpstr>Acerca de</vt:lpstr>
      <vt:lpstr>Tablero</vt:lpstr>
      <vt:lpstr>Data</vt:lpstr>
      <vt:lpstr>Charts</vt:lpstr>
      <vt:lpstr>Suposiciones</vt:lpstr>
      <vt:lpstr>Time_Series</vt:lpstr>
      <vt:lpstr>Basic_Setup</vt:lpstr>
      <vt:lpstr>Financial Req</vt:lpstr>
      <vt:lpstr>Government1</vt:lpstr>
      <vt:lpstr>Government2</vt:lpstr>
      <vt:lpstr>Government3</vt:lpstr>
      <vt:lpstr>Government4</vt:lpstr>
      <vt:lpstr>Government5</vt:lpstr>
      <vt:lpstr>Government6</vt:lpstr>
      <vt:lpstr>Government7</vt:lpstr>
      <vt:lpstr>Government8</vt:lpstr>
      <vt:lpstr>Government9</vt:lpstr>
      <vt:lpstr>Government10</vt:lpstr>
      <vt:lpstr>Partner1</vt:lpstr>
      <vt:lpstr>Partner2</vt:lpstr>
      <vt:lpstr>Partner3</vt:lpstr>
      <vt:lpstr>Partner4</vt:lpstr>
      <vt:lpstr>Partner5</vt:lpstr>
      <vt:lpstr>Partner6</vt:lpstr>
      <vt:lpstr>Partner7</vt:lpstr>
      <vt:lpstr>Partner8</vt:lpstr>
      <vt:lpstr>Partner9</vt:lpstr>
      <vt:lpstr>Partner10</vt:lpstr>
      <vt:lpstr>Outputs</vt:lpstr>
      <vt:lpstr>Summary_Govt_Contributions</vt:lpstr>
      <vt:lpstr>Summary_Partner_Contributions</vt:lpstr>
      <vt:lpstr>Summary_Available_Funds</vt:lpstr>
      <vt:lpstr>Summary_Financial_Gaps</vt:lpstr>
      <vt:lpstr>Financial_Gap_Details</vt:lpstr>
      <vt:lpstr>Lu_Ssc</vt:lpstr>
      <vt:lpstr>Ts_Lu</vt:lpstr>
      <vt:lpstr>Chks_Ssc</vt:lpstr>
      <vt:lpstr>Variables_Lu</vt:lpstr>
      <vt:lpstr>charts</vt:lpstr>
      <vt:lpstr>Country</vt:lpstr>
      <vt:lpstr>CURR_INT_ABBR</vt:lpstr>
      <vt:lpstr>CURR_INT_NAME</vt:lpstr>
      <vt:lpstr>CURR_LCU_ABBR</vt:lpstr>
      <vt:lpstr>CURR_LCU_NAME</vt:lpstr>
      <vt:lpstr>DD_Ts_Denom</vt:lpstr>
      <vt:lpstr>DD_Ts_Fin_Yr_End_Mth</vt:lpstr>
      <vt:lpstr>EXCHANGE_RATE</vt:lpstr>
      <vt:lpstr>Government1</vt:lpstr>
      <vt:lpstr>Government10</vt:lpstr>
      <vt:lpstr>Government2</vt:lpstr>
      <vt:lpstr>Government3</vt:lpstr>
      <vt:lpstr>Government4</vt:lpstr>
      <vt:lpstr>Government5</vt:lpstr>
      <vt:lpstr>Government6</vt:lpstr>
      <vt:lpstr>Government7</vt:lpstr>
      <vt:lpstr>Government8</vt:lpstr>
      <vt:lpstr>Government9</vt:lpstr>
      <vt:lpstr>HL_Home</vt:lpstr>
      <vt:lpstr>HL_Mod_Ass</vt:lpstr>
      <vt:lpstr>HL_Mod_Out</vt:lpstr>
      <vt:lpstr>HL_Mod_Out_A</vt:lpstr>
      <vt:lpstr>HL_Mod_Out_Sum</vt:lpstr>
      <vt:lpstr>HL_Mod_Out_Sum_A</vt:lpstr>
      <vt:lpstr>HL_TOC_10</vt:lpstr>
      <vt:lpstr>HL_TOC_11</vt:lpstr>
      <vt:lpstr>HL_TOC_12</vt:lpstr>
      <vt:lpstr>HL_TOC_13</vt:lpstr>
      <vt:lpstr>HL_TOC_15</vt:lpstr>
      <vt:lpstr>HL_TOC_7</vt:lpstr>
      <vt:lpstr>HL_TOC_8</vt:lpstr>
      <vt:lpstr>HL_TOC_9</vt:lpstr>
      <vt:lpstr>Lu_Governance</vt:lpstr>
      <vt:lpstr>Lu_Nutrition_Result_Type</vt:lpstr>
      <vt:lpstr>Lu_Nutrition_Sensitive</vt:lpstr>
      <vt:lpstr>Lu_Nutrition_Specific</vt:lpstr>
      <vt:lpstr>LU_Ts_Denom</vt:lpstr>
      <vt:lpstr>LU_Ts_Denom_Conv</vt:lpstr>
      <vt:lpstr>LU_Ts_Mth_Days</vt:lpstr>
      <vt:lpstr>LU_Ts_Mth_Names</vt:lpstr>
      <vt:lpstr>Model_Name</vt:lpstr>
      <vt:lpstr>Partner1</vt:lpstr>
      <vt:lpstr>Partner10</vt:lpstr>
      <vt:lpstr>Partner2</vt:lpstr>
      <vt:lpstr>Partner3</vt:lpstr>
      <vt:lpstr>Partner4</vt:lpstr>
      <vt:lpstr>Partner5</vt:lpstr>
      <vt:lpstr>Partner6</vt:lpstr>
      <vt:lpstr>Partner7</vt:lpstr>
      <vt:lpstr>Partner8</vt:lpstr>
      <vt:lpstr>Partner9</vt:lpstr>
      <vt:lpstr>'Acerca de'!Print_Area</vt:lpstr>
      <vt:lpstr>Basic_Setup!Print_Area</vt:lpstr>
      <vt:lpstr>Chks_Ssc!Print_Area</vt:lpstr>
      <vt:lpstr>'Financial Req'!Print_Area</vt:lpstr>
      <vt:lpstr>Financial_Gap_Details!Print_Area</vt:lpstr>
      <vt:lpstr>Government1!Print_Area</vt:lpstr>
      <vt:lpstr>Government10!Print_Area</vt:lpstr>
      <vt:lpstr>Government2!Print_Area</vt:lpstr>
      <vt:lpstr>Government3!Print_Area</vt:lpstr>
      <vt:lpstr>Government4!Print_Area</vt:lpstr>
      <vt:lpstr>Government5!Print_Area</vt:lpstr>
      <vt:lpstr>Government6!Print_Area</vt:lpstr>
      <vt:lpstr>Government7!Print_Area</vt:lpstr>
      <vt:lpstr>Government8!Print_Area</vt:lpstr>
      <vt:lpstr>Government9!Print_Area</vt:lpstr>
      <vt:lpstr>Índice!Print_Area</vt:lpstr>
      <vt:lpstr>Lu_Ssc!Print_Area</vt:lpstr>
      <vt:lpstr>Outputs!Print_Area</vt:lpstr>
      <vt:lpstr>Partner1!Print_Area</vt:lpstr>
      <vt:lpstr>Partner10!Print_Area</vt:lpstr>
      <vt:lpstr>Partner2!Print_Area</vt:lpstr>
      <vt:lpstr>Partner3!Print_Area</vt:lpstr>
      <vt:lpstr>Partner4!Print_Area</vt:lpstr>
      <vt:lpstr>Partner5!Print_Area</vt:lpstr>
      <vt:lpstr>Partner6!Print_Area</vt:lpstr>
      <vt:lpstr>Partner7!Print_Area</vt:lpstr>
      <vt:lpstr>Partner8!Print_Area</vt:lpstr>
      <vt:lpstr>Partner9!Print_Area</vt:lpstr>
      <vt:lpstr>Portada!Print_Area</vt:lpstr>
      <vt:lpstr>Presentaciones!Print_Area</vt:lpstr>
      <vt:lpstr>Summary_Available_Funds!Print_Area</vt:lpstr>
      <vt:lpstr>Summary_Financial_Gaps!Print_Area</vt:lpstr>
      <vt:lpstr>Summary_Govt_Contributions!Print_Area</vt:lpstr>
      <vt:lpstr>Summary_Partner_Contributions!Print_Area</vt:lpstr>
      <vt:lpstr>Suposiciones!Print_Area</vt:lpstr>
      <vt:lpstr>Time_Series!Print_Area</vt:lpstr>
      <vt:lpstr>Ts_Lu!Print_Area</vt:lpstr>
      <vt:lpstr>Variables_Lu!Print_Area</vt:lpstr>
      <vt:lpstr>'Acerca de'!Print_Titles</vt:lpstr>
      <vt:lpstr>Basic_Setup!Print_Titles</vt:lpstr>
      <vt:lpstr>'Financial Req'!Print_Titles</vt:lpstr>
      <vt:lpstr>Financial_Gap_Details!Print_Titles</vt:lpstr>
      <vt:lpstr>Government1!Print_Titles</vt:lpstr>
      <vt:lpstr>Government10!Print_Titles</vt:lpstr>
      <vt:lpstr>Government2!Print_Titles</vt:lpstr>
      <vt:lpstr>Government3!Print_Titles</vt:lpstr>
      <vt:lpstr>Government4!Print_Titles</vt:lpstr>
      <vt:lpstr>Government5!Print_Titles</vt:lpstr>
      <vt:lpstr>Government6!Print_Titles</vt:lpstr>
      <vt:lpstr>Government7!Print_Titles</vt:lpstr>
      <vt:lpstr>Government8!Print_Titles</vt:lpstr>
      <vt:lpstr>Government9!Print_Titles</vt:lpstr>
      <vt:lpstr>Índice!Print_Titles</vt:lpstr>
      <vt:lpstr>Partner1!Print_Titles</vt:lpstr>
      <vt:lpstr>Partner10!Print_Titles</vt:lpstr>
      <vt:lpstr>Partner2!Print_Titles</vt:lpstr>
      <vt:lpstr>Partner3!Print_Titles</vt:lpstr>
      <vt:lpstr>Partner4!Print_Titles</vt:lpstr>
      <vt:lpstr>Partner5!Print_Titles</vt:lpstr>
      <vt:lpstr>Partner6!Print_Titles</vt:lpstr>
      <vt:lpstr>Partner7!Print_Titles</vt:lpstr>
      <vt:lpstr>Partner8!Print_Titles</vt:lpstr>
      <vt:lpstr>Partner9!Print_Titles</vt:lpstr>
      <vt:lpstr>Summary_Available_Funds!Print_Titles</vt:lpstr>
      <vt:lpstr>Summary_Financial_Gaps!Print_Titles</vt:lpstr>
      <vt:lpstr>Summary_Govt_Contributions!Print_Titles</vt:lpstr>
      <vt:lpstr>Summary_Partner_Contributions!Print_Titles</vt:lpstr>
      <vt:lpstr>Time_Series!Print_Titles</vt:lpstr>
      <vt:lpstr>Ts_Lu!Print_Titles</vt:lpstr>
      <vt:lpstr>STRAT1_IND1</vt:lpstr>
      <vt:lpstr>STRAT1_IND2</vt:lpstr>
      <vt:lpstr>STRAT1_IND3</vt:lpstr>
      <vt:lpstr>STRAT1_IND4</vt:lpstr>
      <vt:lpstr>STRAT1_IND5</vt:lpstr>
      <vt:lpstr>STRAT10_IND1</vt:lpstr>
      <vt:lpstr>STRAT10_IND2</vt:lpstr>
      <vt:lpstr>STRAT10_IND3</vt:lpstr>
      <vt:lpstr>STRAT10_IND4</vt:lpstr>
      <vt:lpstr>STRAT10_IND5</vt:lpstr>
      <vt:lpstr>STRAT2_IND1</vt:lpstr>
      <vt:lpstr>STRAT2_IND2</vt:lpstr>
      <vt:lpstr>STRAT2_IND3</vt:lpstr>
      <vt:lpstr>STRAT2_IND4</vt:lpstr>
      <vt:lpstr>STRAT2_IND5</vt:lpstr>
      <vt:lpstr>STRAT3_IND1</vt:lpstr>
      <vt:lpstr>STRAT3_IND2</vt:lpstr>
      <vt:lpstr>STRAT3_IND3</vt:lpstr>
      <vt:lpstr>STRAT3_IND4</vt:lpstr>
      <vt:lpstr>STRAT3_IND5</vt:lpstr>
      <vt:lpstr>STRAT4_IND1</vt:lpstr>
      <vt:lpstr>STRAT4_IND2</vt:lpstr>
      <vt:lpstr>STRAT4_IND3</vt:lpstr>
      <vt:lpstr>STRAT4_IND4</vt:lpstr>
      <vt:lpstr>STRAT4_IND5</vt:lpstr>
      <vt:lpstr>STRAT5_IND1</vt:lpstr>
      <vt:lpstr>STRAT5_IND2</vt:lpstr>
      <vt:lpstr>STRAT5_IND3</vt:lpstr>
      <vt:lpstr>STRAT5_IND4</vt:lpstr>
      <vt:lpstr>STRAT5_IND5</vt:lpstr>
      <vt:lpstr>STRAT6_IND1</vt:lpstr>
      <vt:lpstr>STRAT6_IND2</vt:lpstr>
      <vt:lpstr>STRAT6_IND3</vt:lpstr>
      <vt:lpstr>STRAT6_IND4</vt:lpstr>
      <vt:lpstr>STRAT6_IND5</vt:lpstr>
      <vt:lpstr>STRAT7_IND1</vt:lpstr>
      <vt:lpstr>STRAT7_IND2</vt:lpstr>
      <vt:lpstr>STRAT7_IND3</vt:lpstr>
      <vt:lpstr>STRAT7_IND4</vt:lpstr>
      <vt:lpstr>STRAT7_IND5</vt:lpstr>
      <vt:lpstr>STRAT8_IND1</vt:lpstr>
      <vt:lpstr>STRAT8_IND2</vt:lpstr>
      <vt:lpstr>STRAT8_IND3</vt:lpstr>
      <vt:lpstr>STRAT8_IND4</vt:lpstr>
      <vt:lpstr>STRAT8_IND5</vt:lpstr>
      <vt:lpstr>STRAT9_IND1</vt:lpstr>
      <vt:lpstr>STRAT9_IND2</vt:lpstr>
      <vt:lpstr>STRAT9_IND3</vt:lpstr>
      <vt:lpstr>STRAT9_IND4</vt:lpstr>
      <vt:lpstr>STRAT9_IND5</vt:lpstr>
      <vt:lpstr>Strategy1</vt:lpstr>
      <vt:lpstr>Strategy10</vt:lpstr>
      <vt:lpstr>Strategy2</vt:lpstr>
      <vt:lpstr>Strategy3</vt:lpstr>
      <vt:lpstr>Strategy4</vt:lpstr>
      <vt:lpstr>Strategy5</vt:lpstr>
      <vt:lpstr>Strategy6</vt:lpstr>
      <vt:lpstr>Strategy7</vt:lpstr>
      <vt:lpstr>Strategy8</vt:lpstr>
      <vt:lpstr>Strategy9</vt:lpstr>
      <vt:lpstr>TOC_Hdg_10</vt:lpstr>
      <vt:lpstr>TOC_Hdg_11</vt:lpstr>
      <vt:lpstr>TOC_Hdg_12</vt:lpstr>
      <vt:lpstr>TOC_Hdg_13</vt:lpstr>
      <vt:lpstr>TOC_Hdg_15</vt:lpstr>
      <vt:lpstr>TOC_Hdg_7</vt:lpstr>
      <vt:lpstr>TOC_Hdg_8</vt:lpstr>
      <vt:lpstr>TOC_Hdg_9</vt:lpstr>
      <vt:lpstr>Ts_Billion</vt:lpstr>
      <vt:lpstr>Ts_Currency</vt:lpstr>
      <vt:lpstr>Ts_Days_In_Wk</vt:lpstr>
      <vt:lpstr>Ts_Denom_Conv_Fact</vt:lpstr>
      <vt:lpstr>Ts_End_Date</vt:lpstr>
      <vt:lpstr>Ts_First_Fin_Yr</vt:lpstr>
      <vt:lpstr>Ts_Halves_In_Yr</vt:lpstr>
      <vt:lpstr>Ts_Hrs_In_Day</vt:lpstr>
      <vt:lpstr>Ts_Million</vt:lpstr>
      <vt:lpstr>Ts_Mins_In_Hr</vt:lpstr>
      <vt:lpstr>TS_Model_Start_Year</vt:lpstr>
      <vt:lpstr>Ts_Mths_In_Half</vt:lpstr>
      <vt:lpstr>Ts_Mths_In_Qtr</vt:lpstr>
      <vt:lpstr>Ts_Mths_In_Yr</vt:lpstr>
      <vt:lpstr>Ts_Qtrs_In_Half</vt:lpstr>
      <vt:lpstr>Ts_Qtrs_In_Yr</vt:lpstr>
      <vt:lpstr>Ts_Secs_In_Min</vt:lpstr>
      <vt:lpstr>Ts_Start_Date</vt:lpstr>
      <vt:lpstr>Ts_Term</vt:lpstr>
      <vt:lpstr>Ts_Thousand</vt:lpstr>
      <vt:lpstr>Version_Number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Financial Gap Analysis</dc:title>
  <dc:subject/>
  <dc:creator>Hemminger, Carrie</dc:creator>
  <cp:keywords>financing</cp:keywords>
  <dc:description/>
  <cp:lastModifiedBy>Hemminger, Carrie</cp:lastModifiedBy>
  <cp:lastPrinted>2020-06-15T13:50:15Z</cp:lastPrinted>
  <dcterms:created xsi:type="dcterms:W3CDTF">2020-06-05T21:06:59Z</dcterms:created>
  <dcterms:modified xsi:type="dcterms:W3CDTF">2021-01-28T15:13:30Z</dcterms:modified>
  <cp:category>Costing Tool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0x010100C80120BB52425E49A195B2D3C3742326</vt:lpwstr>
  </property>
</Properties>
</file>